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7" activeTab="13"/>
  </bookViews>
  <sheets>
    <sheet name="Tab II" sheetId="1" r:id="rId1"/>
    <sheet name="Tab III" sheetId="2" r:id="rId2"/>
    <sheet name="Tab IV" sheetId="3" r:id="rId3"/>
    <sheet name="Tab IVa" sheetId="4" r:id="rId4"/>
    <sheet name="Tab V" sheetId="5" r:id="rId5"/>
    <sheet name="Tab VI" sheetId="6" r:id="rId6"/>
    <sheet name="Tab VII" sheetId="7" r:id="rId7"/>
    <sheet name="Tab VIII" sheetId="8" r:id="rId8"/>
    <sheet name="Tab IX" sheetId="9" r:id="rId9"/>
    <sheet name="Tab X" sheetId="10" r:id="rId10"/>
    <sheet name="Tab XI" sheetId="11" r:id="rId11"/>
    <sheet name="Tab XII" sheetId="12" r:id="rId12"/>
    <sheet name="Tab XIII" sheetId="13" r:id="rId13"/>
    <sheet name="Tab XIV" sheetId="14" r:id="rId14"/>
  </sheets>
  <definedNames/>
  <calcPr fullCalcOnLoad="1"/>
</workbook>
</file>

<file path=xl/sharedStrings.xml><?xml version="1.0" encoding="utf-8"?>
<sst xmlns="http://schemas.openxmlformats.org/spreadsheetml/2006/main" count="3047" uniqueCount="1432">
  <si>
    <t xml:space="preserve">uwzględniono wskaźnik nieściągalności </t>
  </si>
  <si>
    <t>wpływów  w 2006 roku</t>
  </si>
  <si>
    <t>osoby fizyczne</t>
  </si>
  <si>
    <t>nieruchomość rolnicza w m. kw.</t>
  </si>
  <si>
    <t>poza budowlami gdzie podstawę opodatkowania stanowi ich wartość:</t>
  </si>
  <si>
    <t>a/</t>
  </si>
  <si>
    <t>budynki mieszkalne</t>
  </si>
  <si>
    <t>b/</t>
  </si>
  <si>
    <t>budynki zw. z działalnością gospodarczą</t>
  </si>
  <si>
    <t>c/</t>
  </si>
  <si>
    <t>budowle</t>
  </si>
  <si>
    <t>d/</t>
  </si>
  <si>
    <t>budynki pozostałe</t>
  </si>
  <si>
    <t>e/</t>
  </si>
  <si>
    <t>grunty zw. z działalnością gospodarczą</t>
  </si>
  <si>
    <t>f/</t>
  </si>
  <si>
    <t>grunty pozostałe</t>
  </si>
  <si>
    <t>g/</t>
  </si>
  <si>
    <t>budynki zw. z działalnością w zakresie świadczeń zdrowotnych</t>
  </si>
  <si>
    <t>h/</t>
  </si>
  <si>
    <t>budynki zdane na Skarb Państwa</t>
  </si>
  <si>
    <t xml:space="preserve">pkt.3 razem </t>
  </si>
  <si>
    <t>ogółem 1+2+3</t>
  </si>
  <si>
    <t>windykacja zaległości z lat ubiegłych</t>
  </si>
  <si>
    <t xml:space="preserve">Podatek  leśny </t>
  </si>
  <si>
    <t xml:space="preserve"> a   osoby prawne</t>
  </si>
  <si>
    <t>rezerwaty przyrody</t>
  </si>
  <si>
    <t>pozostałe lasy</t>
  </si>
  <si>
    <t xml:space="preserve">wskaźnik nieściągalności wpływów w 2006 roku </t>
  </si>
  <si>
    <t xml:space="preserve"> b   osoby fizyczne</t>
  </si>
  <si>
    <t>Podatek  od nieruchomości</t>
  </si>
  <si>
    <t xml:space="preserve">wymiar </t>
  </si>
  <si>
    <t>m.kw.   x   zł.</t>
  </si>
  <si>
    <t>budynki związane z działalnością  gospodarczą</t>
  </si>
  <si>
    <t>budynki zajęte na obrót materiałem siewnym</t>
  </si>
  <si>
    <t>budynki zajęte na prowadzenie działalności gospodarczej</t>
  </si>
  <si>
    <t>w zakresie udzielania świadczeń zdrowotnych</t>
  </si>
  <si>
    <t>grunty związane z działalnością gospodarczą</t>
  </si>
  <si>
    <t>grunty pod jeziorami</t>
  </si>
  <si>
    <t>WYMIAR</t>
  </si>
  <si>
    <t xml:space="preserve">za podstawę ustalenia wysokości tego podatku przyjęto </t>
  </si>
  <si>
    <r>
      <t xml:space="preserve">przewidywane wpływy wynikające z przypisu wg stanu na 30.09.2005  </t>
    </r>
  </si>
  <si>
    <t>(dotyczy pojazdów ciężarowych)</t>
  </si>
  <si>
    <t>Wpływy  z podatków zniesionych</t>
  </si>
  <si>
    <t xml:space="preserve">założono na poziomie  przewidywanego wykonania  </t>
  </si>
  <si>
    <t>w  2005 roku,   które wynosi</t>
  </si>
  <si>
    <t>PODATKI  POBIERANE PRZEZ URZĄD SKARBOWY</t>
  </si>
  <si>
    <t xml:space="preserve">Wpływy z karty podatkowej </t>
  </si>
  <si>
    <t>założono na poziomie  przewidywanego wykonania w 2005 roku</t>
  </si>
  <si>
    <t>założono na poziomie zbliżonym do przewidywanego wykonania w 2005 roku</t>
  </si>
  <si>
    <t xml:space="preserve">Podatek od czynności cywilno - prawnych </t>
  </si>
  <si>
    <t>Opłaty za zarząd,  użytkowanie i użytkowanie wieczyste</t>
  </si>
  <si>
    <t>pierwsze opłaty za oddanie nieruchomości</t>
  </si>
  <si>
    <t>w użytkowanie wieczyste (15 - 25 % ceny)</t>
  </si>
  <si>
    <t>opłaty roczne</t>
  </si>
  <si>
    <t>opłaty bieżące spółek miejskich:</t>
  </si>
  <si>
    <t>1.</t>
  </si>
  <si>
    <t>MWiK</t>
  </si>
  <si>
    <t>2.</t>
  </si>
  <si>
    <t>MEC</t>
  </si>
  <si>
    <t>3.</t>
  </si>
  <si>
    <t>PGK</t>
  </si>
  <si>
    <t>4.</t>
  </si>
  <si>
    <t>MZK</t>
  </si>
  <si>
    <r>
      <t xml:space="preserve">Dochody z dzierżawy i najmu nieruchomości </t>
    </r>
    <r>
      <rPr>
        <b/>
        <sz val="10"/>
        <rFont val="Times New Roman"/>
        <family val="1"/>
      </rPr>
      <t>(osoby prawne i fizyczne)</t>
    </r>
  </si>
  <si>
    <t>wpływy bieżące</t>
  </si>
  <si>
    <t>najem - targowiska</t>
  </si>
  <si>
    <r>
      <t xml:space="preserve">Dochody </t>
    </r>
    <r>
      <rPr>
        <b/>
        <sz val="12"/>
        <rFont val="Times New Roman"/>
        <family val="1"/>
      </rPr>
      <t>z przekształcenia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>(prawa użytkowania wieczystego gruntów w prawo własności)</t>
    </r>
  </si>
  <si>
    <r>
      <t xml:space="preserve">Dochody </t>
    </r>
    <r>
      <rPr>
        <b/>
        <sz val="12"/>
        <rFont val="Times New Roman"/>
        <family val="1"/>
      </rPr>
      <t>ze  sprzedaży gruntów</t>
    </r>
  </si>
  <si>
    <r>
      <t xml:space="preserve">Dochody ze sprzedaży </t>
    </r>
    <r>
      <rPr>
        <b/>
        <sz val="12"/>
        <rFont val="Times New Roman"/>
        <family val="1"/>
      </rPr>
      <t>lokali użytkowych</t>
    </r>
  </si>
  <si>
    <r>
      <t xml:space="preserve">Dochody ze sprzedaży </t>
    </r>
    <r>
      <rPr>
        <b/>
        <sz val="12"/>
        <rFont val="Times New Roman"/>
        <family val="1"/>
      </rPr>
      <t>lokali mieszkalnych</t>
    </r>
  </si>
  <si>
    <r>
      <t xml:space="preserve">Dochody ze sprzedaży </t>
    </r>
    <r>
      <rPr>
        <b/>
        <sz val="12"/>
        <rFont val="Times New Roman"/>
        <family val="1"/>
      </rPr>
      <t>budynków i budowli</t>
    </r>
  </si>
  <si>
    <r>
      <t>Zwrot kosztów</t>
    </r>
    <r>
      <rPr>
        <sz val="12"/>
        <rFont val="Times New Roman"/>
        <family val="1"/>
      </rPr>
      <t xml:space="preserve"> przygotowania nieruchomości do zbycia</t>
    </r>
  </si>
  <si>
    <r>
      <t xml:space="preserve">Wpływy z różnych </t>
    </r>
    <r>
      <rPr>
        <b/>
        <sz val="12"/>
        <rFont val="Times New Roman"/>
        <family val="1"/>
      </rPr>
      <t>opłat</t>
    </r>
  </si>
  <si>
    <t>opłaty adiacenckie i planistyczne</t>
  </si>
  <si>
    <t>za nieterminową zabudowę</t>
  </si>
  <si>
    <t>za służebność</t>
  </si>
  <si>
    <t>za bezumowne korzystanie z nieruchomości</t>
  </si>
  <si>
    <t>za czasowe zajęcie</t>
  </si>
  <si>
    <t>wpisy hipotek do KW</t>
  </si>
  <si>
    <t>mandaty Straży Miejskiej</t>
  </si>
  <si>
    <t>wpływy  z MOPS:</t>
  </si>
  <si>
    <t>odpłatność za usługi opiekuńcze</t>
  </si>
  <si>
    <t>wpływy z różnych dochodów</t>
  </si>
  <si>
    <t>wpływy z usług - BUS</t>
  </si>
  <si>
    <t>wpływy z ZDM :</t>
  </si>
  <si>
    <r>
      <t xml:space="preserve">różne dochody, grzywny, kary </t>
    </r>
    <r>
      <rPr>
        <b/>
        <sz val="9"/>
        <rFont val="Times New Roman"/>
        <family val="1"/>
      </rPr>
      <t>(powiat)</t>
    </r>
  </si>
  <si>
    <t xml:space="preserve">b/ </t>
  </si>
  <si>
    <r>
      <t xml:space="preserve">różne dochody, grzywny, kary </t>
    </r>
    <r>
      <rPr>
        <b/>
        <sz val="9"/>
        <rFont val="Times New Roman"/>
        <family val="1"/>
      </rPr>
      <t>(gmina)</t>
    </r>
  </si>
  <si>
    <t>wpływy ze szkół ponadpodstawowych</t>
  </si>
  <si>
    <r>
      <t>i placówek oświatowych</t>
    </r>
    <r>
      <rPr>
        <sz val="10"/>
        <rFont val="Times New Roman"/>
        <family val="1"/>
      </rPr>
      <t xml:space="preserve"> (powiat)</t>
    </r>
  </si>
  <si>
    <t>wpływy ze szkół podstawowych</t>
  </si>
  <si>
    <r>
      <t xml:space="preserve">i placówek oświatowych </t>
    </r>
    <r>
      <rPr>
        <sz val="10"/>
        <rFont val="Times New Roman"/>
        <family val="1"/>
      </rPr>
      <t>(gmina)</t>
    </r>
  </si>
  <si>
    <r>
      <t xml:space="preserve">dochody Urzędu Miejskiego </t>
    </r>
    <r>
      <rPr>
        <sz val="10"/>
        <rFont val="Times New Roman"/>
        <family val="1"/>
      </rPr>
      <t>(gmina)</t>
    </r>
  </si>
  <si>
    <t xml:space="preserve">wynajem dzierżawa pomieszczeń </t>
  </si>
  <si>
    <t xml:space="preserve">koszty egzekucyjne  </t>
  </si>
  <si>
    <t xml:space="preserve">koszty upomnień  </t>
  </si>
  <si>
    <t>wpływy ze sprzedaży samochodu Ranault</t>
  </si>
  <si>
    <t>odsetki od zaległości podatkowych</t>
  </si>
  <si>
    <r>
      <t xml:space="preserve">i dochodów z mienia </t>
    </r>
    <r>
      <rPr>
        <sz val="10"/>
        <rFont val="Times New Roman"/>
        <family val="1"/>
      </rPr>
      <t>(gmina)</t>
    </r>
  </si>
  <si>
    <t>odsetki od środków na rachunkach</t>
  </si>
  <si>
    <t>bankowych:</t>
  </si>
  <si>
    <r>
      <t>Urząd Miejski</t>
    </r>
    <r>
      <rPr>
        <b/>
        <sz val="9"/>
        <rFont val="Times New Roman"/>
        <family val="1"/>
      </rPr>
      <t xml:space="preserve"> (gmina)</t>
    </r>
  </si>
  <si>
    <r>
      <t xml:space="preserve">b/   szkoły podstawowe </t>
    </r>
    <r>
      <rPr>
        <b/>
        <sz val="9"/>
        <rFont val="Times New Roman"/>
        <family val="1"/>
      </rPr>
      <t xml:space="preserve"> (gmina)</t>
    </r>
  </si>
  <si>
    <r>
      <t xml:space="preserve">placówki oświatowe </t>
    </r>
    <r>
      <rPr>
        <b/>
        <sz val="9"/>
        <rFont val="Times New Roman"/>
        <family val="1"/>
      </rPr>
      <t>(gmina)</t>
    </r>
  </si>
  <si>
    <r>
      <t xml:space="preserve">placówki oświatowe  </t>
    </r>
    <r>
      <rPr>
        <b/>
        <sz val="9"/>
        <rFont val="Times New Roman"/>
        <family val="1"/>
      </rPr>
      <t>(powiat)</t>
    </r>
  </si>
  <si>
    <r>
      <t xml:space="preserve">MOPS </t>
    </r>
    <r>
      <rPr>
        <b/>
        <sz val="9"/>
        <rFont val="Times New Roman"/>
        <family val="1"/>
      </rPr>
      <t>(gmina)</t>
    </r>
  </si>
  <si>
    <r>
      <t xml:space="preserve">ZDM </t>
    </r>
    <r>
      <rPr>
        <b/>
        <sz val="9"/>
        <rFont val="Times New Roman"/>
        <family val="1"/>
      </rPr>
      <t>(gmina)</t>
    </r>
  </si>
  <si>
    <t>opłata skarbowa</t>
  </si>
  <si>
    <t>opłaty cmentarne</t>
  </si>
  <si>
    <t>opłaty za schronisko dla zwierząt</t>
  </si>
  <si>
    <t xml:space="preserve">opłata za pozwolenia na sprzedaż napojów </t>
  </si>
  <si>
    <r>
      <t xml:space="preserve">alkoholowych </t>
    </r>
    <r>
      <rPr>
        <sz val="10"/>
        <rFont val="Times New Roman"/>
        <family val="1"/>
      </rPr>
      <t>(gmina)</t>
    </r>
  </si>
  <si>
    <r>
      <t xml:space="preserve">opłata komunikacyjna </t>
    </r>
    <r>
      <rPr>
        <sz val="10"/>
        <rFont val="Times New Roman"/>
        <family val="1"/>
      </rPr>
      <t>(powiat)</t>
    </r>
  </si>
  <si>
    <r>
      <t>opłata za  karty wędkarskie</t>
    </r>
    <r>
      <rPr>
        <sz val="10"/>
        <rFont val="Times New Roman"/>
        <family val="1"/>
      </rPr>
      <t xml:space="preserve"> (powiat)</t>
    </r>
  </si>
  <si>
    <t xml:space="preserve">opłata  za wpis do ewidencji działalności </t>
  </si>
  <si>
    <r>
      <t>gospodarczej i  opłata prolongacyjna</t>
    </r>
    <r>
      <rPr>
        <sz val="10"/>
        <rFont val="Times New Roman"/>
        <family val="1"/>
      </rPr>
      <t xml:space="preserve">  (gmina)</t>
    </r>
  </si>
  <si>
    <r>
      <t xml:space="preserve">opłata za licencje na przewóz osób i rzeczy  TAXI   </t>
    </r>
    <r>
      <rPr>
        <sz val="10"/>
        <rFont val="Times New Roman"/>
        <family val="1"/>
      </rPr>
      <t xml:space="preserve"> </t>
    </r>
  </si>
  <si>
    <t>(gmina)</t>
  </si>
  <si>
    <t xml:space="preserve">    (powiat)</t>
  </si>
  <si>
    <t>opłata administracyjna</t>
  </si>
  <si>
    <r>
      <t xml:space="preserve">wpływy za obsługę PFRON </t>
    </r>
    <r>
      <rPr>
        <sz val="10"/>
        <rFont val="Times New Roman"/>
        <family val="1"/>
      </rPr>
      <t>(powiat)</t>
    </r>
  </si>
  <si>
    <r>
      <t xml:space="preserve">25%  wpływów z nieruchomosci Skarbu Państwa  </t>
    </r>
    <r>
      <rPr>
        <sz val="10"/>
        <rFont val="Times New Roman"/>
        <family val="1"/>
      </rPr>
      <t xml:space="preserve"> (powiat)</t>
    </r>
  </si>
  <si>
    <r>
      <t xml:space="preserve">5%  wpływów z dochodów Skarbu Państwa  -  </t>
    </r>
    <r>
      <rPr>
        <sz val="10"/>
        <rFont val="Times New Roman"/>
        <family val="1"/>
      </rPr>
      <t>za D. O. (powiat)</t>
    </r>
  </si>
  <si>
    <t>UDZIAŁY W PODATKACH STANOWIĄCYCH DOCHÓD BUDŻETU PAŃSTWA</t>
  </si>
  <si>
    <r>
      <t xml:space="preserve">udział w podatku dochodowym od  </t>
    </r>
    <r>
      <rPr>
        <b/>
        <sz val="12"/>
        <rFont val="Times New Roman"/>
        <family val="1"/>
      </rPr>
      <t>fizycznych</t>
    </r>
  </si>
  <si>
    <t>a/  gmina  - 35,95%</t>
  </si>
  <si>
    <t>b/ powiat - 10,25%</t>
  </si>
  <si>
    <r>
      <t xml:space="preserve">udział w podatku dochodowym od  </t>
    </r>
    <r>
      <rPr>
        <b/>
        <sz val="11"/>
        <rFont val="Times New Roman"/>
        <family val="1"/>
      </rPr>
      <t>prawnych</t>
    </r>
  </si>
  <si>
    <t>a/  gmina  - 6,71%</t>
  </si>
  <si>
    <t>b/ powiat - 1,40%</t>
  </si>
  <si>
    <t>F</t>
  </si>
  <si>
    <t xml:space="preserve">SUBWENCJA   </t>
  </si>
  <si>
    <t>Na zadania własne gminy</t>
  </si>
  <si>
    <t>oświatowa</t>
  </si>
  <si>
    <r>
      <t xml:space="preserve">równoważąca </t>
    </r>
    <r>
      <rPr>
        <sz val="8"/>
        <rFont val="Times New Roman"/>
        <family val="1"/>
      </rPr>
      <t>(dodatki mieszkaniowe)</t>
    </r>
  </si>
  <si>
    <t>Na zadania własne powiatu</t>
  </si>
  <si>
    <t xml:space="preserve">część oświatowa </t>
  </si>
  <si>
    <t>część równoważąca:</t>
  </si>
  <si>
    <t>1/</t>
  </si>
  <si>
    <t>rodziny zastępcze</t>
  </si>
  <si>
    <t>2/</t>
  </si>
  <si>
    <t>Powiatowy Urząd Pracy</t>
  </si>
  <si>
    <t>3/</t>
  </si>
  <si>
    <t>drogi krajowe</t>
  </si>
  <si>
    <t xml:space="preserve">RAZEM  DOCHODY WŁASNE                         </t>
  </si>
  <si>
    <t>w tym:</t>
  </si>
  <si>
    <t>dochody  własne  gminy</t>
  </si>
  <si>
    <t>dochody własne  powiatu</t>
  </si>
  <si>
    <t xml:space="preserve">ŚRODKI Z EUROPEJSKIEGO FUNDUSZU ROZWOJU REGIONALNEGO </t>
  </si>
  <si>
    <r>
      <t xml:space="preserve">układ komunikacyjny  miasta - ul. Olchowa  </t>
    </r>
    <r>
      <rPr>
        <b/>
        <sz val="9"/>
        <rFont val="Times New Roman"/>
        <family val="1"/>
      </rPr>
      <t>gmina</t>
    </r>
  </si>
  <si>
    <r>
      <t xml:space="preserve">układ komunikacyjny miasta - ul. Połczyńska  </t>
    </r>
    <r>
      <rPr>
        <b/>
        <sz val="9"/>
        <rFont val="Times New Roman"/>
        <family val="1"/>
      </rPr>
      <t>powiat</t>
    </r>
  </si>
  <si>
    <r>
      <t xml:space="preserve"> program stypendialny dla uczniów szkół ponadgimnazjalnych </t>
    </r>
    <r>
      <rPr>
        <b/>
        <sz val="9"/>
        <rFont val="Times New Roman"/>
        <family val="1"/>
      </rPr>
      <t xml:space="preserve">powiat </t>
    </r>
  </si>
  <si>
    <r>
      <t xml:space="preserve"> program stypendialny dla studentów </t>
    </r>
    <r>
      <rPr>
        <b/>
        <sz val="9"/>
        <rFont val="Times New Roman"/>
        <family val="1"/>
      </rPr>
      <t xml:space="preserve"> gmina</t>
    </r>
  </si>
  <si>
    <r>
      <t xml:space="preserve">Muzeum  </t>
    </r>
    <r>
      <rPr>
        <b/>
        <sz val="9"/>
        <rFont val="Times New Roman"/>
        <family val="1"/>
      </rPr>
      <t>powiat</t>
    </r>
  </si>
  <si>
    <r>
      <t xml:space="preserve">Vademecum Inwestora - </t>
    </r>
    <r>
      <rPr>
        <b/>
        <sz val="9"/>
        <rFont val="Times New Roman"/>
        <family val="1"/>
      </rPr>
      <t>gmina</t>
    </r>
  </si>
  <si>
    <r>
      <t xml:space="preserve">Koszaliński Katarog usług polsko-niemieckich - </t>
    </r>
    <r>
      <rPr>
        <b/>
        <sz val="9"/>
        <rFont val="Times New Roman"/>
        <family val="1"/>
      </rPr>
      <t>gmina</t>
    </r>
  </si>
  <si>
    <r>
      <t>Kronika Miasta Koszalina -</t>
    </r>
    <r>
      <rPr>
        <b/>
        <sz val="9"/>
        <rFont val="Times New Roman"/>
        <family val="1"/>
      </rPr>
      <t xml:space="preserve"> gmina</t>
    </r>
  </si>
  <si>
    <t>i/</t>
  </si>
  <si>
    <r>
      <t>"Szlak gotyku ceglanego" -</t>
    </r>
    <r>
      <rPr>
        <b/>
        <sz val="9"/>
        <rFont val="Times New Roman"/>
        <family val="1"/>
      </rPr>
      <t xml:space="preserve"> gmina</t>
    </r>
  </si>
  <si>
    <t>j/</t>
  </si>
  <si>
    <r>
      <t>"Trasa Staromiejska"  -</t>
    </r>
    <r>
      <rPr>
        <b/>
        <sz val="9"/>
        <rFont val="Times New Roman"/>
        <family val="1"/>
      </rPr>
      <t xml:space="preserve"> gmina</t>
    </r>
  </si>
  <si>
    <t>k/</t>
  </si>
  <si>
    <r>
      <t xml:space="preserve">ul. Śródmiejska  - </t>
    </r>
    <r>
      <rPr>
        <b/>
        <sz val="9"/>
        <rFont val="Times New Roman"/>
        <family val="1"/>
      </rPr>
      <t>powiat</t>
    </r>
  </si>
  <si>
    <t>l/</t>
  </si>
  <si>
    <r>
      <t>Remont budynku ul. Jana z Kolna (Polski Związek Głuchych) -</t>
    </r>
    <r>
      <rPr>
        <b/>
        <sz val="9"/>
        <rFont val="Times New Roman"/>
        <family val="1"/>
      </rPr>
      <t xml:space="preserve"> gmina</t>
    </r>
  </si>
  <si>
    <t xml:space="preserve">DOTACJE CELOWE </t>
  </si>
  <si>
    <t xml:space="preserve">a/ </t>
  </si>
  <si>
    <r>
      <t xml:space="preserve">dotacje na zadania własne </t>
    </r>
    <r>
      <rPr>
        <b/>
        <sz val="9"/>
        <rFont val="Times New Roman"/>
        <family val="1"/>
      </rPr>
      <t>gminy</t>
    </r>
    <r>
      <rPr>
        <sz val="9"/>
        <rFont val="Times New Roman"/>
        <family val="1"/>
      </rPr>
      <t xml:space="preserve"> </t>
    </r>
  </si>
  <si>
    <r>
      <t xml:space="preserve">na zadania zlecone </t>
    </r>
    <r>
      <rPr>
        <b/>
        <sz val="9"/>
        <rFont val="Times New Roman"/>
        <family val="1"/>
      </rPr>
      <t>gminie</t>
    </r>
    <r>
      <rPr>
        <b/>
        <sz val="6"/>
        <rFont val="Times New Roman"/>
        <family val="1"/>
      </rPr>
      <t xml:space="preserve"> </t>
    </r>
  </si>
  <si>
    <r>
      <t xml:space="preserve">na zadania  realizowane przez </t>
    </r>
    <r>
      <rPr>
        <b/>
        <sz val="9"/>
        <rFont val="Times New Roman"/>
        <family val="1"/>
      </rPr>
      <t xml:space="preserve">powiat </t>
    </r>
    <r>
      <rPr>
        <sz val="9"/>
        <rFont val="Times New Roman"/>
        <family val="1"/>
      </rPr>
      <t xml:space="preserve">na podstawie porozumień </t>
    </r>
  </si>
  <si>
    <r>
      <t xml:space="preserve">na zadania zlecone </t>
    </r>
    <r>
      <rPr>
        <b/>
        <sz val="9"/>
        <rFont val="Times New Roman"/>
        <family val="1"/>
      </rPr>
      <t>powiatowi</t>
    </r>
  </si>
  <si>
    <r>
      <t xml:space="preserve">na zadania własne </t>
    </r>
    <r>
      <rPr>
        <b/>
        <sz val="9"/>
        <rFont val="Times New Roman"/>
        <family val="1"/>
      </rPr>
      <t>powiatu</t>
    </r>
    <r>
      <rPr>
        <sz val="9"/>
        <rFont val="Times New Roman"/>
        <family val="1"/>
      </rPr>
      <t xml:space="preserve"> </t>
    </r>
  </si>
  <si>
    <r>
      <t xml:space="preserve">dotacje z funduszy celowych - PFRON </t>
    </r>
    <r>
      <rPr>
        <sz val="7"/>
        <rFont val="Times New Roman"/>
        <family val="1"/>
      </rPr>
      <t>(rekompensata utraconych dochodów z tytułu ulg w podatkach</t>
    </r>
    <r>
      <rPr>
        <sz val="9"/>
        <rFont val="Times New Roman"/>
        <family val="1"/>
      </rPr>
      <t xml:space="preserve">)  </t>
    </r>
    <r>
      <rPr>
        <b/>
        <sz val="9"/>
        <rFont val="Times New Roman"/>
        <family val="1"/>
      </rPr>
      <t>gmina</t>
    </r>
  </si>
  <si>
    <r>
      <t>dotacje</t>
    </r>
    <r>
      <rPr>
        <sz val="9"/>
        <rFont val="Times New Roman"/>
        <family val="1"/>
      </rPr>
      <t xml:space="preserve"> na zadania realizowane na podstawie umów między jednostkami samorządu terytorialnego  </t>
    </r>
    <r>
      <rPr>
        <b/>
        <sz val="9"/>
        <rFont val="Times New Roman"/>
        <family val="1"/>
      </rPr>
      <t>gmina</t>
    </r>
  </si>
  <si>
    <r>
      <t xml:space="preserve">RAZEM DOCHODY NA ZADANIA GMINY I POWIATU   </t>
    </r>
    <r>
      <rPr>
        <b/>
        <sz val="10"/>
        <rFont val="Times New Roman"/>
        <family val="1"/>
      </rPr>
      <t>(I+II+III)</t>
    </r>
  </si>
  <si>
    <t>dochody na zadania  gminy</t>
  </si>
  <si>
    <t>dochody na zadania  powiatu</t>
  </si>
  <si>
    <t>TABELA IV</t>
  </si>
  <si>
    <t>INWESTYCJE PLANOWANE DO REALIZACJI  w 2006 r.</t>
  </si>
  <si>
    <t>(wg działów i rozdziałów klasyfikacji budżetowej)</t>
  </si>
  <si>
    <t>( w tys.zł.)</t>
  </si>
  <si>
    <t>Dział    rozdział           §</t>
  </si>
  <si>
    <t xml:space="preserve">Plan 2006 r.  </t>
  </si>
  <si>
    <t>TRANSPORT I ŁĄCZNOŚĆ</t>
  </si>
  <si>
    <t xml:space="preserve"> </t>
  </si>
  <si>
    <t>Drogi publiczne w miastach na prawach powiatu</t>
  </si>
  <si>
    <t>6051, 6052</t>
  </si>
  <si>
    <t>Budowa ulicy Śródmiejskiej</t>
  </si>
  <si>
    <t>6058, 6059</t>
  </si>
  <si>
    <t>Usprawnienie układu komunikacyjnego miasta Koszalin - przebudowa ul. Połczyńskiej</t>
  </si>
  <si>
    <t>Skrzyżowanie ulic: Wladysława IV-go- Akademicka</t>
  </si>
  <si>
    <t>ul.Orląt Lwowskich</t>
  </si>
  <si>
    <t>ul. Batalionów Chłopskich</t>
  </si>
  <si>
    <t>Ewidencja dróg</t>
  </si>
  <si>
    <t>Drogi publiczne gminne</t>
  </si>
  <si>
    <t>Usprawnienie układu komunikacyjnego miasta Koszalin - przebudowa ul. Olchowej</t>
  </si>
  <si>
    <t>Osiedle Bukowe - drogi</t>
  </si>
  <si>
    <t>Osiedle "Wenedów"- drogi</t>
  </si>
  <si>
    <t>ul. Krańcowa</t>
  </si>
  <si>
    <t>ul. Rzeczna (dojazd do Specj.Ośrodka Szkolno-Wych.)</t>
  </si>
  <si>
    <t>Połączenie ul. Strażackiej z ul. Połczyńską</t>
  </si>
  <si>
    <t>Przebudowa ul.Chrobrego, ul.Domina i ul. Krzywoustego</t>
  </si>
  <si>
    <t>Drogi wewnętrzne</t>
  </si>
  <si>
    <t>Parking przy Szpitalu Wojewódzkim</t>
  </si>
  <si>
    <t xml:space="preserve">ul. Karłowicza </t>
  </si>
  <si>
    <t>Łącznik ul.Staszica i ul. Spasowskiego</t>
  </si>
  <si>
    <t>ul. Niepodleglości</t>
  </si>
  <si>
    <t>Parking przy Szpitalu Przeciwgruźliczym</t>
  </si>
  <si>
    <t>Pozostała działalność</t>
  </si>
  <si>
    <t>Modernizacja pomieszczeń - ZDM</t>
  </si>
  <si>
    <t>GOSPODARKA MIESZKANIOWA</t>
  </si>
  <si>
    <t>Zakłady gospodarki mieszkaniowej</t>
  </si>
  <si>
    <t>Remonty budynków komunalnych</t>
  </si>
  <si>
    <t>Mieszkania socjalne</t>
  </si>
  <si>
    <t>Budynek przy ul. Jana z Kolna</t>
  </si>
  <si>
    <t>BEZPIECZEŃSTWO PUBLICZNE I OCHRONA PRZECIWPOŻAROWA</t>
  </si>
  <si>
    <t xml:space="preserve">Komendy powiatowe Policji </t>
  </si>
  <si>
    <t>Remont budynku przy ul. Slowackiego</t>
  </si>
  <si>
    <t>Komendy poiatowe Państwowej Straży Pożarnej</t>
  </si>
  <si>
    <t>Centrum Powiadamiania Ratunkowego</t>
  </si>
  <si>
    <t>OŚWIATA I WYCHOWANIE</t>
  </si>
  <si>
    <t>Szkoły podstawowe</t>
  </si>
  <si>
    <t>Wymiana stolarki okiennej, drzwi, wykładzin</t>
  </si>
  <si>
    <t>Gimnazja</t>
  </si>
  <si>
    <t>Wymiana instalacji elektrycznej, stolarki okiennej</t>
  </si>
  <si>
    <t>Modernizaja szkół</t>
  </si>
  <si>
    <t>OCHRONA ZDROWIA</t>
  </si>
  <si>
    <t>Przeciwdziałanie alkoholizmowi</t>
  </si>
  <si>
    <t>Modernizacja pomieszczeńw Komendzie Policji oraz dofinansowanie remontu boisk</t>
  </si>
  <si>
    <t>OPIEKA SPOŁECZNA</t>
  </si>
  <si>
    <t>Modernizacja budynku Stowarzyszenia na Rzecz Osób z Upośledzeniem Umysłowym</t>
  </si>
  <si>
    <t>EDUKACYJNA OPIEKA WYCHOWAWCZA</t>
  </si>
  <si>
    <t>Internaty i bursy szkolne</t>
  </si>
  <si>
    <t>Zespół Burs Międzyszkolnych - elewacja</t>
  </si>
  <si>
    <t>Modernizacja placówek oświatowo - wychowawczych</t>
  </si>
  <si>
    <t>GOSPODARKA KOMUNALNA I OCHRONA ŚRODOWISKA</t>
  </si>
  <si>
    <t>Gospodarka ściekowa i ochrona wód</t>
  </si>
  <si>
    <t>Uzbrojenie terenu pod Słupską Specjalną Strefę Ekonomiczną, Kompleks Koszalin</t>
  </si>
  <si>
    <t>Uzbrojenie Osiedla Wilkowo</t>
  </si>
  <si>
    <t>ul. Lniana - Różana</t>
  </si>
  <si>
    <t>Uzbrojenie Osiedla Unii Europejskiej</t>
  </si>
  <si>
    <t>Uzbrojenie ul. Szczecińskiej</t>
  </si>
  <si>
    <t>Budowa separatorów</t>
  </si>
  <si>
    <t>Schronisko dla zwierząt</t>
  </si>
  <si>
    <t>Przeniesienie schroniska</t>
  </si>
  <si>
    <t>Oświetlenie ulic, placów i dróg</t>
  </si>
  <si>
    <t>Budowa nowych punktów świetlnych</t>
  </si>
  <si>
    <t>Magistrala wodociągowa do Lubiatowa</t>
  </si>
  <si>
    <t>Rozbudowa Cmentarza Komunalnego</t>
  </si>
  <si>
    <t>Dokumentacja pod przyszłe inwestycje</t>
  </si>
  <si>
    <t>Wydatki na inwestycje zakończone</t>
  </si>
  <si>
    <t>Budowa światłowodów</t>
  </si>
  <si>
    <t>Inwestycyjne inicjatywy społeczne</t>
  </si>
  <si>
    <t>KULTURA I OCHRONA DZIEDZICTWA NARODOWEGO</t>
  </si>
  <si>
    <t>Teatry dramatyczne i lalkowe</t>
  </si>
  <si>
    <t>Modernizacja Bałtyckiego Teatru Dramatycznego</t>
  </si>
  <si>
    <t>Domy, ośrodki kultury, świetlice i kluby</t>
  </si>
  <si>
    <t>Modernizacja budynku  MOK - akustyka</t>
  </si>
  <si>
    <t>Remont amfiteatru</t>
  </si>
  <si>
    <t>Muzea</t>
  </si>
  <si>
    <t>6058, 6059,          6220</t>
  </si>
  <si>
    <t>Modernizacja obiektu Muzeum</t>
  </si>
  <si>
    <t>KULTURA FIZYCZNA I SPORT</t>
  </si>
  <si>
    <t>Obiekty sportowe</t>
  </si>
  <si>
    <t>Modernizacja stadionu "Bałtyk" - I etap</t>
  </si>
  <si>
    <t>Budowa hali widowiskowo sportowej</t>
  </si>
  <si>
    <t>INWESTYCJE PLANOWANE DO REALIZACJI w 2006 r.</t>
  </si>
  <si>
    <t>TABELA     IVa</t>
  </si>
  <si>
    <t>Dział rozdział §</t>
  </si>
  <si>
    <t>Wartość kosztory  sowa</t>
  </si>
  <si>
    <t>Poniesione nakłady do końca 2005r.</t>
  </si>
  <si>
    <t xml:space="preserve">Plan 2006r.  </t>
  </si>
  <si>
    <t>Zakres rzeczowy</t>
  </si>
  <si>
    <t xml:space="preserve">INWESTYCJE KONTYNUOWANE </t>
  </si>
  <si>
    <t>ul. Śródmiejska</t>
  </si>
  <si>
    <t>600-60015 § 6050</t>
  </si>
  <si>
    <t xml:space="preserve">Końcowe płatności związane z budową ulicy (w ramach </t>
  </si>
  <si>
    <t>w tym:                       - środki Phare</t>
  </si>
  <si>
    <t>§ 6051</t>
  </si>
  <si>
    <t xml:space="preserve">kontraktu z udziałem środków Phare), zobowiązania </t>
  </si>
  <si>
    <t xml:space="preserve">                               - środki Miasta</t>
  </si>
  <si>
    <t>§ 6052</t>
  </si>
  <si>
    <t>pośrednie-inżynier kontraktu, wyburzenie budynku kościoła.</t>
  </si>
  <si>
    <t>600-60016 § 6050</t>
  </si>
  <si>
    <t>Kontynuacja budowy dróg na osiedlu (ulica Wielkopolska-Kielecka).</t>
  </si>
  <si>
    <t>Kontynuacja budowy dróg i parkingów na osiedlu - V etap (KTBS).</t>
  </si>
  <si>
    <t>Kontynuacja budowy ulicy.</t>
  </si>
  <si>
    <t xml:space="preserve">Budowa parkingu  przy Szpitalu Wojewódzkim </t>
  </si>
  <si>
    <t>700-70095  § 6050</t>
  </si>
  <si>
    <t>Adaptacja budynków dla celów socjalnych (przy ul. Batalionów Chłopskich, 4-go Marca, Lechickiej)</t>
  </si>
  <si>
    <t>Budynek przy ul.Jana z Kolna</t>
  </si>
  <si>
    <t>Remont budynku dla Polskiego Związku Głuchych</t>
  </si>
  <si>
    <t>BEZPIECZEŃSTWO PUBLICZNE I I OCHRONA PRZECIWPOŻAROWA</t>
  </si>
  <si>
    <t>Remont budynku przy ul. Słowackiego</t>
  </si>
  <si>
    <t>900-90001 § 6050</t>
  </si>
  <si>
    <t>Remont budynku komendy Policji</t>
  </si>
  <si>
    <t>w szkole nr 11,4,5,6,7</t>
  </si>
  <si>
    <t>Wymiana instalacji elektr i stolarki okiennej</t>
  </si>
  <si>
    <t>w Gimnazjum nr 11 i Zespole Szkół nr 4</t>
  </si>
  <si>
    <t>Modernizacja szkół</t>
  </si>
  <si>
    <t>Modernizacje w szkołach ( II LO, ZS nr 1, ZS nr 10)</t>
  </si>
  <si>
    <t>Wykonanie elewacji w Zespole Burs Międzyszkolnych</t>
  </si>
  <si>
    <t>Kontynuacja uzbrojenia terenu pod Strefę</t>
  </si>
  <si>
    <t>Uzbrojenie osiedla Wilkowo</t>
  </si>
  <si>
    <t>Kontynuacja budowy kanalizacji sanitarnej wraz z przepompownią.  Planowana pożyczka preferencyjna z WFOŚiGW.</t>
  </si>
  <si>
    <t>Kontynuacja budowy uzbrojenia - rozpoczęcie budowy kanalizacji sanitarnej i deszczowej.</t>
  </si>
  <si>
    <t>ul.Lniana-Różana</t>
  </si>
  <si>
    <t>Kontynuacja porządkowania gospodarki wodno-ściekowej</t>
  </si>
  <si>
    <t>Kontynuacja uzbrajania Osiedla Unii Europejskiej w niezbędną infrastrukturę</t>
  </si>
  <si>
    <t>ciągle</t>
  </si>
  <si>
    <t>900-90095 § 6050</t>
  </si>
  <si>
    <t>Kontynuacja rozbudowy (etap I, zadanie III - część zachodnia)</t>
  </si>
  <si>
    <t>Kontynuacja budowy magistrali wodociągowej                     (w ul. Lubiatowskiej)</t>
  </si>
  <si>
    <t>ciągłe</t>
  </si>
  <si>
    <t xml:space="preserve">Załącznik nr 1 </t>
  </si>
  <si>
    <t>Przeglądy gwarancyjne, wykupy gruntów, odszkodowania.</t>
  </si>
  <si>
    <t>900-90095  §6050</t>
  </si>
  <si>
    <t>Załącznik nr 2</t>
  </si>
  <si>
    <t>921-92109 § 6050</t>
  </si>
  <si>
    <t>Dostosowanie sali widowiskowej i prób orkiestry dla potrzeb Filharmonii.</t>
  </si>
  <si>
    <t>Kontynuacja remontu amfiteatru</t>
  </si>
  <si>
    <t>Modernizacja stadionu "Bałtyk" I etap</t>
  </si>
  <si>
    <t>926-92601</t>
  </si>
  <si>
    <t>Kontynuacja modernizacji stadionu (I etap) w zakresie  boiska głównego i treningowego ze sztuczną trawą. Planowane dofinansowanie zewnętrzne  - .środki MENiS i UE w ramach ZPORR.</t>
  </si>
  <si>
    <t xml:space="preserve">INWESTYCJE ROZPOCZYNANE </t>
  </si>
  <si>
    <t>Usprawnienie układu komunikacyjnego miasta Koszalin- przebudowa ul. Połczyńskiej</t>
  </si>
  <si>
    <t>Rozpoczęcie przebudowy ulicy</t>
  </si>
  <si>
    <t>Skrzyżowanie ulic:Władysława IV-go  Akademicka</t>
  </si>
  <si>
    <t>Przebudowa skrzyżowania</t>
  </si>
  <si>
    <t>ul. Orląt Lwowskich</t>
  </si>
  <si>
    <t>Rozpoczęcie naprawy ulicy</t>
  </si>
  <si>
    <t>ul. Olchowa</t>
  </si>
  <si>
    <t>Rozpoczęcie budowy ulicy. Planowane dofinansowanie zewnętrzne (UE w ramach ZPORR)</t>
  </si>
  <si>
    <t xml:space="preserve"> w tym:                           - środki ZPORR</t>
  </si>
  <si>
    <t>§ 6058</t>
  </si>
  <si>
    <t xml:space="preserve">                                     - środki Miasta     </t>
  </si>
  <si>
    <t>§6059</t>
  </si>
  <si>
    <t>ul. Rzeczna (dojazd do Specj.Ośodka Szkolno-Wych.)</t>
  </si>
  <si>
    <t>Realizacja dojazdu.</t>
  </si>
  <si>
    <t>Realizacja połączenia.</t>
  </si>
  <si>
    <t>Przebudowa ul.Chrobrego, ul.Domina i ul.Krzywoustego</t>
  </si>
  <si>
    <t>Przebudowa ulic</t>
  </si>
  <si>
    <t>ul.Karłowicza</t>
  </si>
  <si>
    <t>Rozpoczęcie budowy nowej nawierzchni</t>
  </si>
  <si>
    <t>ul.Niepodlegości</t>
  </si>
  <si>
    <t>Parking przy Szpitalu Gruźliczym</t>
  </si>
  <si>
    <t>Rozpoczęcie budowy parkingu</t>
  </si>
  <si>
    <t>Modernizacja pomieszczeń Zarządu Dróg Miejskich</t>
  </si>
  <si>
    <t>Modernizacja siedziby Zarządu Dróg Miejskich</t>
  </si>
  <si>
    <t>Rozpoczęcie prac nad utworzeniem Centrum Powiadamiania Kryzysowego</t>
  </si>
  <si>
    <t>Modernizacja pomieszczeń w Komendzie Policji w Ksozalinie oraz dofiansowanie remontu boisk</t>
  </si>
  <si>
    <t>Modernizacja budynku Stowarzyszenia Na Rzecz Osób z Upośledzeniem Umysłowym</t>
  </si>
  <si>
    <t>Rozpoczęcie modernizacji budynku</t>
  </si>
  <si>
    <t>Modernizacja placówek oświatowo-wychowawczych</t>
  </si>
  <si>
    <t>Rozpoczęcie modernizacji placówek oświatowo-wychowawczych</t>
  </si>
  <si>
    <t>Utrzymanie kanalizacji deszczowej - budowa separatorów i inwentaryzacja sieci</t>
  </si>
  <si>
    <t>Przeniesienie schroniska poza miasto</t>
  </si>
  <si>
    <t>Położenie infrastruktury transmisyjnej w ramach przedsięwzięcia Ogólnopolska Sieć Optyczna</t>
  </si>
  <si>
    <t>921-92106 § 6050</t>
  </si>
  <si>
    <t>Rozpoczęcie modernizacji.</t>
  </si>
  <si>
    <t xml:space="preserve">Modernizacja obiektu Muzeum </t>
  </si>
  <si>
    <t>921-92118 § 6050</t>
  </si>
  <si>
    <t xml:space="preserve">Rozpoczęcie realizacji. Planowane dofinansowanie </t>
  </si>
  <si>
    <t>w tym:                         - środki ZPORR</t>
  </si>
  <si>
    <t>zewnętrzne (środki UE - ZPORR)</t>
  </si>
  <si>
    <t xml:space="preserve">                                 - środki Miasta</t>
  </si>
  <si>
    <t>§ 6059</t>
  </si>
  <si>
    <t>926-92601 § 6050</t>
  </si>
  <si>
    <t>Rozpoczęcie realizacji wspólnej inwestycji z Politechniką Koszalińską. Planowane dofinansowanie zewnętrzne.</t>
  </si>
  <si>
    <t xml:space="preserve">Ogółem inwestycje (I+II)  </t>
  </si>
  <si>
    <t>TABELA V</t>
  </si>
  <si>
    <t>WYKAZ ZAKUPÓW INWESTYCYJNYCH</t>
  </si>
  <si>
    <t>NA 2006 r.</t>
  </si>
  <si>
    <t>Wartość</t>
  </si>
  <si>
    <t>GMINA WŁASNE</t>
  </si>
  <si>
    <t>Zarząd Dróg Miejskich</t>
  </si>
  <si>
    <t>zakup  zestawów komputerowych, licencji na oprogramowanie, programów antywirusowych, jednostek komputerowych z systemem operacyjnym</t>
  </si>
  <si>
    <t>Urząd Miejski</t>
  </si>
  <si>
    <t>pierwokupy nieruchomości, rozwiązania umów notarialnych</t>
  </si>
  <si>
    <t>zakup samochodu dla Urzędu Miejskiego</t>
  </si>
  <si>
    <t>zakup samochodu dla Straży Miejskiej</t>
  </si>
  <si>
    <t>zakup aparatu cyfrowego, projektora multimedialnego, laptopa i ekranu</t>
  </si>
  <si>
    <t>zakup sprzętu komputerowego, urządzeń sieciowych, oprogramowania</t>
  </si>
  <si>
    <t>Zespół Obsługi Ekonomiczno - Administracyjnej Przedszkoli Miejskich</t>
  </si>
  <si>
    <t>zakup  zestawów komputerowych</t>
  </si>
  <si>
    <t>Miejski Ośrodek Pomocy Społecznej</t>
  </si>
  <si>
    <t>Zakup zestawów komputerowych</t>
  </si>
  <si>
    <t>POWIAT WŁASNE</t>
  </si>
  <si>
    <t>Szkoły</t>
  </si>
  <si>
    <t>zakup serwera - ZS Nr 10</t>
  </si>
  <si>
    <t>Powiatowe Centrum Pomocy Rodzinie</t>
  </si>
  <si>
    <t>TABELA VI</t>
  </si>
  <si>
    <t>WYKAZ  REMONTÓW    UJĘTYCH   W    BUDŻECIE                                             MIASTA   KOSZALINA   NA   2006  ROK</t>
  </si>
  <si>
    <t xml:space="preserve">Dział Rozdz. </t>
  </si>
  <si>
    <t>HANDEL</t>
  </si>
  <si>
    <t>Remont targowiska przy ul.Połczyńskiej</t>
  </si>
  <si>
    <t>Remonty dróg powiatowych</t>
  </si>
  <si>
    <t xml:space="preserve">Remonty dróg gminnych </t>
  </si>
  <si>
    <t>Remont dróg wewnętrznych</t>
  </si>
  <si>
    <t xml:space="preserve">Zarząd Dróg Miejskich </t>
  </si>
  <si>
    <t>ADMINISTRACJA PUBLICZNA</t>
  </si>
  <si>
    <r>
      <t>Urząd Miejski -</t>
    </r>
    <r>
      <rPr>
        <i/>
        <sz val="10"/>
        <rFont val="Times New Roman CE"/>
        <family val="1"/>
      </rPr>
      <t xml:space="preserve"> </t>
    </r>
    <r>
      <rPr>
        <i/>
        <sz val="9"/>
        <rFont val="Times New Roman CE"/>
        <family val="1"/>
      </rPr>
      <t xml:space="preserve"> malowanie pokoi, remont wc i wieży, konserwacja i naprawy sprzętu, wykonanie izolacji w USC i Staży Miejskiej, adaptacja strychu w budynku przy ul. Mickiewicza na pomieszczenia użytkowe (w tym Inf. - 35,0 tys. zł na konserwację sprzętu).</t>
    </r>
  </si>
  <si>
    <t>Komenda Miejska Państwowej Straży Pożarnej</t>
  </si>
  <si>
    <t>Drobne remonty i naprawy w szkołach</t>
  </si>
  <si>
    <r>
      <t xml:space="preserve">Pozostała działalność - </t>
    </r>
    <r>
      <rPr>
        <i/>
        <sz val="10"/>
        <rFont val="Times New Roman CE"/>
        <family val="1"/>
      </rPr>
      <t>remonty w przedszkolach</t>
    </r>
  </si>
  <si>
    <t>Izba Wytrzeźwień</t>
  </si>
  <si>
    <t>POMOC  SPOŁECZNA</t>
  </si>
  <si>
    <t>Placówki opiekuńczo-wychowawcze</t>
  </si>
  <si>
    <t>Ośrodki wsparcia</t>
  </si>
  <si>
    <t>Ośrodki pomocy społecznej</t>
  </si>
  <si>
    <t>Ośrodki adopcyjno-opiekuńcze</t>
  </si>
  <si>
    <t>Remonty i naprawy</t>
  </si>
  <si>
    <t>Remont kanalizacji deszczowej</t>
  </si>
  <si>
    <t xml:space="preserve">Remonty i konserwacja  oświetlenia </t>
  </si>
  <si>
    <r>
      <t xml:space="preserve">Pozostała działalność - </t>
    </r>
    <r>
      <rPr>
        <i/>
        <sz val="9"/>
        <rFont val="Times New Roman CE"/>
        <family val="1"/>
      </rPr>
      <t>remonty placów zabaw</t>
    </r>
  </si>
  <si>
    <t>Biblioteki</t>
  </si>
  <si>
    <t>Muzeum</t>
  </si>
  <si>
    <t>Remont murów miejskich</t>
  </si>
  <si>
    <r>
      <t>Remonty w obiektach ZOS -</t>
    </r>
    <r>
      <rPr>
        <sz val="9"/>
        <rFont val="Times New Roman CE"/>
        <family val="1"/>
      </rPr>
      <t xml:space="preserve"> </t>
    </r>
    <r>
      <rPr>
        <i/>
        <sz val="9"/>
        <rFont val="Times New Roman CE"/>
        <family val="1"/>
      </rPr>
      <t>basen, stadion "Bałtyk", inne obiekty ZOS</t>
    </r>
  </si>
  <si>
    <t>INWESTYCJE I REMONTY PLANOWANE DO REALIZACJI w 2006 r.               A  WIELOLETNI  PLAN  INWESTYCYJNY</t>
  </si>
  <si>
    <t>TABELA   VII</t>
  </si>
  <si>
    <t>WPI 2005-2008  (zgodnie z Uchwałą  RM XXVII/398/2005            z dnia 30 czerwca 2005 r.)</t>
  </si>
  <si>
    <t xml:space="preserve">Końcowe płatności związane z budową ulicy - przekazywane z instytucji pośredniczącej w Warszawie środki UE w ramach Programu Phare, zobowiązania pośrednie-inżynier kontraktu.
</t>
  </si>
  <si>
    <t>Zgodnie z aktualnymi możliwościami budżetu.</t>
  </si>
  <si>
    <t>Zgodnie z planem.</t>
  </si>
  <si>
    <t>Kontynuacja realizacji, zgodnie z potrzebami.</t>
  </si>
  <si>
    <t>Rozpoczęcie remontu</t>
  </si>
  <si>
    <t>Zgodnie z planem</t>
  </si>
  <si>
    <t>Zgodnie z potrzebami.</t>
  </si>
  <si>
    <t>Modernizacja budynku  KOM - akustyka</t>
  </si>
  <si>
    <t>Rozpoczęcie budowy ulicy. Planowane dofinansowanie   zewnętrzne (UE w ramach ZPORR)</t>
  </si>
  <si>
    <t>Kontynuacja przebudowy skrzyżowania</t>
  </si>
  <si>
    <t>Ul. Orląt Lwowskich</t>
  </si>
  <si>
    <t>Zgodnie z aktualnymi możliwościami budżetu</t>
  </si>
  <si>
    <t xml:space="preserve">Rozpoczęcie budowy ulicy. Planowane dofinansowanie </t>
  </si>
  <si>
    <t>zewnętrzne (UE w ramach ZPORR).</t>
  </si>
  <si>
    <t>Modernizacja pomieszczeń w Komendzie Policji w Koszalinie oraz dofinansowanie remontu boisk</t>
  </si>
  <si>
    <t>Rozpoczęcie realizacji, zgodnie z potrzebami.</t>
  </si>
  <si>
    <t>Zgodnie z potrzebami (dofinansowanie zewnętrzne w ramach ZPORR).</t>
  </si>
  <si>
    <t>REMONTY</t>
  </si>
  <si>
    <t xml:space="preserve">Zgodnie z planem </t>
  </si>
  <si>
    <t xml:space="preserve">Remonty dróg i ulic </t>
  </si>
  <si>
    <t>Zgodnie  z planem</t>
  </si>
  <si>
    <r>
      <t xml:space="preserve">Urząd Miejski - </t>
    </r>
    <r>
      <rPr>
        <i/>
        <sz val="9"/>
        <rFont val="Times New Roman CE"/>
        <family val="1"/>
      </rPr>
      <t xml:space="preserve"> malowanie pokoi, remont wc i wieży,konserwacja i naprawy sprzętu, wykonanie izolacji w USC i Straży Miejskiej,adaptacja strychu, w budynku przy ul.Mickiewicza, na pomieszczeń użytkowe,( w tym Inf.- 35,0 tys. zł na konserwacje sprzętu) </t>
    </r>
  </si>
  <si>
    <t>Zgodnie z potrzebami</t>
  </si>
  <si>
    <t>Drobne remonty i naprawy</t>
  </si>
  <si>
    <t>Zgodnie z  niezbędnymi potrzebami</t>
  </si>
  <si>
    <r>
      <t>Pozostała działalność -</t>
    </r>
    <r>
      <rPr>
        <i/>
        <sz val="9"/>
        <rFont val="Times New Roman CE"/>
        <family val="1"/>
      </rPr>
      <t xml:space="preserve"> remonty ZOE-APM</t>
    </r>
  </si>
  <si>
    <t>Zgodnie z możliwościami budżetu</t>
  </si>
  <si>
    <t xml:space="preserve">Placówki opiekuńczo-wychowawcze </t>
  </si>
  <si>
    <t>Zgodnie z niezbędnymi potrzebami</t>
  </si>
  <si>
    <t xml:space="preserve">Remont i konserwacja  oświetlenia </t>
  </si>
  <si>
    <t>Zgodnie z aktualnymi potrzebami</t>
  </si>
  <si>
    <r>
      <t xml:space="preserve">Pozostała działalność - </t>
    </r>
    <r>
      <rPr>
        <i/>
        <sz val="9"/>
        <rFont val="Times New Roman CE"/>
        <family val="1"/>
      </rPr>
      <t>remonty placu zabaw</t>
    </r>
  </si>
  <si>
    <t>OGÓŁEM   INWESTYCJE   I   REMONTY</t>
  </si>
  <si>
    <t>TABELA  VIII</t>
  </si>
  <si>
    <t>PLAN  WYDATKÓW  SZKÓŁ PODSTAWOWYCH,  GIMNAZJÓW,                          DOSKONALENIA  I  DOKSZTAŁCANIA NAUCZYCIELI,  ZAJĘĆ POZALEKCYJNYCH,  NAUKI  PŁYWANIA  I  ŚWIETLIC</t>
  </si>
  <si>
    <t>NA  2006  ROK</t>
  </si>
  <si>
    <t>Dział,               Rozdział</t>
  </si>
  <si>
    <t>WYSZCZEGÓLNIENIE</t>
  </si>
  <si>
    <t>w tym: wynagrodznia                     i pochodne</t>
  </si>
  <si>
    <t>801, 854</t>
  </si>
  <si>
    <t>OŚWIATA I WYCHOWANIE, EDUKACYJNA OPIEKA WYCHOWAWCZA</t>
  </si>
  <si>
    <t>Zespół Szkół Sportowych</t>
  </si>
  <si>
    <t xml:space="preserve"> Szkoła podstawowa </t>
  </si>
  <si>
    <t>Gimnazjum</t>
  </si>
  <si>
    <t>Doskonalenie i dokształcanie nauczycieli</t>
  </si>
  <si>
    <t>Zajęcia pozalekcyjne i nauka pływania</t>
  </si>
  <si>
    <t xml:space="preserve">Świetlica </t>
  </si>
  <si>
    <t>Gimnazjum Nr 2</t>
  </si>
  <si>
    <t>Zespół Szkół Nr 11</t>
  </si>
  <si>
    <t>Oddziały "0"</t>
  </si>
  <si>
    <t xml:space="preserve">Gimnazjum </t>
  </si>
  <si>
    <t>Szkoła Podstawowa Nr 4</t>
  </si>
  <si>
    <t xml:space="preserve">Szkoła podstawowa </t>
  </si>
  <si>
    <t>Szkoła Podstawowa Nr 5</t>
  </si>
  <si>
    <t>Gimnazjum Nr 5</t>
  </si>
  <si>
    <t>Szkoła Podstawowa Nr 6</t>
  </si>
  <si>
    <t>Szkoła Podstawowa Nr 7</t>
  </si>
  <si>
    <t>Szkoła Podstawowa Nr 9</t>
  </si>
  <si>
    <t>Szkoła Podstawowa Nr 10</t>
  </si>
  <si>
    <t>Gimnazjum Nr 11</t>
  </si>
  <si>
    <t>Szkoła Podstawowa Nr 13</t>
  </si>
  <si>
    <t>Gimnazjum Nr 6</t>
  </si>
  <si>
    <t>Szkoła Podstawowa Nr 17</t>
  </si>
  <si>
    <t>Gimnazjum Nr 7</t>
  </si>
  <si>
    <t>Szkoła Podstawowa Nr 18</t>
  </si>
  <si>
    <t>Gimnazjum Nr 9</t>
  </si>
  <si>
    <t>Szkoła Podstawowa Nr 21</t>
  </si>
  <si>
    <t>Zespół Szkół Nr 2</t>
  </si>
  <si>
    <t>Centrum Kształcenia Ustawicznego</t>
  </si>
  <si>
    <t>Razem rozdział 80101</t>
  </si>
  <si>
    <t>Razem rozdział 80103</t>
  </si>
  <si>
    <t>Razem rozdział 80110</t>
  </si>
  <si>
    <t>Razem rozdział 80146</t>
  </si>
  <si>
    <t>Razem rozdział 80195</t>
  </si>
  <si>
    <t>Razem rozdział 85401</t>
  </si>
  <si>
    <t>TABELA  IX</t>
  </si>
  <si>
    <t>PLAN  WYDATKÓW  SZKÓŁ  PONADGIMNAZJALNYCH,  PLACÓWEK  WYCHOWANIA  POZASZKOLNEGO,  SZKÓŁ  I  GIMNAZJÓW  SPECJALNYCH</t>
  </si>
  <si>
    <t>Dział Rozdział</t>
  </si>
  <si>
    <t>w tym: wynagrodzenia                      i pochodne</t>
  </si>
  <si>
    <t>I Liceum Ogólnokształcące</t>
  </si>
  <si>
    <t>Liceum Ogólnokształcące</t>
  </si>
  <si>
    <t>Dokształcanie i doskonalenie nauczycieli</t>
  </si>
  <si>
    <t>II Liceum Ogólnokształcące</t>
  </si>
  <si>
    <t>Zespół Szkół Nr 3</t>
  </si>
  <si>
    <t>Zespół Szkół Nr 1</t>
  </si>
  <si>
    <t>Liceum profilowane</t>
  </si>
  <si>
    <t>Szkoła zawodowa</t>
  </si>
  <si>
    <t>Zespół Szkół Nr 8</t>
  </si>
  <si>
    <t>Zespół Szkół Nr 7</t>
  </si>
  <si>
    <t>Gimnazjum specjalne</t>
  </si>
  <si>
    <t>Zespół Szkół Nr 9</t>
  </si>
  <si>
    <t>Zespół Szkół Nr 10</t>
  </si>
  <si>
    <t>Internat</t>
  </si>
  <si>
    <t>Zespół   Szkół    Nr 12</t>
  </si>
  <si>
    <t>Szkoła podstawowa specjalna</t>
  </si>
  <si>
    <t>Szkoła zawodowa specjalna</t>
  </si>
  <si>
    <t>Świetlica szkolna</t>
  </si>
  <si>
    <t>Specjalny Ośrodek Szkolno - Wychowawczy</t>
  </si>
  <si>
    <t>Przedszkole specjalne</t>
  </si>
  <si>
    <t>Zespół Burs Międzyszkolnych</t>
  </si>
  <si>
    <t>Bursa</t>
  </si>
  <si>
    <t>Młodzieżowy Dom Kultury</t>
  </si>
  <si>
    <t>Państwowe Ognisko Kultury Plastycznej</t>
  </si>
  <si>
    <t>Miejska Poradnia Psychologiczno - Pedagogiczna</t>
  </si>
  <si>
    <t>Razem rozdział 80102</t>
  </si>
  <si>
    <t>Razem rozdział 80105</t>
  </si>
  <si>
    <t>Razem rozdział 80111</t>
  </si>
  <si>
    <t>Razem rozdział 80120</t>
  </si>
  <si>
    <t>Razem rozdział 80123</t>
  </si>
  <si>
    <t>Razem rozdział 80130</t>
  </si>
  <si>
    <t>Razem rozdział 80132</t>
  </si>
  <si>
    <t>Razem rozdział 80134</t>
  </si>
  <si>
    <t>Razem rozdział 80140</t>
  </si>
  <si>
    <t xml:space="preserve">DZIAŁ 801 </t>
  </si>
  <si>
    <t>Razem rozdział 85403</t>
  </si>
  <si>
    <t>Razem rozdział 85406</t>
  </si>
  <si>
    <t>Razem rozdział 85407</t>
  </si>
  <si>
    <t>Razem rozdział 85410</t>
  </si>
  <si>
    <t xml:space="preserve">DZIAŁ 854 </t>
  </si>
  <si>
    <t>POWIAT OGÓŁEM</t>
  </si>
  <si>
    <t>TABELA  X</t>
  </si>
  <si>
    <t>PLAN  WYDATKÓW  RAD  OSIEDLI  NA  2006 ROK</t>
  </si>
  <si>
    <t>Dział</t>
  </si>
  <si>
    <t xml:space="preserve">Plan </t>
  </si>
  <si>
    <t>rozdział</t>
  </si>
  <si>
    <t xml:space="preserve">Wyszczególnienie </t>
  </si>
  <si>
    <t>Dysponent</t>
  </si>
  <si>
    <t>wydatków</t>
  </si>
  <si>
    <t>§</t>
  </si>
  <si>
    <t>BRM</t>
  </si>
  <si>
    <t>Zakup usług remontowych - drogi osiedlowe</t>
  </si>
  <si>
    <t>T. Kotarbińskiego</t>
  </si>
  <si>
    <t>Lechitów</t>
  </si>
  <si>
    <t>J.J. Śniadeckich</t>
  </si>
  <si>
    <t>Tysiąclecia</t>
  </si>
  <si>
    <t>M.. Wańkowicza</t>
  </si>
  <si>
    <t>Wspólny Dom</t>
  </si>
  <si>
    <t>Zakup materiałów i wyposażenia</t>
  </si>
  <si>
    <t>Jedliny</t>
  </si>
  <si>
    <t>Morskie</t>
  </si>
  <si>
    <t>Śródmieście</t>
  </si>
  <si>
    <t>Zakup usług pozostałych</t>
  </si>
  <si>
    <t>Na Skarpie</t>
  </si>
  <si>
    <t>Nagrody i wydatki osobowe nie zaliczane do wynagrodzeń</t>
  </si>
  <si>
    <t>Lubiatowo</t>
  </si>
  <si>
    <t>Składki na ubezpieczenia społeczne</t>
  </si>
  <si>
    <t>Przedmieście K.A.</t>
  </si>
  <si>
    <t>Składki na fundusz pracy</t>
  </si>
  <si>
    <t>Bukowe</t>
  </si>
  <si>
    <t>Wynagrodzenia bezosobowe</t>
  </si>
  <si>
    <t>Rokosowo</t>
  </si>
  <si>
    <t xml:space="preserve">Zakup materiałów i wyposażenia </t>
  </si>
  <si>
    <t>Zakup energii</t>
  </si>
  <si>
    <t>Zakup usług remontowych</t>
  </si>
  <si>
    <t>Zakup pozostałych usług</t>
  </si>
  <si>
    <t>Czynsze</t>
  </si>
  <si>
    <t>Zakup usług remontowych - boiska (szkoły podst.)</t>
  </si>
  <si>
    <t>J.J.Śniadeckich</t>
  </si>
  <si>
    <t>M.Wańkowicza</t>
  </si>
  <si>
    <t>Różne opłaty i składki</t>
  </si>
  <si>
    <t>Utrzymanie zieleni w miastach i gminach</t>
  </si>
  <si>
    <t>Zakup usług pozostałych - zagospodarowanie zieleni</t>
  </si>
  <si>
    <t>Zakup usług remontowych - place zabaw</t>
  </si>
  <si>
    <t>Przemieście K.A.</t>
  </si>
  <si>
    <t>M. Wańkowicza</t>
  </si>
  <si>
    <t>RAZEM</t>
  </si>
  <si>
    <t>PLAN WYDATKÓW WŁASNYCH MIASTA KOSZALINA NA 2006 ROK</t>
  </si>
  <si>
    <t>TABELA XI</t>
  </si>
  <si>
    <t>2005 rok</t>
  </si>
  <si>
    <t>2006 rok</t>
  </si>
  <si>
    <t>Dział Rozdz.   §</t>
  </si>
  <si>
    <t xml:space="preserve">Wyszczególnienie                                       </t>
  </si>
  <si>
    <t>Plan pierwotny</t>
  </si>
  <si>
    <t>Przewidywane wykonanie</t>
  </si>
  <si>
    <t>Propozycje jednostek</t>
  </si>
  <si>
    <t>BUDŻET</t>
  </si>
  <si>
    <t>%                       wyk.                          5 : 3</t>
  </si>
  <si>
    <t>%                   wyk.                 5 : 4</t>
  </si>
  <si>
    <t>Struktura</t>
  </si>
  <si>
    <t>Przewidywane        wykonanie            2005 r.</t>
  </si>
  <si>
    <t>niezbędne</t>
  </si>
  <si>
    <t>roboty inwestycyjne</t>
  </si>
  <si>
    <t>zakupy inwest.        i inne mejątkowe</t>
  </si>
  <si>
    <t>remonty</t>
  </si>
  <si>
    <t>PLAN</t>
  </si>
  <si>
    <t>%    wyk.    14 : 9</t>
  </si>
  <si>
    <t>Przewidywane    wykonanie           2005 r.</t>
  </si>
  <si>
    <t>zakupy inwest.      i inne mejątkowe</t>
  </si>
  <si>
    <t>%   wyk.   21 : 16</t>
  </si>
  <si>
    <t xml:space="preserve">Wynagrodzenia i pochodne </t>
  </si>
  <si>
    <t>010</t>
  </si>
  <si>
    <t>ROLNICTWO I  ŁOWIECTWO</t>
  </si>
  <si>
    <t>01000</t>
  </si>
  <si>
    <t>Integracja z Unią Europejską</t>
  </si>
  <si>
    <t>4410</t>
  </si>
  <si>
    <t>Podróże służbowe krajowe</t>
  </si>
  <si>
    <t>01021</t>
  </si>
  <si>
    <t>Inspekcja weterynaryjna</t>
  </si>
  <si>
    <t>3020</t>
  </si>
  <si>
    <t>Nagrody i inne wydatki nie zaliczane do wynagrodzeń</t>
  </si>
  <si>
    <t>3030</t>
  </si>
  <si>
    <t>Różne wydatki na rzecz osób fizycznych</t>
  </si>
  <si>
    <t>4010</t>
  </si>
  <si>
    <t>Wynagrodzenia osobowe pracowników</t>
  </si>
  <si>
    <t>4020</t>
  </si>
  <si>
    <t xml:space="preserve">Wynagrodzenia osobowe członków korpusu służby cywilnej </t>
  </si>
  <si>
    <t>4040</t>
  </si>
  <si>
    <t>Dodatkowe wynagrodzenia roczne</t>
  </si>
  <si>
    <t>4110</t>
  </si>
  <si>
    <t>4120</t>
  </si>
  <si>
    <t>4210</t>
  </si>
  <si>
    <t>4230</t>
  </si>
  <si>
    <t>Zakup leków i materiałów medycznych</t>
  </si>
  <si>
    <t>4260</t>
  </si>
  <si>
    <t>4270</t>
  </si>
  <si>
    <t>4300</t>
  </si>
  <si>
    <t>4430</t>
  </si>
  <si>
    <t>4440</t>
  </si>
  <si>
    <t>Odpis na ZFŚS</t>
  </si>
  <si>
    <t>4480</t>
  </si>
  <si>
    <t>4550</t>
  </si>
  <si>
    <t>Szkolenia członków korpusu służby cywilnej</t>
  </si>
  <si>
    <t>01030</t>
  </si>
  <si>
    <t>Izby Rolnicze</t>
  </si>
  <si>
    <t>2850</t>
  </si>
  <si>
    <t>Wpłaty gmin na rzecz izb rolniczych w wysokości 2% uzyskanych wpływów z podatku rolnego</t>
  </si>
  <si>
    <t>020</t>
  </si>
  <si>
    <t>LEŚNICTWO</t>
  </si>
  <si>
    <t>02002</t>
  </si>
  <si>
    <t>Nadzór nad gospodarką leśną</t>
  </si>
  <si>
    <t xml:space="preserve">Zakup usług pozostałych </t>
  </si>
  <si>
    <t xml:space="preserve">HANDEL </t>
  </si>
  <si>
    <t>Lokalny transport zbiorowy</t>
  </si>
  <si>
    <t>Dopłaty w spółkach prawa handlowego</t>
  </si>
  <si>
    <t>Wydatki na zakup i objęcie akcji oraz wniesienie wkładów do spółek prawa handlowego (amfibia)</t>
  </si>
  <si>
    <t xml:space="preserve">Wydatki inwestycyjne jednostek budżetowych </t>
  </si>
  <si>
    <t>ul. Gnieźnieńska (od 4-go Marca do Połczyńskiej)</t>
  </si>
  <si>
    <t>skrzyżowanie ul. Władysława IV - Akademicka</t>
  </si>
  <si>
    <t>ul. Kwiatkowskiego</t>
  </si>
  <si>
    <t>ul. Syrenki</t>
  </si>
  <si>
    <t>ul. Podgrodzie</t>
  </si>
  <si>
    <t xml:space="preserve">pętla autobusowa przy ul. Szczecińskiej </t>
  </si>
  <si>
    <t>przebudowa ul. Połczyńskiej - dofinansowanie</t>
  </si>
  <si>
    <t>remont obiektów mostowych ( wiadukt - 1,5 mln, przepust ul. Połczyńska - 0,6 mln)</t>
  </si>
  <si>
    <r>
      <t xml:space="preserve">Wydatki inwestycyjne jednostek budżetowych - </t>
    </r>
    <r>
      <rPr>
        <i/>
        <sz val="9"/>
        <rFont val="Times New Roman CE"/>
        <family val="1"/>
      </rPr>
      <t>budowa ul. Władysława IV</t>
    </r>
  </si>
  <si>
    <r>
      <t xml:space="preserve">Wydatki inwestycyjne jednostek budżetowych - Skrzyżowanie </t>
    </r>
    <r>
      <rPr>
        <i/>
        <sz val="9"/>
        <rFont val="Times New Roman CE"/>
        <family val="1"/>
      </rPr>
      <t>ul. Franciszk. i Armii Krajowej</t>
    </r>
  </si>
  <si>
    <r>
      <t>Wydatki inwestycyjne jednostek budżetowych -</t>
    </r>
    <r>
      <rPr>
        <i/>
        <sz val="9"/>
        <rFont val="Times New Roman CE"/>
        <family val="1"/>
      </rPr>
      <t xml:space="preserve"> Skrzyżowanie Franciszk i Armii Krajowej</t>
    </r>
  </si>
  <si>
    <r>
      <t>Wydatki inwestycyjne jednostek budżetowych - S</t>
    </r>
    <r>
      <rPr>
        <i/>
        <sz val="9"/>
        <rFont val="Times New Roman CE"/>
        <family val="1"/>
      </rPr>
      <t>krzyżowanie Franciszk i Armii Krajowej</t>
    </r>
  </si>
  <si>
    <t>Wydatki inwestycyjne jednostek budżetowych - ul. Połczyńska</t>
  </si>
  <si>
    <r>
      <t>Wydatki inwestycyjne jednostek budżetowych -</t>
    </r>
    <r>
      <rPr>
        <i/>
        <sz val="9"/>
        <rFont val="Times New Roman CE"/>
        <family val="1"/>
      </rPr>
      <t xml:space="preserve"> ul. Połczyńska</t>
    </r>
  </si>
  <si>
    <r>
      <t xml:space="preserve">Wydatki inwestycyjne jednostek budżetowych - </t>
    </r>
    <r>
      <rPr>
        <i/>
        <sz val="9"/>
        <rFont val="Times New Roman CE"/>
        <family val="1"/>
      </rPr>
      <t>budowa ulicy Śródmiejskiej</t>
    </r>
  </si>
  <si>
    <t xml:space="preserve">Drogi publiczne gminne </t>
  </si>
  <si>
    <t xml:space="preserve">ul. Wenedów </t>
  </si>
  <si>
    <t>Sienkiewicza (kontynuacja)</t>
  </si>
  <si>
    <t>ul. Bursztynowa</t>
  </si>
  <si>
    <t xml:space="preserve">ul. Marynarzy </t>
  </si>
  <si>
    <t>ul. Lutyków</t>
  </si>
  <si>
    <t>ul. Łużycka</t>
  </si>
  <si>
    <t>Wydatki inwestycyjne jednostek budżetowych - ul. Olchowa</t>
  </si>
  <si>
    <t xml:space="preserve">Wydatki inwestycyjne jednostek budżetowych, w tym; </t>
  </si>
  <si>
    <t>ul. Rzeczna (dojazd do Specj. Ośrodka Szkolno - Wych.)</t>
  </si>
  <si>
    <t xml:space="preserve"> ul.Krańcowa</t>
  </si>
  <si>
    <t xml:space="preserve"> Osiedle " Bukowe " - drogi</t>
  </si>
  <si>
    <t>Oś. Wenedów - drogi</t>
  </si>
  <si>
    <t>Osiedle Topolowe - drogi</t>
  </si>
  <si>
    <t>Oś. Unii Europejskiej - drogi</t>
  </si>
  <si>
    <t>Oś. Lipowe - drogi</t>
  </si>
  <si>
    <t>ul. Kosynierów</t>
  </si>
  <si>
    <t>ul.Kamieniarska</t>
  </si>
  <si>
    <t>ul. Walecznych</t>
  </si>
  <si>
    <t>przebudowa ul. Chrobrego (ZDM)</t>
  </si>
  <si>
    <t>przebudowa ul. Mickiewicza, Asnyka, Grodz. (ZDM)</t>
  </si>
  <si>
    <t>przebudowa ul. Chrobrego, ul. Domina, ul. Krzywoustego (ZDM)</t>
  </si>
  <si>
    <t>połączenie ul. Strażackiej z ul. Połczyńską</t>
  </si>
  <si>
    <t>parking przy ul. Kwiatkowskiego</t>
  </si>
  <si>
    <t>ul. Ułańska - Kadetów</t>
  </si>
  <si>
    <t>ul. Akacjowa</t>
  </si>
  <si>
    <t>ul. Jarzębinowa - chodniki</t>
  </si>
  <si>
    <t>ul. Zdobywców Wału Pomorskiego - odcinek od ul. Sianowskiej do ul. Słonecznej</t>
  </si>
  <si>
    <t xml:space="preserve">Zakup usług remontowych </t>
  </si>
  <si>
    <t xml:space="preserve">Zakup usług remontowych RO </t>
  </si>
  <si>
    <t>Oś. Bukowe</t>
  </si>
  <si>
    <t>Oś. T. Kotarbińskiego</t>
  </si>
  <si>
    <t>Oś. Śniadeckich</t>
  </si>
  <si>
    <t>Oś. Lechitów</t>
  </si>
  <si>
    <t>Oś. Lubiatowo</t>
  </si>
  <si>
    <t>Oś. Tysiąclecia</t>
  </si>
  <si>
    <t>Oś. Wańkowicza</t>
  </si>
  <si>
    <t>Oś. Przedmieście Ks. Anny</t>
  </si>
  <si>
    <t>Oś. Wspólny Dom</t>
  </si>
  <si>
    <r>
      <t>Wydatki inwestycyjne jednostek budżetowych</t>
    </r>
    <r>
      <rPr>
        <i/>
        <sz val="9"/>
        <rFont val="Times New Roman CE"/>
        <family val="1"/>
      </rPr>
      <t xml:space="preserve"> - ulice</t>
    </r>
  </si>
  <si>
    <r>
      <t>Wydatki inwestycyjne jednostek budżetowych</t>
    </r>
    <r>
      <rPr>
        <i/>
        <sz val="9"/>
        <rFont val="Times New Roman CE"/>
        <family val="1"/>
      </rPr>
      <t xml:space="preserve"> - parking przy Szpitalu Wojewódzkim</t>
    </r>
  </si>
  <si>
    <t>Zakup pozostałych usług - RWZ "Zintegrowany plan transportu publicznego"</t>
  </si>
  <si>
    <t>ZDM</t>
  </si>
  <si>
    <t>Wydatki osobowe niezaliczane do wynagrodzeń</t>
  </si>
  <si>
    <r>
      <t>Wynagrodzenia osobowe pracowników</t>
    </r>
    <r>
      <rPr>
        <i/>
        <sz val="9"/>
        <rFont val="Times New Roman CE"/>
        <family val="1"/>
      </rPr>
      <t xml:space="preserve"> (w tym: nagrody jubileuszowe 15,0 tys. - 2005,  104,3 tys. - 2006)</t>
    </r>
  </si>
  <si>
    <t>Dodatkowe wynagrodzenie roczne</t>
  </si>
  <si>
    <t>Składki na ubezpieczenie społeczne</t>
  </si>
  <si>
    <t>Składki na  FP</t>
  </si>
  <si>
    <t>Wpłaty na PFRON</t>
  </si>
  <si>
    <t>Zakup usług zdrowotnych</t>
  </si>
  <si>
    <t>Zakup usług do sieci Internet</t>
  </si>
  <si>
    <t>Podróże  służbowe zagraniczne</t>
  </si>
  <si>
    <t>Odsetki od dotacji wykorzystanych niezgodnie z przeznaczeniem lub pobranych w nadmiernej wysokości</t>
  </si>
  <si>
    <t>Pozostałe odsetki</t>
  </si>
  <si>
    <t>Kary i odszkodowania wypłacane na rzecz osób fizycznych</t>
  </si>
  <si>
    <t>Koszty postępowania sadowego i prokuratorskiego</t>
  </si>
  <si>
    <t xml:space="preserve">Wydatki na zakupy inwestycyjne jednostek budżetowych </t>
  </si>
  <si>
    <t xml:space="preserve">Wydatki  inwestycyjne jednostek budżetowych - rozbudowę systemu antywłamaniowego </t>
  </si>
  <si>
    <t>TURYSTYKA</t>
  </si>
  <si>
    <t>Zdania w zakresie upowszechniania turystyki</t>
  </si>
  <si>
    <t xml:space="preserve">Dotacja celowa z budżetu na finansowanie lub dofinansowanie zadań zleconych do realizacji stowarzyszeniom </t>
  </si>
  <si>
    <t>"Szlak gotyku ceglanego EuRoB II"</t>
  </si>
  <si>
    <t>Podróże służbowe zagraniczne</t>
  </si>
  <si>
    <t>"Trasa Staromiejska"</t>
  </si>
  <si>
    <t>Zakłady gospodarki mieszkaniowej - ZBM</t>
  </si>
  <si>
    <t>Dotacja podmiotowa z budżetu dla zakładu budżetowego</t>
  </si>
  <si>
    <t>remont - ul. Dworcowa</t>
  </si>
  <si>
    <t>utrzymanie terenów ogólnodostępnych</t>
  </si>
  <si>
    <t>uzupełnienie funduszu remontowego - 2004r.</t>
  </si>
  <si>
    <t>uzupełnienie funduszu remontowego - 2005r.</t>
  </si>
  <si>
    <t>odtworzenie funduszu remontowego</t>
  </si>
  <si>
    <t>bieżący fundusz remontowy</t>
  </si>
  <si>
    <r>
      <t xml:space="preserve">Dotacje celowe z budżetu na finansowanie lub dofinansowanie kosztów realizacji inwestycji i zakupóow inwestycyjnych zakładów budżetowych </t>
    </r>
    <r>
      <rPr>
        <i/>
        <sz val="9"/>
        <rFont val="Times New Roman CE"/>
        <family val="1"/>
      </rPr>
      <t>(estetyzacja, remonty dachów, elewacji, stolarka)</t>
    </r>
  </si>
  <si>
    <t>Gospodarka gruntami i nieruchomościami</t>
  </si>
  <si>
    <r>
      <t xml:space="preserve">Różne wydatki na rzecz osób fizycznych - </t>
    </r>
    <r>
      <rPr>
        <i/>
        <sz val="9"/>
        <rFont val="Times New Roman CE"/>
        <family val="1"/>
      </rPr>
      <t>odszkodowania za przejęte mienie</t>
    </r>
  </si>
  <si>
    <t>Zakupmocy naukowych,  dydaktycznych i książek</t>
  </si>
  <si>
    <r>
      <t>Zakup pozostałych usług - o</t>
    </r>
    <r>
      <rPr>
        <i/>
        <sz val="9"/>
        <rFont val="Times New Roman CE"/>
        <family val="1"/>
      </rPr>
      <t xml:space="preserve">pracowania, podziały geodezyjne, ekspertyzy, wyrysy </t>
    </r>
  </si>
  <si>
    <t>Koszty postępowania sądowego i prokuratorskiego</t>
  </si>
  <si>
    <t>Kary i odszkodowania wypłacane na rzecz osób prawnych i innych jednostek organizacyjnych</t>
  </si>
  <si>
    <t>Towarzystwa budownictwa społecznego</t>
  </si>
  <si>
    <t>Wydatki na zakup i objęcie akcji oraz wniesienie wkładów do spółek prawa handlowego - KTBS</t>
  </si>
  <si>
    <t>Zakup materiałów i wyposażenia  - RO</t>
  </si>
  <si>
    <t>Zakup usłup pozostałych - RO</t>
  </si>
  <si>
    <t>Zakup usłup pozostałych - IK</t>
  </si>
  <si>
    <t>Składki na FP</t>
  </si>
  <si>
    <r>
      <t xml:space="preserve">Wydatki inwestycyjne jednostek budżetowych - IK                                      </t>
    </r>
    <r>
      <rPr>
        <i/>
        <sz val="9"/>
        <rFont val="Times New Roman CE"/>
        <family val="1"/>
      </rPr>
      <t>(budynek na ul. Jana z Kolna 24 b - Polski Związek Głuchych)</t>
    </r>
  </si>
  <si>
    <r>
      <t xml:space="preserve">Wydatki inwestycyjne jednostek budżetowych - IK                                      </t>
    </r>
    <r>
      <rPr>
        <i/>
        <sz val="9"/>
        <rFont val="Times New Roman CE"/>
        <family val="1"/>
      </rPr>
      <t>(mieszkania socjalne)</t>
    </r>
  </si>
  <si>
    <t>Mieszkania socjalne  - 1.500,0 tys.zł ; mieszkania komunalne - 400,0 tys.zł</t>
  </si>
  <si>
    <t>DZIAŁALNOŚĆ USŁUGOWA</t>
  </si>
  <si>
    <t>Składki na Fundusz Pracy</t>
  </si>
  <si>
    <t>Prace geodezyjne i kartograficzne (nieinwestycyjne)</t>
  </si>
  <si>
    <t>Opracowania geodezyjne i kartograficzne</t>
  </si>
  <si>
    <t>Plan zagospodarowania przestrzennego</t>
  </si>
  <si>
    <r>
      <t xml:space="preserve">Zakup usług pozostałych </t>
    </r>
    <r>
      <rPr>
        <i/>
        <sz val="9"/>
        <rFont val="Times New Roman CE"/>
        <family val="1"/>
      </rPr>
      <t>(150,0 tys. zł - "Gminny program opieki nad zabytkami")</t>
    </r>
  </si>
  <si>
    <t>Nadzór budowlany</t>
  </si>
  <si>
    <t>Dodatkowe  wynagrodzenie roczne</t>
  </si>
  <si>
    <t>Krajowe podróże służbowe</t>
  </si>
  <si>
    <t>Cmentarze</t>
  </si>
  <si>
    <r>
      <t xml:space="preserve">Zakup usług pozostałych - </t>
    </r>
    <r>
      <rPr>
        <i/>
        <sz val="9"/>
        <rFont val="Times New Roman CE"/>
        <family val="1"/>
      </rPr>
      <t>z tytułu  porozumień</t>
    </r>
  </si>
  <si>
    <r>
      <t xml:space="preserve">Zakup usług pozostałych  - </t>
    </r>
    <r>
      <rPr>
        <i/>
        <sz val="9"/>
        <rFont val="Times New Roman CE"/>
        <family val="1"/>
      </rPr>
      <t>utrzymanie cmentarza</t>
    </r>
  </si>
  <si>
    <t>Pozostała działalność - RWZ</t>
  </si>
  <si>
    <t>"Promocja rozwoju Koszalina - Vademecum Inwestora"</t>
  </si>
  <si>
    <t>"Koszaliński katalog usług polsko - niemieckich"</t>
  </si>
  <si>
    <t>Urzędy Wojewódzkie</t>
  </si>
  <si>
    <t>Starostwa powiatowe</t>
  </si>
  <si>
    <t>Dotacje celowe przekazane dla powiatu na zadania bieżące realizowane na podstawie porozumień między jednostkami samorządu terytorialnego - Biuro Rzeczy Znalezionych</t>
  </si>
  <si>
    <t>Dotacje celowe przekazane dla powiatu na zadania bieżące realizowane na podstawie porozumień między jednostkami samorządu terytorialnego - dofinansowanie PUP</t>
  </si>
  <si>
    <t>Wynagrodzenia osobowe</t>
  </si>
  <si>
    <t>Składki na ubezpieczenia społeczne - Km</t>
  </si>
  <si>
    <t xml:space="preserve">Składki na FP </t>
  </si>
  <si>
    <t>Składki na FP - Km</t>
  </si>
  <si>
    <t>Wynagrodzenia bezosobowe - Km</t>
  </si>
  <si>
    <t>Zakup materiałów i wyposażenia - Km</t>
  </si>
  <si>
    <t>Zakup usług pozostałych - Km</t>
  </si>
  <si>
    <t>Rada Miejska</t>
  </si>
  <si>
    <t>Biuro Rady Miejskiej</t>
  </si>
  <si>
    <t>Młodzieżowa Rada Miasta</t>
  </si>
  <si>
    <t>Nagrody o charakterze szczególnym niezaliczane do wynagrodzeń</t>
  </si>
  <si>
    <t>Wydział O-A</t>
  </si>
  <si>
    <t>Straż Miejska</t>
  </si>
  <si>
    <t>Rp</t>
  </si>
  <si>
    <t>BHP</t>
  </si>
  <si>
    <t>Różne wydatki na rzecz osób fizycznych - OA</t>
  </si>
  <si>
    <t>Wynagrodzenia osobowe pracowników - OA</t>
  </si>
  <si>
    <t>Dodatkowe wynagrodzenie roczne - OA</t>
  </si>
  <si>
    <t>Wynagrodzenia agencyjno - prowizyjne - Fk</t>
  </si>
  <si>
    <t>Składki na ubezpieczenia społeczne - E</t>
  </si>
  <si>
    <t>Składki na ubezpieczenia społeczne - OA</t>
  </si>
  <si>
    <t>Składki na FP - E</t>
  </si>
  <si>
    <t>Składki na FP - OA</t>
  </si>
  <si>
    <t>Wynagrodzenia bezosobowe - OA</t>
  </si>
  <si>
    <t>Wynagrodzenia bezosobowe - E</t>
  </si>
  <si>
    <t>Organiz. - Administracyjny</t>
  </si>
  <si>
    <t>Wydział Komunikacji</t>
  </si>
  <si>
    <t>Inspektor ds. BHP</t>
  </si>
  <si>
    <t>Informatyk</t>
  </si>
  <si>
    <t>Zakup pomocy naukowych, dydaktycznych i książek - OA</t>
  </si>
  <si>
    <t>Zakup usług remontowych - OA</t>
  </si>
  <si>
    <r>
      <t>Zakup usług remontowych</t>
    </r>
    <r>
      <rPr>
        <b/>
        <sz val="9"/>
        <rFont val="Times New Roman CE"/>
        <family val="1"/>
      </rPr>
      <t xml:space="preserve"> -</t>
    </r>
    <r>
      <rPr>
        <sz val="9"/>
        <rFont val="Times New Roman CE"/>
        <family val="1"/>
      </rPr>
      <t xml:space="preserve"> Inf.</t>
    </r>
  </si>
  <si>
    <t>Zakup usług medycznych - BHP</t>
  </si>
  <si>
    <t>Zakup usług pozostałych  w tym:</t>
  </si>
  <si>
    <t>Wydz.Fk</t>
  </si>
  <si>
    <t>Wydz. Komunikacji</t>
  </si>
  <si>
    <t>Wydz. O- A</t>
  </si>
  <si>
    <t>Biuro Zamówień Publicznych</t>
  </si>
  <si>
    <t>Inf.</t>
  </si>
  <si>
    <t>Zakup usług dostępu do sieci Internet</t>
  </si>
  <si>
    <t>Podróże służbowe zagraniczne - RWZ</t>
  </si>
  <si>
    <t>Koszty postępowania sądowego - Rp</t>
  </si>
  <si>
    <t>Koszty postępowania sądowego -Fk</t>
  </si>
  <si>
    <t>Wydatki inwestycyjne jednostek budżetowych - Inf.</t>
  </si>
  <si>
    <r>
      <t xml:space="preserve">Wydatki na zakupy inwestycyjne jednostek budżetowych </t>
    </r>
    <r>
      <rPr>
        <i/>
        <sz val="9"/>
        <rFont val="Times New Roman CE"/>
        <family val="1"/>
      </rPr>
      <t>w tym:</t>
    </r>
  </si>
  <si>
    <t>Biuro informatyki</t>
  </si>
  <si>
    <t xml:space="preserve">Wydz. O - A </t>
  </si>
  <si>
    <t>Wydz. RWZ (aparat cyfrowy - 1,0 tys., projektor multimedialny - 3,5 tys., laptop- 3,2 tys., ekran - 0,7 tys.)</t>
  </si>
  <si>
    <t>Straż Miejska- samochód do przewozu nietrzeźwych</t>
  </si>
  <si>
    <t xml:space="preserve">Komisje poborowe </t>
  </si>
  <si>
    <t xml:space="preserve">Spis powszechny i inne </t>
  </si>
  <si>
    <t>Komisje poborowe</t>
  </si>
  <si>
    <t>Promocja jednostek samorządu terytorialnego</t>
  </si>
  <si>
    <t>Zakup materiałów i wyposażenia - PI</t>
  </si>
  <si>
    <t xml:space="preserve">Zakup pozostałych usług -PI  </t>
  </si>
  <si>
    <t>Zakup usług dostępu do sieci Internet - PI</t>
  </si>
  <si>
    <t>Różne opłaty i składki -  PI</t>
  </si>
  <si>
    <t>Zakup usług pozostałych - RWZ "Pierwsza Kronika Miasta Koszalina pióra J. D. Wendlanda"</t>
  </si>
  <si>
    <t>Zakup usług pozostałych - KS</t>
  </si>
  <si>
    <t>Pozostała działalność -  RO</t>
  </si>
  <si>
    <t>Zakup usług  pozostałych</t>
  </si>
  <si>
    <t>Zakup pozostałych usług - czynsze</t>
  </si>
  <si>
    <t>Składki na ubezpieczenie społeczne (RWZ)</t>
  </si>
  <si>
    <t>Nagrody o charakterze szczególnym niezaliczane do wynagrodzeń -PI</t>
  </si>
  <si>
    <t>Nagrody o charakterze szczególnym niezaliczane do wynagrodzeń - USC</t>
  </si>
  <si>
    <t>Składki na Fundusz Pracy (RWZ)</t>
  </si>
  <si>
    <t>Wynagrodzenia bezosobowe - RWZ</t>
  </si>
  <si>
    <t>Zakupy materiałów i wyposażenia  - RWZ</t>
  </si>
  <si>
    <t>Zakup usług pozostałych (RWZ)</t>
  </si>
  <si>
    <t>Różne opłaty i składki -  RWZ</t>
  </si>
  <si>
    <t xml:space="preserve">Dotacja celowa z budżetu na finansowanie lub dofinansowanie zadań zleconych do realizacji fundacjom </t>
  </si>
  <si>
    <t xml:space="preserve"> - dofinansowanie Regionalnego Centrum Informacji Europejskiej - CIP</t>
  </si>
  <si>
    <t xml:space="preserve"> - dofinansowanie działalności CIP</t>
  </si>
  <si>
    <t>URZĘDY NACZELNYCH ORGANÓW WŁADZY PAŃSTWOWEJ, KONTROLI I OCHRONY PRAWA ORAZ SĄDOWNICTWA</t>
  </si>
  <si>
    <t>Urzędy naczelnych organów władzy państwowej, kontroli i ochrony prawa</t>
  </si>
  <si>
    <t>Zakup materiałów i wyposażenia OA</t>
  </si>
  <si>
    <t>Wybory do rad gmin, rad powiatów i sejmików województw oraz referenda gminne, powiatowe i wojewódzkie</t>
  </si>
  <si>
    <t xml:space="preserve">Nagrody i wydatki osobowe nie zaliczane do wynagrodzeń </t>
  </si>
  <si>
    <t>Referenda ogólnokrajowe i konstytucyjne</t>
  </si>
  <si>
    <t>Komendy powiatowe Policji</t>
  </si>
  <si>
    <t xml:space="preserve">Wpłaty jednostek na fundusz celowy </t>
  </si>
  <si>
    <t>Wpłaty jednostek na fundusz celowy na finansowanie lub dofinansowanie zadań inwestycyjnych</t>
  </si>
  <si>
    <t>Komendy powiatowe Państwowej Straży Pożarnej</t>
  </si>
  <si>
    <r>
      <t xml:space="preserve">Zakup materiałów i wyposażenia </t>
    </r>
    <r>
      <rPr>
        <i/>
        <sz val="9"/>
        <rFont val="Times New Roman CE"/>
        <family val="1"/>
      </rPr>
      <t>(Zintegrowany System Ratownjctwa)</t>
    </r>
  </si>
  <si>
    <r>
      <t>Wydatki na zakupy inwestycyjne jednostek budżetowych</t>
    </r>
    <r>
      <rPr>
        <i/>
        <sz val="9"/>
        <rFont val="Times New Roman CE"/>
        <family val="1"/>
      </rPr>
      <t xml:space="preserve"> ( 300,0 tys. zł - samochód ratowniczo-gaśniczy, 200,0 tys. zł - Centrum Powiadamiania Ratowniczego )</t>
    </r>
  </si>
  <si>
    <t>Ochotnicze straże pożarne</t>
  </si>
  <si>
    <t>Dotacja celowa z budżetu na finansowanie lub dofinansowanie zadań zleconych do realizacji stowarzyszeniom</t>
  </si>
  <si>
    <t>Obrona cywilna</t>
  </si>
  <si>
    <t>Zakup pozostałych usług - Zintegrowany System Ratownictwa</t>
  </si>
  <si>
    <t>Wydatki na zakupy inwestycyjne jednostek budżetowych</t>
  </si>
  <si>
    <t>DOCHODY OD OSÓB PRAWNYCH, OD OSÓB FIZYCZNYCH I OD INNYCH JEDNOSTEK NIEPOSIADAJĄCYCH OSOBOWOŚCI PRAWNEJ</t>
  </si>
  <si>
    <t>Pobór podatków, opłat i niepodatkowych należności budżetowych</t>
  </si>
  <si>
    <t>Wynagrodzenia agencyjno - prowizyjne IK</t>
  </si>
  <si>
    <t>Składki na ubezpieczenia społeczne -  IK</t>
  </si>
  <si>
    <t>Składki na ubezpieczenia społeczne - Fk</t>
  </si>
  <si>
    <t>Składki na FP - Fk</t>
  </si>
  <si>
    <t>Składki na FP -  IK</t>
  </si>
  <si>
    <t>Wynagrodzenia bezosobowe - IK</t>
  </si>
  <si>
    <t>OBSŁUGA DŁUGU PUBLICZNEGO</t>
  </si>
  <si>
    <t>Obsługa papierów wartościowych, kredytów i pożyczek j.s.t.</t>
  </si>
  <si>
    <t>Odsetki i dyskonto od krajowych skarbowych papierów wartościowych oraz pożyczek i kredytów</t>
  </si>
  <si>
    <t>RÓŻNE ROZLICZENIA</t>
  </si>
  <si>
    <t>Rezerwy ogólne i celowe</t>
  </si>
  <si>
    <t>Rezerwa ogólna do 1% wydatków</t>
  </si>
  <si>
    <t>Rezerwa celowa (na remonty - RO)</t>
  </si>
  <si>
    <t>Rezerwa celowa (Hospicjum)</t>
  </si>
  <si>
    <t>Rezerwa celowa na programy z UE</t>
  </si>
  <si>
    <t>Część równoważąca subwencji ogólnej dla powiatów</t>
  </si>
  <si>
    <t>Wpłaty jednostek samorządu terytorialnego do budżetu państwa</t>
  </si>
  <si>
    <t>Dotacja podmiotowa z budżetu dla niepublicznej jednostki systemu oświaty</t>
  </si>
  <si>
    <t>Zakupy pomocy naukowych, dydaktycznych i książek</t>
  </si>
  <si>
    <t>Wydatki inwestycyjne jednostek budżetowych</t>
  </si>
  <si>
    <t>Budowa sali gimnastycznej przy Sz.P. Nr 9</t>
  </si>
  <si>
    <t>Boisko Sz.P. Nr 3</t>
  </si>
  <si>
    <t>Szkoły podstawowe specjalne</t>
  </si>
  <si>
    <t>Składki na ubezpieczenie zdrowotne</t>
  </si>
  <si>
    <t>Zakup pomocy naukowych, dydaktycznych i książek</t>
  </si>
  <si>
    <t>Oddziały przedszkolne w szkołach podstawowych</t>
  </si>
  <si>
    <t>Dotacje podmiotowe z budżetu dla niepublicznej jednostki systemu oświaty</t>
  </si>
  <si>
    <t>Przedszkola</t>
  </si>
  <si>
    <t>Dotacja podmiotowa z budżetu dla zakładu budżetowego - KS</t>
  </si>
  <si>
    <t>Przedszkola specjalne</t>
  </si>
  <si>
    <t>Zakup pomocy naukowych, dydaktycznych. i książek</t>
  </si>
  <si>
    <t>Gimnazja specjalne</t>
  </si>
  <si>
    <t>Licea ogólnokształcące</t>
  </si>
  <si>
    <t>Dotacja podmiotowa dla niepublicznej jednostki systemu oświaty</t>
  </si>
  <si>
    <t>Licea profilowane</t>
  </si>
  <si>
    <t>Zakup pomocy dydaktycznych i książek</t>
  </si>
  <si>
    <t xml:space="preserve">Szkoły zawodowe </t>
  </si>
  <si>
    <t>Zasądzone renty</t>
  </si>
  <si>
    <t>Wpłata na PFRON</t>
  </si>
  <si>
    <t>Szkoły artystyczne - Państwowe Ognisko Kultury Plastycznej</t>
  </si>
  <si>
    <t>Szkoły pomaturalne i policealne</t>
  </si>
  <si>
    <t>Dotacja podmiotowa dla niepublicznej szkoły lub innej placówki oświatowo-wychowawczej</t>
  </si>
  <si>
    <t>Szkoły zawodowe specjalne</t>
  </si>
  <si>
    <t>Centrum Kształcenia Ustawicznego i Praktycznego oraz Ośrodki Dokształcania Zawodowego</t>
  </si>
  <si>
    <t>Komisje egzaminacyjne</t>
  </si>
  <si>
    <t xml:space="preserve">Dotacja podmiotowa dla zakładu budżetowego </t>
  </si>
  <si>
    <t>Zakup usług pozostałych - dokształcanie i doskonalenie nauczycieli</t>
  </si>
  <si>
    <t xml:space="preserve">Wydatki na zakupy inwestycyjne jednostek budżetowych -  komputerów </t>
  </si>
  <si>
    <t>Zajęcia z koszykówki</t>
  </si>
  <si>
    <t>Koszaliński System Oświatowy</t>
  </si>
  <si>
    <t>Zajęcia pozalekcyjne</t>
  </si>
  <si>
    <t>Stypendia oraz inne formy pomocy dla uczniów</t>
  </si>
  <si>
    <r>
      <t xml:space="preserve">Wynagrodzenia osobowe pracowników - </t>
    </r>
    <r>
      <rPr>
        <i/>
        <sz val="9"/>
        <rFont val="Times New Roman CE"/>
        <family val="1"/>
      </rPr>
      <t>w tym:</t>
    </r>
  </si>
  <si>
    <t>awanse zawodowe nauczycieli</t>
  </si>
  <si>
    <t>zasiłki na zagospodarowanie i odprawy emerytalne</t>
  </si>
  <si>
    <r>
      <t xml:space="preserve">Wynagrodzenia bezosobowe - </t>
    </r>
    <r>
      <rPr>
        <i/>
        <sz val="9"/>
        <rFont val="Times New Roman CE"/>
        <family val="1"/>
      </rPr>
      <t>klasy dziennikarskie</t>
    </r>
  </si>
  <si>
    <r>
      <t xml:space="preserve">Wynagrodzenia bezosobowe - </t>
    </r>
    <r>
      <rPr>
        <i/>
        <sz val="9"/>
        <rFont val="Times New Roman CE"/>
        <family val="1"/>
      </rPr>
      <t>komisja ds. stypendiów szkolnych</t>
    </r>
  </si>
  <si>
    <r>
      <t>Zakup pomocy naukowych, dydaktycznych i książek (</t>
    </r>
    <r>
      <rPr>
        <i/>
        <sz val="9"/>
        <rFont val="Times New Roman CE"/>
        <family val="1"/>
      </rPr>
      <t>w tym: 250,0 tys. zł - na zadanie "Poprawę bazy dydaktycznej szkół liceów ogólnokształcących"</t>
    </r>
  </si>
  <si>
    <t>Zakup usług remontowych w tym:</t>
  </si>
  <si>
    <t>1. I Liceum Ogólnokształcące</t>
  </si>
  <si>
    <t>2. II Liceum Ogólnokształcące</t>
  </si>
  <si>
    <t>3. Zespół Szkół Nr 2</t>
  </si>
  <si>
    <t>4. Zespół Szkół Nr 3</t>
  </si>
  <si>
    <t>5. Zespół Szkół Nr 1</t>
  </si>
  <si>
    <t>6. Zespół Szkół Nr 8</t>
  </si>
  <si>
    <t>7. Zespół Szkół Nr 7</t>
  </si>
  <si>
    <t>8. Zespół Szkół Nr 9</t>
  </si>
  <si>
    <t>9. Zespół Szkół Nr 10</t>
  </si>
  <si>
    <t>10. CKU</t>
  </si>
  <si>
    <t>11. Zespół Szkół Specjalnych Nr 1</t>
  </si>
  <si>
    <t>12. Spec. Ośr. Szkolno-Wych.</t>
  </si>
  <si>
    <t>13. MDK</t>
  </si>
  <si>
    <t>1.Zespół Szkół Sportowych</t>
  </si>
  <si>
    <t>2.Zespół Szkół Nr 11</t>
  </si>
  <si>
    <t>3. Szkoła Podstawowa Nr 4</t>
  </si>
  <si>
    <t>4. Szkoła Podstawowa Nr 5</t>
  </si>
  <si>
    <t>5. Szkoła Podstawowa Nr 6</t>
  </si>
  <si>
    <t>6. Szkoła Podstawowa Nr 7</t>
  </si>
  <si>
    <t>7. Szkoła Podstawowa Nr 9</t>
  </si>
  <si>
    <t>8. Szkoła Podstawowa Nr 10</t>
  </si>
  <si>
    <t>9. Szkoła Podstawowa Nr 13</t>
  </si>
  <si>
    <t>10. Szkoła Podstawowa Nr 17</t>
  </si>
  <si>
    <t>11. Szkoła Podstawowa Nr 18</t>
  </si>
  <si>
    <t>12. Szkoła Podstawowa Nr 21</t>
  </si>
  <si>
    <t>1. Gimnazjum Nr 2</t>
  </si>
  <si>
    <t>2. Gimnazjum Nr 5</t>
  </si>
  <si>
    <t>3. Gimnazjum Nr 7</t>
  </si>
  <si>
    <t>4. Gimnazjum Nr 9</t>
  </si>
  <si>
    <t>5. Zespół Szkół Nr 2</t>
  </si>
  <si>
    <t>6. Zespół Szkół Nr 5</t>
  </si>
  <si>
    <t>7. Zespół Szkół Nr 6</t>
  </si>
  <si>
    <t>Oś. Morskie - boisko przy SP 5</t>
  </si>
  <si>
    <t>Oś. Przedm. K. Anny - boisko przy SP 13</t>
  </si>
  <si>
    <t>Oś. Tysiąclecia - boisko przy SP 4</t>
  </si>
  <si>
    <t>Rady Osiedli</t>
  </si>
  <si>
    <t>kształcenie młodocianych pracowników</t>
  </si>
  <si>
    <t>przewóz dzieci z Ukrainy</t>
  </si>
  <si>
    <t>Koszaliński System Oceny Szkół</t>
  </si>
  <si>
    <t>program edukacja - zarządzanie kaszalińską edukacją</t>
  </si>
  <si>
    <t>nauka pływania</t>
  </si>
  <si>
    <t>zakup usług pozostałych</t>
  </si>
  <si>
    <t>wynajem obiektów sportowych na lekcje WF</t>
  </si>
  <si>
    <t>organizacja konkursów, olimpiad, itp.</t>
  </si>
  <si>
    <t>opłata praktycznej nauki zawodu</t>
  </si>
  <si>
    <t>czynsz za siedzibę MKPOiW NSZZ "Solidarność"</t>
  </si>
  <si>
    <t>badanie uczniów</t>
  </si>
  <si>
    <t>Utworzenie Środkowopomorskiego Centrum Kształcenia Ustawicznego i Praktycznego</t>
  </si>
  <si>
    <t>"Poprawa bazy dydaktycznej szkół zawodpwych ponadgimnazjalnych"</t>
  </si>
  <si>
    <t xml:space="preserve"> klasy dziennikarskie</t>
  </si>
  <si>
    <t>Zakup usług pozostałych - "Lokalna Infrastruktura Edukacyjna i Sportowa"</t>
  </si>
  <si>
    <t>Zakup usług pozostałych -  program utworzenia wydz. Pielęgniarskiego.</t>
  </si>
  <si>
    <t>współudział w targach zawodoznawczych</t>
  </si>
  <si>
    <t>Zakup usług pozostałych - RWZ "Kształcenie ustawiczne"</t>
  </si>
  <si>
    <t>Odpis na ZFŚS emerytów</t>
  </si>
  <si>
    <r>
      <t>Wydatki inwestycyjne jednostek budżetowych</t>
    </r>
    <r>
      <rPr>
        <i/>
        <sz val="9"/>
        <rFont val="Times New Roman CE"/>
        <family val="1"/>
      </rPr>
      <t xml:space="preserve"> - rozbud. Infrast. Techn. CISCO</t>
    </r>
  </si>
  <si>
    <r>
      <t>Wydatki inwestycyjne jednostek budżetowych</t>
    </r>
    <r>
      <rPr>
        <i/>
        <sz val="9"/>
        <rFont val="Times New Roman CE"/>
        <family val="1"/>
      </rPr>
      <t xml:space="preserve"> - budowa zintegrowanego systemu informatycznego (kompleksowa komputeryzacja koszalińs. Szkół)</t>
    </r>
  </si>
  <si>
    <r>
      <t xml:space="preserve">Wydatki na zakupy inwestycyjne jednostek budżetowych </t>
    </r>
    <r>
      <rPr>
        <i/>
        <sz val="9"/>
        <rFont val="Times New Roman CE"/>
        <family val="1"/>
      </rPr>
      <t>-  ZS Nr 10</t>
    </r>
  </si>
  <si>
    <r>
      <t xml:space="preserve">Wydatki na zakupy inwestycyjne jednostek budżetowych </t>
    </r>
    <r>
      <rPr>
        <i/>
        <sz val="9"/>
        <rFont val="Times New Roman CE"/>
        <family val="1"/>
      </rPr>
      <t>-  "Poprawa bazy dydaktycznej szkół zawodowych ponadgimnazjalnych"</t>
    </r>
  </si>
  <si>
    <t>Dotacja podmiotowa dla niepublicznej jednostki systemu oświaty (nauka pływania)</t>
  </si>
  <si>
    <t>Dotacja celowa z budżetu na finansowanie lub dofinansowanie zadań zleconych do realizacji stowarzyszeniom - OP</t>
  </si>
  <si>
    <t xml:space="preserve">SZKOLNICTWO WYŻSZE </t>
  </si>
  <si>
    <t>Pomoc materialna dla studentów</t>
  </si>
  <si>
    <t>Stypendia i zasiłki dla studentów</t>
  </si>
  <si>
    <t>Szpitale ogólne</t>
  </si>
  <si>
    <t>Dotacje celowe przekazane do samorządu województwa na zadania bieżące realizowane na podstawie porozumień między j.s.t</t>
  </si>
  <si>
    <t>Programy polityki zdrowotnej</t>
  </si>
  <si>
    <t>Dotacja podmiotowa z budżetu dla pozostałych jednostek sektora  finansów publicznych</t>
  </si>
  <si>
    <t>Dotacja celowa z budżetu dla pozostałych jednostek zaliczanych do sektora finansów publicznych</t>
  </si>
  <si>
    <t>Dotacja celowa z budżetu na finansowanie lub dofinansowanie zadań zleconych do realizacji pozostałym jednostkom nie zaliczanym do sektora finansów publicznych</t>
  </si>
  <si>
    <t>Zwalczanie narkomanii</t>
  </si>
  <si>
    <t>Dotacja przedmiotowa z budżetu dla pozostałych jednostek sektora finansów publicznych - realizacja "Programu zwalczania narkomanii".</t>
  </si>
  <si>
    <t>Dotacja podmiotowa z budżetu dla samorządowej instytucji kultury</t>
  </si>
  <si>
    <t xml:space="preserve">Dotacja celowa z budżetu na finansowanie i dofinansowanie zadań zleconych do realizacji stowarzyszeniom </t>
  </si>
  <si>
    <t>Zakup pomocy naukowych, naukowo - dydaktycznych i książek</t>
  </si>
  <si>
    <r>
      <t xml:space="preserve">Wydatki inwestycyjne jednostek budżetowych - </t>
    </r>
    <r>
      <rPr>
        <b/>
        <i/>
        <sz val="9"/>
        <rFont val="Times New Roman CE"/>
        <family val="1"/>
      </rPr>
      <t>budowa Hospicjum</t>
    </r>
  </si>
  <si>
    <t>bariery psychologiczne i architektoniczne</t>
  </si>
  <si>
    <t>ogłoszenia prasowe</t>
  </si>
  <si>
    <t>opieka nad nietrzeźwymi</t>
  </si>
  <si>
    <t>POMOC SPOŁECZNA</t>
  </si>
  <si>
    <t>Placówki opiekuńczo-wychowawcze -Rodzinne Domy Dziecka</t>
  </si>
  <si>
    <t>Dotacje celowe przekazane dla powiatu na zadania bieżące realizowane na podstawie porozumień między j.s.t.</t>
  </si>
  <si>
    <t>Świadczenia społeczne</t>
  </si>
  <si>
    <t xml:space="preserve">Zakup usług zdrowotnych </t>
  </si>
  <si>
    <t>Zakup usług przez j.s.t. od innych j.s.t.</t>
  </si>
  <si>
    <t>Domy pomocy społecznej</t>
  </si>
  <si>
    <t>"Złoty Wiek"</t>
  </si>
  <si>
    <t>Hotel dla bezdomnych "Przytulisko"</t>
  </si>
  <si>
    <t>Środowiskowy Dom Samopomocy dla osób z Zaburzeniami Umysłowymi</t>
  </si>
  <si>
    <t>Rodziny zastępcze</t>
  </si>
  <si>
    <t>Dotacje celowe przekazane dla powiatu na zadania bieżące realizowane na podstawie porozumień między j.st.</t>
  </si>
  <si>
    <t xml:space="preserve">Zakup pozostałych usług </t>
  </si>
  <si>
    <t>Świadczenia rodzinne oraz składki na ubezpieczenie emerytalne i rentowe z ubezpieczenia społecznego</t>
  </si>
  <si>
    <t>Zasiłki i pomoc w naturze oraz składki na ubezpieczenia emerytalne i rentowe</t>
  </si>
  <si>
    <t>Świadczenia społeczne - SO</t>
  </si>
  <si>
    <t>Dodatki mieszkaniowe</t>
  </si>
  <si>
    <t>zwrot dotacji wykorzystanych niezgodnie z przeznaczeniem lub pobranych w nadmiernej wysokości</t>
  </si>
  <si>
    <t>Zasiłki rodzinne, pielęgnacyjne i wychowawcze</t>
  </si>
  <si>
    <t>Powiatowe centra pomocy rodzinie</t>
  </si>
  <si>
    <t xml:space="preserve">Wynagrodzenia osobowe pracowników </t>
  </si>
  <si>
    <t>Podatek od towarów i usług VAT</t>
  </si>
  <si>
    <t xml:space="preserve">Koszty postępowania sądowego i prokuratorskiego </t>
  </si>
  <si>
    <t>Jednostki specjalistycznego poradnictwa, mieszkania chronione i ośrodki  interwencji kryzysowej</t>
  </si>
  <si>
    <t xml:space="preserve">Podróże służbowe krajowe </t>
  </si>
  <si>
    <t>Odpisy na ZFŚS</t>
  </si>
  <si>
    <t>Usługi opiekuńcze i specjalistyczne usługi opiekuńcze</t>
  </si>
  <si>
    <t>Pomoc dla repatriantów</t>
  </si>
  <si>
    <t>Świadczenia społeczne - dożywianie uczniów</t>
  </si>
  <si>
    <t>Zakup materiałów i wyposażenia - RO</t>
  </si>
  <si>
    <t>Wynagrodzenina osobowe pracowników</t>
  </si>
  <si>
    <t>Zakup usług pozostałych KS               (21 pogrzebów * 1047 zł)</t>
  </si>
  <si>
    <t>Wydatki inwestycyjne jednostek budżetowych - IK ( modernizacja budynku Stowarzyszenia Na Rzecz Osób z Upośledzeniem Umysłowym - ul. Wyspiańskiego)</t>
  </si>
  <si>
    <t>Zakup usług pozostałych RO</t>
  </si>
  <si>
    <t>POZOSTAŁE ZADANIA W ZAKRESIE POLITYKI SPOŁECZNEJ</t>
  </si>
  <si>
    <t>Żłobki</t>
  </si>
  <si>
    <t>Rehabilitacja zawodowa i społeczna osób niepełnosprawnych</t>
  </si>
  <si>
    <r>
      <t>Zakup usług pozostałych -</t>
    </r>
    <r>
      <rPr>
        <b/>
        <sz val="9"/>
        <rFont val="Times New Roman CE"/>
        <family val="1"/>
      </rPr>
      <t xml:space="preserve"> Warsztaty Terapii Zajęciowej</t>
    </r>
  </si>
  <si>
    <t>Zespoły ds orzekania o niepełnosprawności</t>
  </si>
  <si>
    <t>Świetlice szkolne</t>
  </si>
  <si>
    <t>Specjalne ośrodki szkolno-wychowawcze</t>
  </si>
  <si>
    <t>Składki na ubezpieczenia zdrowotne</t>
  </si>
  <si>
    <t>Zakup środków żywności</t>
  </si>
  <si>
    <t>Zakup pomocy naukowych, dydaktycznych i  książek</t>
  </si>
  <si>
    <t>Poradnie psychologiczno - pedagogiczne, w tym poradnie specjalistyczne</t>
  </si>
  <si>
    <t>Placówki wychowania pozaszkolnego</t>
  </si>
  <si>
    <t xml:space="preserve">Wynagrodzenia bezosobowe </t>
  </si>
  <si>
    <t>Wydatki  na zakupy inwestycyjne jednostek budżetowych</t>
  </si>
  <si>
    <t>Wydatki inwestycyjne jednostek budżetowych -MDK</t>
  </si>
  <si>
    <t>Stołówki szkolne</t>
  </si>
  <si>
    <t>Pomoc materialna dla uczniów</t>
  </si>
  <si>
    <t xml:space="preserve">Stypendia oraz inne formy pomocy dla uczniów </t>
  </si>
  <si>
    <t>Szkolne Schroniska Młodzieżowe</t>
  </si>
  <si>
    <t>Pozostałe wydatki</t>
  </si>
  <si>
    <t>Dotacja celowa z budżetu na finansowanie  lub dofinansowanie zadań zleconych do realizacji stowarzyszeniom - czynsz ZHP</t>
  </si>
  <si>
    <t>Wynagrodzenia osobowe pracowników (odprawy emerytalne)</t>
  </si>
  <si>
    <t>Zakup materiałów i wyposażenia  RO</t>
  </si>
  <si>
    <t>Różne opłaty i składki - RO</t>
  </si>
  <si>
    <t>GOSPODARKA KOMUNALNA  I  OCHRONA ŚRODOWISKA</t>
  </si>
  <si>
    <r>
      <t>Zakup usług remontowych</t>
    </r>
    <r>
      <rPr>
        <i/>
        <sz val="9"/>
        <rFont val="Times New Roman CE"/>
        <family val="1"/>
      </rPr>
      <t xml:space="preserve"> - kanalizacja deszczowa</t>
    </r>
  </si>
  <si>
    <t>1. Uzbrojenie ul. Szczecińskiej</t>
  </si>
  <si>
    <t>2. Uzbrojenie terenu pod Słupską Specjalną Strefą Ekonomiczną, Kompleks Koszalin</t>
  </si>
  <si>
    <t>3. Kolektor XXVIII</t>
  </si>
  <si>
    <t>4. Lniana - Różana (porządkowanie gospodarki wodno - ściekowej)</t>
  </si>
  <si>
    <t>5. Uzbrojenie osiedla "  Wilkowo"</t>
  </si>
  <si>
    <t>6. Oś. "Unii Europejskiej" - uzbrojenie</t>
  </si>
  <si>
    <t xml:space="preserve">7. Utrzymanie kanalizacji deszczowej - budowa separatorów </t>
  </si>
  <si>
    <t>Oczyszczanie miast i wsi</t>
  </si>
  <si>
    <t>Zakup usług pozostałych w tym:</t>
  </si>
  <si>
    <t>utrzymanie zimowe dróg</t>
  </si>
  <si>
    <t>mechaniczne zamiatanie dróg</t>
  </si>
  <si>
    <t>utrzymanie zimowe parków</t>
  </si>
  <si>
    <t>utrzymanie czystości - drogi wew.</t>
  </si>
  <si>
    <t>utrzymanie trzech osiedli mieszk. (Kotarbińskiego, Śniadeckich, Wańkowicza)</t>
  </si>
  <si>
    <t>wywóz koszy na drogach</t>
  </si>
  <si>
    <t>utrzymanie zieleni w pasach drogowych</t>
  </si>
  <si>
    <t>utrzymanie parków i zieleńców</t>
  </si>
  <si>
    <t>utrzymanie i odnowa nasadzeń w lesie komunalnym</t>
  </si>
  <si>
    <t>renowacja pasów zieleni</t>
  </si>
  <si>
    <t xml:space="preserve">sadzenie drzew i krzewów w pasach zieleni (21,35 tys. Zł), leczenie kasztanowców (20,0 tys. + 10,0 tys. Zł) </t>
  </si>
  <si>
    <t>Rośliny okrywowe w pasach drog. - 21,0 tys. Zł, cięcia drzew przyulicznych - 30,0 tys. Zł</t>
  </si>
  <si>
    <t>koszenie trawy w pasach drogowych przekazanych przez spóldzielnie mieszkaniowe</t>
  </si>
  <si>
    <t>utrzymanie nieuporządkowanych działek, jako pasy drogowe</t>
  </si>
  <si>
    <t>budowa mostka w Parku Książąt Pomorskich "A"</t>
  </si>
  <si>
    <t>bagrowanie stawu w Parku Książąt Pomorskich "A"</t>
  </si>
  <si>
    <t>remont dwóch kładek dla pieszych w Parku Dendrologicznym</t>
  </si>
  <si>
    <t>zmiana alejek asfaltowych na drogi z brukowca lub żwirowo - piaskowe w zbytkowym parku</t>
  </si>
  <si>
    <t>dokumentacja techn. Dot. Zagospodarowania zielenią parkową</t>
  </si>
  <si>
    <t>zagospodarowanie doliny za "Fregatą"</t>
  </si>
  <si>
    <t>wykonanie tablic z nazwami parków i opisem</t>
  </si>
  <si>
    <t>utrzymanie wąwozu przy ul. Kwiatkowskiego - E. Plater</t>
  </si>
  <si>
    <t>uporządkowanie "Wąwozów Grobowych"</t>
  </si>
  <si>
    <t>utrzymuje terenów rekreacyjno - sportowo - wypoczynkowych</t>
  </si>
  <si>
    <t>budowa parku miejskiego przy ul. Prostej</t>
  </si>
  <si>
    <t>RO: Rokosowo - 6.0 tys. zł, Tysiąclecia - 234zł,</t>
  </si>
  <si>
    <t>Schroniska dla zwierząt</t>
  </si>
  <si>
    <t>Adaptacja schroniska dla zwierząt w Rosnowie</t>
  </si>
  <si>
    <r>
      <t xml:space="preserve">Zakup usług pozostałych - </t>
    </r>
    <r>
      <rPr>
        <i/>
        <sz val="9"/>
        <rFont val="Times New Roman CE"/>
        <family val="1"/>
      </rPr>
      <t>bieżące utrzymanie</t>
    </r>
  </si>
  <si>
    <t>Zakup usług remontowych (IK)</t>
  </si>
  <si>
    <t>Zakup usług remontowych - place zabaw(RO)</t>
  </si>
  <si>
    <t xml:space="preserve"> 1. Porządkowanie terenów i likwidacja nielegalnych wysypisk</t>
  </si>
  <si>
    <t>2. Utrzymanie szaletów</t>
  </si>
  <si>
    <t>3. Koszty usuwania i parkowania porzuconych pojazdów w mieście</t>
  </si>
  <si>
    <t>4. Estetyzacja</t>
  </si>
  <si>
    <t>5. Ogłoszenia prasowe</t>
  </si>
  <si>
    <t>6. Koszty usuwania padłych zwierząt i dezynfekcja</t>
  </si>
  <si>
    <t>7. Nagrody w konkursie ekologicznym</t>
  </si>
  <si>
    <t>1.Uzbrojenie terenów pod spółdzielcze budownictwo mieszkaniowe</t>
  </si>
  <si>
    <t>1. Magistrala wodociągowa do Lubiatowa</t>
  </si>
  <si>
    <t>2. Kolektor sanitarny A - II etap</t>
  </si>
  <si>
    <t>3. Dokumentacja pod przyszłe inwestycje</t>
  </si>
  <si>
    <t>sala gimnastyczna - ZSO Nr 2</t>
  </si>
  <si>
    <t>4. Wydatki na inwestycje zakończone</t>
  </si>
  <si>
    <t>5.  Uzbrojenie ul.Zdob. Wału Pom. -                       I etap</t>
  </si>
  <si>
    <t>6. SKB ul. Warmińska</t>
  </si>
  <si>
    <t>rozbudowa Cmentarza komunalnego</t>
  </si>
  <si>
    <t>Inf - światłowody</t>
  </si>
  <si>
    <r>
      <t xml:space="preserve">Dotacje celowe z budżetu na finansowanie  lub dofinansowanie  inwestycji i zakupów inwestycyjnych jednostek nie zaliczanych do sektora finansów publicznych - </t>
    </r>
    <r>
      <rPr>
        <i/>
        <sz val="9"/>
        <rFont val="Times New Roman CE"/>
        <family val="1"/>
      </rPr>
      <t>czyny społeczne</t>
    </r>
  </si>
  <si>
    <t xml:space="preserve"> SKB ul.Rodła</t>
  </si>
  <si>
    <t xml:space="preserve"> SKB "Os. 4-go Marca"</t>
  </si>
  <si>
    <t xml:space="preserve"> SKB  "Bałtyk"</t>
  </si>
  <si>
    <t xml:space="preserve"> SKB ul.Wawozowej</t>
  </si>
  <si>
    <t xml:space="preserve"> SKB Osiedla Unii Europejskiej</t>
  </si>
  <si>
    <t xml:space="preserve"> SKB Osiedle Parkowe</t>
  </si>
  <si>
    <t xml:space="preserve"> SKB ul. Artylerzystów</t>
  </si>
  <si>
    <t xml:space="preserve"> SKB Osiedle Piaskowe</t>
  </si>
  <si>
    <t xml:space="preserve"> SKB ul. Malw i Szafirków</t>
  </si>
  <si>
    <t xml:space="preserve"> SKB ul. Pankracego</t>
  </si>
  <si>
    <t xml:space="preserve"> SKB ul. Żytniej</t>
  </si>
  <si>
    <t xml:space="preserve"> SKB ul. Maków</t>
  </si>
  <si>
    <t xml:space="preserve"> SKB ul. Kupieckiej</t>
  </si>
  <si>
    <t>Wydatki na zakup i objęcie akcji oraz wniesienie wkładów do spółek prawa handlowego (PGK)</t>
  </si>
  <si>
    <t>"Święto wody"</t>
  </si>
  <si>
    <t>Pozostałe zadania w zakresie kultury</t>
  </si>
  <si>
    <r>
      <t>Zakup usług pozostałych - organizacja różnych imprez -</t>
    </r>
    <r>
      <rPr>
        <i/>
        <sz val="9"/>
        <rFont val="Times New Roman CE"/>
        <family val="1"/>
      </rPr>
      <t xml:space="preserve"> KS (RK 60 + Wydz. 40)</t>
    </r>
  </si>
  <si>
    <r>
      <t xml:space="preserve">Zakup usług pozostałych </t>
    </r>
    <r>
      <rPr>
        <i/>
        <sz val="9"/>
        <rFont val="Times New Roman CE"/>
        <family val="1"/>
      </rPr>
      <t>- 740 rocznica otrzymania przez Koszalin praw miejskich</t>
    </r>
  </si>
  <si>
    <t>Zakup usług pozostałych - RWZ "Kronika Miasta Koszalina pióra J.Dwendlanda"</t>
  </si>
  <si>
    <t>Dotacja celowa z budżetu na finansowanie lub dofinansowanie zadań zleconych do realizacji stowarzyszeniom OP</t>
  </si>
  <si>
    <t>Dotacja podmiotowa z budżetu dla samorządowej instytucji kultury - w tym:</t>
  </si>
  <si>
    <t xml:space="preserve">na działalność bieżącą </t>
  </si>
  <si>
    <t>zakup zestawu komputerowego</t>
  </si>
  <si>
    <t>zakup miksera i minidisca</t>
  </si>
  <si>
    <t>renmont</t>
  </si>
  <si>
    <t>Gala Baletowa</t>
  </si>
  <si>
    <r>
      <t>Wydatki inwestycyjne jednostek budżetowych</t>
    </r>
    <r>
      <rPr>
        <i/>
        <sz val="9"/>
        <rFont val="Times New Roman CE"/>
        <family val="1"/>
      </rPr>
      <t>- Modernizacja Bałtyckiego Teatru Dramatycznego</t>
    </r>
  </si>
  <si>
    <t>Filharmonie, orkiestry, chóry i kapele</t>
  </si>
  <si>
    <t>Międzynarodowy Festiwal Organowy</t>
  </si>
  <si>
    <t>"Lato Muzyczne z Filharmonią"</t>
  </si>
  <si>
    <t>zakup instrumentów</t>
  </si>
  <si>
    <t>zakup samochodu</t>
  </si>
  <si>
    <t>Domy i ośrodki kultury, świetlice i kluby</t>
  </si>
  <si>
    <t>MOK - gmina</t>
  </si>
  <si>
    <t>na działalność bieżącą MOK</t>
  </si>
  <si>
    <t>na imprezy</t>
  </si>
  <si>
    <t>wynajem ekranu diodowego (telebim)</t>
  </si>
  <si>
    <t>wynajem sali w BTD na organizację MUZYKORAMY</t>
  </si>
  <si>
    <t>Obchody "Solidarności"</t>
  </si>
  <si>
    <t>dożynki powiatowe</t>
  </si>
  <si>
    <t>remont dachu</t>
  </si>
  <si>
    <t>remont projektorów w Sali kinowej KBP</t>
  </si>
  <si>
    <t>Wydatki inwestycyjne jednostek budżetowych - MOK akustyka</t>
  </si>
  <si>
    <t>Dotacje celowe z budżetu na finansowanie  lub dofinansowanie kosztów realizacji inwestycji i zakupów inwestycyjnych  innych jednostek sektora finansów publicznych - remont amfiteatru</t>
  </si>
  <si>
    <t>działalność bieżąca - filie miejskie</t>
  </si>
  <si>
    <t>remonty w filiach miejskich</t>
  </si>
  <si>
    <t>działalność bieżąca - powiat</t>
  </si>
  <si>
    <t>roczniki koszalińskie</t>
  </si>
  <si>
    <t>wydawnictwa</t>
  </si>
  <si>
    <t>zakup aparatury nagłaśniającej</t>
  </si>
  <si>
    <t>Galegia - Scena Zdarzeń</t>
  </si>
  <si>
    <t>festiwal "Integracja Ja i Ty"</t>
  </si>
  <si>
    <t>Wydatki inwestycyjne - Modernizacja Miejskiej Biblioteki Publicznej</t>
  </si>
  <si>
    <r>
      <t xml:space="preserve">Dotacje celowe z budżetu na finansowanie lub dofinansowanie kosztów realizacji inwestycji i zakupów inwestycyjnych  innych jednostek sektora fiansów publicznych - </t>
    </r>
    <r>
      <rPr>
        <i/>
        <sz val="9"/>
        <rFont val="Times New Roman CE"/>
        <family val="1"/>
      </rPr>
      <t>modernizacja Sali konferencyjno-kinowej</t>
    </r>
  </si>
  <si>
    <t>remont i rozbudowa Muzeum</t>
  </si>
  <si>
    <t>przeniasienie wystawy archeologicznej z ul. Piłsudskiego</t>
  </si>
  <si>
    <t>działalność bieżąca</t>
  </si>
  <si>
    <t>zakup obrazów</t>
  </si>
  <si>
    <t>obóz naukowy - badania etnograficzne</t>
  </si>
  <si>
    <t>wydawnictwo - "Koszalinian portret własny"</t>
  </si>
  <si>
    <t>komputerowy program interakt. Na wystawę Historia Koszalina</t>
  </si>
  <si>
    <t>wydanie"Koszalińskich Zeszytów Muzealnych" i informator</t>
  </si>
  <si>
    <t>konferencja naukowa "Goci na Pomorzy"</t>
  </si>
  <si>
    <t>Dotacje celowe z budżetu na finansowanie lub dofinansowanie kosztów realizacji inwestycji i zakupów inwestycyjnych  innych jednostek sektora fiansów publicznych</t>
  </si>
  <si>
    <t>Ochrona zabytków i opieka nad zabytkami</t>
  </si>
  <si>
    <t>Zakup usług remontowych -remont murów miejskich</t>
  </si>
  <si>
    <r>
      <t xml:space="preserve">Dotacja podmiotowa z budżetu dla samorządowej  instytucji kultury </t>
    </r>
    <r>
      <rPr>
        <i/>
        <sz val="9"/>
        <rFont val="Times New Roman CE"/>
        <family val="1"/>
      </rPr>
      <t>- Spotkanie z fotografią na Słowacji</t>
    </r>
  </si>
  <si>
    <t>Zakup materiałów i wyposażenia - KS</t>
  </si>
  <si>
    <t>Zakup usług pozostałych - RO</t>
  </si>
  <si>
    <t>Wydatki na zakup i objęcie akcji oraz wniesienie wkładów do spółek prawa handlowego (ZOS)</t>
  </si>
  <si>
    <t>Bałtyk</t>
  </si>
  <si>
    <t>pawilon JUDO</t>
  </si>
  <si>
    <t>remont Basen</t>
  </si>
  <si>
    <t>budowa hali widowiskowo sportowej</t>
  </si>
  <si>
    <t>Wydatki na zakupy inwestycyjne jednostek budżetowych - zakup maty</t>
  </si>
  <si>
    <t>Zadania w zakresie kultury fizycznej i sportu</t>
  </si>
  <si>
    <t xml:space="preserve">Pozostała działalność </t>
  </si>
  <si>
    <t>Zakup materiałów i wyposażenia - RWZ</t>
  </si>
  <si>
    <t>Zakup usług pozostałych - RWZ</t>
  </si>
  <si>
    <r>
      <t>Zakup usług zdrowotnych -</t>
    </r>
    <r>
      <rPr>
        <i/>
        <sz val="9"/>
        <rFont val="Times New Roman CE"/>
        <family val="1"/>
      </rPr>
      <t xml:space="preserve"> badania lekarskie</t>
    </r>
  </si>
  <si>
    <t>TABELA XII</t>
  </si>
  <si>
    <t xml:space="preserve"> PLAN PRZYCHODÓW I KOSZTÓW  INSTYTUCJI   KULTURY   NA   2006  ROK</t>
  </si>
  <si>
    <t>Przewidywane  wykonanie w  2005 roku</t>
  </si>
  <si>
    <t>Plan  na  2006 rok</t>
  </si>
  <si>
    <t>L.p.</t>
  </si>
  <si>
    <t>Przychody własne</t>
  </si>
  <si>
    <r>
      <t xml:space="preserve">Dotacja  </t>
    </r>
    <r>
      <rPr>
        <sz val="9"/>
        <rFont val="Times New Roman CE"/>
        <family val="1"/>
      </rPr>
      <t>z budżetu miasta</t>
    </r>
  </si>
  <si>
    <t>Koszty      ogółem</t>
  </si>
  <si>
    <t xml:space="preserve"> - Strata                    + Zysk                                   na koniec roku</t>
  </si>
  <si>
    <r>
      <t xml:space="preserve">Dotacja  </t>
    </r>
    <r>
      <rPr>
        <sz val="9"/>
        <rFont val="Times New Roman CE"/>
        <family val="1"/>
      </rPr>
      <t xml:space="preserve"> z budżetu miasta</t>
    </r>
  </si>
  <si>
    <t>Koszty        ogółem</t>
  </si>
  <si>
    <t>Miejski Ośrodek Kultury</t>
  </si>
  <si>
    <t>dotacja na działalność bieżącą</t>
  </si>
  <si>
    <t>dotacje celowe</t>
  </si>
  <si>
    <t>Koszalińska Biblioteka Publiczna  i filie</t>
  </si>
  <si>
    <t>Bałtycki Teatr Dramatyczny</t>
  </si>
  <si>
    <t>Filharmonia Koszalińska</t>
  </si>
  <si>
    <t>Muzeum w Koszalinie</t>
  </si>
  <si>
    <t>Razem</t>
  </si>
  <si>
    <t xml:space="preserve">               TABELA XIII</t>
  </si>
  <si>
    <t xml:space="preserve">                                                                                                                                                   INFORMACJA  O  SPŁATACH   KREDYTÓW  I  POŻYCZEK  MIASTA   KOSZALINA</t>
  </si>
  <si>
    <t xml:space="preserve">                                                                                W LATACH  2005 - 2013</t>
  </si>
  <si>
    <t>w tys. zł</t>
  </si>
  <si>
    <t>Lp</t>
  </si>
  <si>
    <t>Zobowiązania na 31.12.04</t>
  </si>
  <si>
    <t>NFOŚiGW Warszawa</t>
  </si>
  <si>
    <t>pożyczka szwedzka - oczyszczalnia  ścieków - Jamno 3.311.300 zł (um. 3002/94)</t>
  </si>
  <si>
    <t>odsetki</t>
  </si>
  <si>
    <t>pożyczka  - oczyszczalnia ścieków - Jamno  - obiekty do usuwania azotu 2.500.000 zł (um. 297/2000)</t>
  </si>
  <si>
    <t>WFOŚiGW Koszalin</t>
  </si>
  <si>
    <t>pożyczka - oczyszczalnia ścieków w Jamnie obiekty do usuwania azotu 3.000.000 zł (um.19/00)</t>
  </si>
  <si>
    <t>pożyczka - kolektor sanitarny A - I etap 750.000 zł (um. 9/2001)</t>
  </si>
  <si>
    <t>pożyczka - budowa kanalizacji sanitarnej i deszczowej wraz z separatorem na oś.Unii Europejskiej  800.000 zł (um.25/2002)</t>
  </si>
  <si>
    <t>pożyczka - kolektor sanitarny A - II etap 1.050.000 zł (um. 41/2003)</t>
  </si>
  <si>
    <t>pożyczka - budowa kanalizacji deszczowej wraz z rozdziałem sieci kanalizacyjnej na ul.Batalionów Chłopskich  270.000 zł (um.46/2003)</t>
  </si>
  <si>
    <t>pożyczka  - uzbrojenie terenu pod Specjalną Słupską Strefę Ekonomiczną - Kompleks Koszalin 672.540 zł (43/2004)</t>
  </si>
  <si>
    <t>G</t>
  </si>
  <si>
    <t>pożyczka - Koszalin - miastem europejskich tras rowerowych 140.000 zł (30/2004)</t>
  </si>
  <si>
    <t>H</t>
  </si>
  <si>
    <t>pożyczka  - budowa ekranów akustycznych wzdłuż ul.Śródmiejskiej w Koszalinie" 2.000.000 zł (11/2005)</t>
  </si>
  <si>
    <t>pożyczka  - budowa kanalizacji deszczowej  wzdłuż ul.Śródmiejskiej w Koszalinie" 47.500 zł (7/2005)</t>
  </si>
  <si>
    <t>PBK Szczecin (B PKO  S.A. II O/Koszalin )</t>
  </si>
  <si>
    <t>kredyt na zakup autobusów 4.800.000zł (167/98) (euro)</t>
  </si>
  <si>
    <t>PKO Bank Polski S.A. Koszalin</t>
  </si>
  <si>
    <t>kredyt na zakup autobusów (2.500.000 zł) (101/99) (euro)</t>
  </si>
  <si>
    <t xml:space="preserve">odsetki </t>
  </si>
  <si>
    <t>kredyt - modernizacja i remonty dróg gminnych (3823.000zł) (100/99) (euro)</t>
  </si>
  <si>
    <t>kredyt na modernizację i remonty dróg  - 3.000.000 zł  (298/ 2001)</t>
  </si>
  <si>
    <t xml:space="preserve">odsetki  </t>
  </si>
  <si>
    <t>kredyt na budowę sali gimnastycznej przy SP 9 na kwotę 1.200.000 zł  (298/ 2001)</t>
  </si>
  <si>
    <t>kredyt na oczyszczalnię ścieków dla miasta Koszalina w Jamnie na kwotę 1.500.000 zł (298/2001)</t>
  </si>
  <si>
    <t>kredyt  7.000.000  (68/2002)</t>
  </si>
  <si>
    <t>oczyszczalnia ścieków w Jamnie  1.500,0</t>
  </si>
  <si>
    <t>budowa budynku komunalnego  1.500,0</t>
  </si>
  <si>
    <t>modernizacja budynku MOK  1.000,0</t>
  </si>
  <si>
    <t>modernizacja budynku MDK  1.000,0</t>
  </si>
  <si>
    <t>budowa kolektora sanitarnego A 600,0</t>
  </si>
  <si>
    <t>budowa sali gimnastycznej Zespołu</t>
  </si>
  <si>
    <t xml:space="preserve">Szkół Ogólnokształcących Nr 2  - 200,0 </t>
  </si>
  <si>
    <t xml:space="preserve">parking przy ul.Grunwaldzkiej   600,0 </t>
  </si>
  <si>
    <t>sala gimnastyczna przy SP nr 9    600,0</t>
  </si>
  <si>
    <t>kredyt na finansowanie wydatków nie znajdujących pokrycia w planowanych dochodach Miasta Koszalina  20.000.000 zł  (56/2003)</t>
  </si>
  <si>
    <t>kredyt na finansowanie wydatków nie znajdujących pokrycia w planowanych dochodach Miasta Koszalina  30.000.000 zł  (26/2004)</t>
  </si>
  <si>
    <t>Bank Polska Kasa Opieki SA II O/Koszalin</t>
  </si>
  <si>
    <t>kredyt - modernizacja i remonty dróg powiatowych (4.977.000 zł)  (131/99) (euro)</t>
  </si>
  <si>
    <t>kredyt na modernizację i remonty dróg 7.200.000 zł  (166/2000) (euro)</t>
  </si>
  <si>
    <t>Planowane kredyty i pożyczki w 2005 roku</t>
  </si>
  <si>
    <t xml:space="preserve">kredyt na finansowanie wydatków nie znajdujących pokrycia w planowanych dochodach Miasta Koszalina 20.000.000 zł  </t>
  </si>
  <si>
    <t>Planowane kredyty na przyszłe lata</t>
  </si>
  <si>
    <t xml:space="preserve">  </t>
  </si>
  <si>
    <t>kredyt  w wysokości 25.000,0 tys. zł</t>
  </si>
  <si>
    <t>kredyt  w wysokości 5.000,0 tys. zł</t>
  </si>
  <si>
    <t>Razem spłaty kredytów i pożyczek</t>
  </si>
  <si>
    <t xml:space="preserve"> z tego: spłaty kredytu</t>
  </si>
  <si>
    <t xml:space="preserve">            spłaty pożyczek</t>
  </si>
  <si>
    <t>Razem spłaty odsetek</t>
  </si>
  <si>
    <t xml:space="preserve">z tego:od kredytów </t>
  </si>
  <si>
    <t xml:space="preserve">           od pożyczek </t>
  </si>
  <si>
    <t>Ogółem</t>
  </si>
  <si>
    <t>kredyty + %</t>
  </si>
  <si>
    <t>pożyczki + %</t>
  </si>
  <si>
    <t>TABELA  XIV</t>
  </si>
  <si>
    <t>PLAN  WYNAGRODZEŃ  NA  2006 ROK  DLA  JEDNOSTEK  I  ZAKŁADÓW  BUDŻETOWYCH                                                                              ORAZ   INSTYTUCJI  KULTURY</t>
  </si>
  <si>
    <t>PRZECIĘTNE ZATRUDNIENIE   (etaty)</t>
  </si>
  <si>
    <t>PRZECIĘTNE WYNAGRODZENIE MIESIĘCZNE</t>
  </si>
  <si>
    <t>WYNAGRODZENIA OGÓŁEM</t>
  </si>
  <si>
    <t>L.P.</t>
  </si>
  <si>
    <t xml:space="preserve">przewidywane wykonanie      2005 rok </t>
  </si>
  <si>
    <t>plan na            2006 rok</t>
  </si>
  <si>
    <t>% wzrostu            6 : 5</t>
  </si>
  <si>
    <t>% wzrostu            9 : 8</t>
  </si>
  <si>
    <t>Miejski Ośrodek Pomocy Społecznej i Rodzinne Domy Dziecka</t>
  </si>
  <si>
    <t>Zarząd Budynków Mieszkalnych</t>
  </si>
  <si>
    <t xml:space="preserve">Żłobek Miejski </t>
  </si>
  <si>
    <t>Zespół Obsługi Ekonomiczno Administracyjnej Przedszkoli Miejskich</t>
  </si>
  <si>
    <t xml:space="preserve">Urząd Miejski  </t>
  </si>
  <si>
    <t>Biblioteka Publiczna (powiat)</t>
  </si>
  <si>
    <t>Filie Bibliotek (gmina)</t>
  </si>
  <si>
    <t>Ośrodek Adopcyjno-Opiekuńczy</t>
  </si>
  <si>
    <t xml:space="preserve">TABELA </t>
  </si>
  <si>
    <t>II</t>
  </si>
  <si>
    <r>
      <t xml:space="preserve">STRUKTURA   DOCHODÓW  MIASTA   KOSZALINA   NA    2006 ROK   W/G  ŹRÓDEŁ POWSTAWANIA                                                   </t>
    </r>
    <r>
      <rPr>
        <b/>
        <sz val="11"/>
        <rFont val="Times New Roman CE"/>
        <family val="1"/>
      </rPr>
      <t xml:space="preserve"> W PORÓWNANIU Z 2005 ROKIEM</t>
    </r>
  </si>
  <si>
    <t>w  złotych</t>
  </si>
  <si>
    <t>OGÓŁEM</t>
  </si>
  <si>
    <t>GMINA</t>
  </si>
  <si>
    <t>POWIAT</t>
  </si>
  <si>
    <t>Lp.</t>
  </si>
  <si>
    <t>Wyszczególnienie</t>
  </si>
  <si>
    <t>Przewidywane wykonanie w          2005 roku</t>
  </si>
  <si>
    <t>BUDŻET NA 2006 rok</t>
  </si>
  <si>
    <t>DYNAMIKA        5  :  4</t>
  </si>
  <si>
    <t>STRU - KTURA</t>
  </si>
  <si>
    <t>DYNAMIKA        9  :  8</t>
  </si>
  <si>
    <t>DYNAMIKA        13  :  12</t>
  </si>
  <si>
    <t>A</t>
  </si>
  <si>
    <t>RAZEM DOCHODY     (od I do VI)</t>
  </si>
  <si>
    <t>I</t>
  </si>
  <si>
    <r>
      <t xml:space="preserve">PODATKI I OPŁATY LOKALNE    </t>
    </r>
    <r>
      <rPr>
        <b/>
        <sz val="8"/>
        <rFont val="Times New Roman CE"/>
        <family val="1"/>
      </rPr>
      <t xml:space="preserve"> osoby prawne</t>
    </r>
  </si>
  <si>
    <t>Podatek od nieruchomości</t>
  </si>
  <si>
    <t xml:space="preserve">Podatek rolny  </t>
  </si>
  <si>
    <t>Podatek  leśny</t>
  </si>
  <si>
    <t>Podatek od środków transportowych</t>
  </si>
  <si>
    <t>Opłata targowa</t>
  </si>
  <si>
    <r>
      <t xml:space="preserve">PODATKI I OPŁATY LOKALNE     </t>
    </r>
    <r>
      <rPr>
        <b/>
        <sz val="8"/>
        <rFont val="Times New Roman CE"/>
        <family val="1"/>
      </rPr>
      <t>osoby  fizyczne</t>
    </r>
  </si>
  <si>
    <t>Zaległości z podatków zniesionych</t>
  </si>
  <si>
    <t>III</t>
  </si>
  <si>
    <t>PODATKI  POBIERANE  PRZEZ  URZĄD  SKARBOWY</t>
  </si>
  <si>
    <r>
      <t xml:space="preserve">Wpływy z podatku opłacanego w formie </t>
    </r>
    <r>
      <rPr>
        <b/>
        <sz val="8"/>
        <rFont val="Times New Roman CE"/>
        <family val="1"/>
      </rPr>
      <t>karty podatkowej</t>
    </r>
  </si>
  <si>
    <t>Podatek od spadków i darowizn</t>
  </si>
  <si>
    <r>
      <t xml:space="preserve">Podatek od czynności cywilnoprawnych  </t>
    </r>
    <r>
      <rPr>
        <b/>
        <sz val="8"/>
        <rFont val="Times New Roman CE"/>
        <family val="1"/>
      </rPr>
      <t>osoby prawne</t>
    </r>
  </si>
  <si>
    <r>
      <t xml:space="preserve">Podatek od czynności cywilnoprawnych </t>
    </r>
    <r>
      <rPr>
        <b/>
        <sz val="8"/>
        <rFont val="Times New Roman CE"/>
        <family val="1"/>
      </rPr>
      <t>osoby  fizyczne</t>
    </r>
  </si>
  <si>
    <t>IV</t>
  </si>
  <si>
    <t>DOCHODY Z MAJĄTKU MIASTA</t>
  </si>
  <si>
    <t>Opłaty za zarząd, użytkowanie i użytkowanie wieczyste - osoby prawne i fizyczne  w tym :</t>
  </si>
  <si>
    <t>a</t>
  </si>
  <si>
    <t>pierwsze opłaty i opłaty roczne  w tym:</t>
  </si>
  <si>
    <t>Spółki Skarbu Miasta</t>
  </si>
  <si>
    <t>z tego:   MEC</t>
  </si>
  <si>
    <t xml:space="preserve">             PGK</t>
  </si>
  <si>
    <t xml:space="preserve">             MW i K</t>
  </si>
  <si>
    <t xml:space="preserve">             MZK</t>
  </si>
  <si>
    <t>b</t>
  </si>
  <si>
    <t>windykacja zaległości</t>
  </si>
  <si>
    <t xml:space="preserve">Dochody z dzierżawy gruntów - osoby fizyczne i prawne </t>
  </si>
  <si>
    <r>
      <t xml:space="preserve">Sprzedaż nieruchomości </t>
    </r>
    <r>
      <rPr>
        <sz val="8"/>
        <rFont val="Times New Roman CE"/>
        <family val="1"/>
      </rPr>
      <t xml:space="preserve"> w tym:</t>
    </r>
  </si>
  <si>
    <t>lokali użytkowych</t>
  </si>
  <si>
    <t>lokali mieszkalnych</t>
  </si>
  <si>
    <t>c</t>
  </si>
  <si>
    <t>budynków i budowli</t>
  </si>
  <si>
    <t>d</t>
  </si>
  <si>
    <t>gruntów (wpływy z odpłatnego nabycia prawa własności)</t>
  </si>
  <si>
    <t>Wpływy z przekształcenia prawa wieczystego użytkowania w prawo własności</t>
  </si>
  <si>
    <t>Zwrot kosztów przygotowania nieruchomości do zbycia</t>
  </si>
  <si>
    <t>Wpływy z różnych opłat (adiacencka,  eksploatacyjna, za służebność,  za bezumowne korzystanie,  za nieterminową zabudowę, grzywny i kary)</t>
  </si>
  <si>
    <t>V</t>
  </si>
  <si>
    <t xml:space="preserve"> UDZIAŁY W PODATKACH STANOWIĄCYCH DOCHÓD PAŃSTWA</t>
  </si>
  <si>
    <r>
      <t xml:space="preserve">Udział w podatku dochodowym od osób </t>
    </r>
    <r>
      <rPr>
        <b/>
        <sz val="8"/>
        <rFont val="Times New Roman CE"/>
        <family val="1"/>
      </rPr>
      <t xml:space="preserve">fizycznych                                </t>
    </r>
    <r>
      <rPr>
        <sz val="8"/>
        <rFont val="Times New Roman CE"/>
        <family val="1"/>
      </rPr>
      <t>(gmina 35,95%,  powiat 10,25%)</t>
    </r>
  </si>
  <si>
    <r>
      <t xml:space="preserve">Udział w podatku dochodowym od osób </t>
    </r>
    <r>
      <rPr>
        <b/>
        <sz val="8"/>
        <rFont val="Times New Roman CE"/>
        <family val="1"/>
      </rPr>
      <t xml:space="preserve">prawnych                                   </t>
    </r>
    <r>
      <rPr>
        <sz val="8"/>
        <rFont val="Times New Roman CE"/>
        <family val="1"/>
      </rPr>
      <t xml:space="preserve"> (gmina  6,71%,  powiat  1,40 %)</t>
    </r>
  </si>
  <si>
    <t>VI</t>
  </si>
  <si>
    <t>POZOSTAŁE DOCHODY</t>
  </si>
  <si>
    <t>Mandaty Straży Miejskiej</t>
  </si>
  <si>
    <t>Dochody realizowane przez MOPS i Ośrodek Adopcyjno - Opiekuńczy</t>
  </si>
  <si>
    <t>Dochody realizowane przez ZDM</t>
  </si>
  <si>
    <t>Dochody jednostek oświatowych i edukacyjnych</t>
  </si>
  <si>
    <t xml:space="preserve">Dochody Urzędu Miasta - z najmu pomieszczeń, za czynności egzekuc. i upomnienia, za rozmowy telefon., media, recylking,  </t>
  </si>
  <si>
    <t xml:space="preserve">Odsetki od nieterminowych wpłat z tytułu podatków i opłat </t>
  </si>
  <si>
    <t>Odsetki od środków na rachunkach bankowych (jedn. oświatowe, Urząd Miejski, MOPS, ZDM)</t>
  </si>
  <si>
    <t>Opłata za schronisko dla zwierząt</t>
  </si>
  <si>
    <t>Opłata skarbowa</t>
  </si>
  <si>
    <t>Opłata za karty wędkarskie</t>
  </si>
  <si>
    <t>Opłata za pozwolenia na sprzedaż napojów alkoholowych</t>
  </si>
  <si>
    <t>Opłata za wpis do ewidencji działalności gospodarczej i prolongacyjna</t>
  </si>
  <si>
    <t>Opłata za licencje na przewóz osób i rzeczy TAXI i inne lokalne</t>
  </si>
  <si>
    <t>Opłata administracyjna za czynności urzędowe</t>
  </si>
  <si>
    <t>Opłata cmentarna</t>
  </si>
  <si>
    <t>Opłata za tablice rejestracyjne i druki komunikacyjne</t>
  </si>
  <si>
    <t>Wpływy za obsługę PFRON (2%)</t>
  </si>
  <si>
    <t xml:space="preserve">25% dochodów  z nieruchomości Skarbu Państwa </t>
  </si>
  <si>
    <t>5% dochodów  Skarbu Państwa (za DO)</t>
  </si>
  <si>
    <t>Różne wpływy - dywidendy, z Funduszu Dopłat, za centralną ewidencję pojazdów, kary za nieterminowe inwestycje, rozliczenia z lat ubiegłych, darowizny, zaległości Izby Wytrzeźwień i inne</t>
  </si>
  <si>
    <t>B</t>
  </si>
  <si>
    <t>SUBWENCJA  OGÓLNA</t>
  </si>
  <si>
    <t>na cele oświatowe</t>
  </si>
  <si>
    <t>uzupełniająca  (na drogi)</t>
  </si>
  <si>
    <t>równoważąca</t>
  </si>
  <si>
    <t>RAZEM DOCHODY WŁASNE   ( A + B )</t>
  </si>
  <si>
    <t>C</t>
  </si>
  <si>
    <t>ŚRODKI Z EUROPEJSKIEGO FUNDUSZU ROZWOJU REGIONALNEGO  na:</t>
  </si>
  <si>
    <t xml:space="preserve">"ŚwiętoWody" i "Dni Europejskie", koszykówkę, tenis stołowy </t>
  </si>
  <si>
    <t xml:space="preserve">poprawę bazy dydaktycznej w szkołach </t>
  </si>
  <si>
    <t>obwodnicę Śródmiejską</t>
  </si>
  <si>
    <t>układ komunikacyjny miasta - drogi</t>
  </si>
  <si>
    <t>stypendia dla ucznów szkół ponadgimnazjalnych i studentów</t>
  </si>
  <si>
    <t xml:space="preserve">Vademecum Inwestora </t>
  </si>
  <si>
    <t xml:space="preserve">Kronika Koszalińska i Katalog usług polsko-niemieckich </t>
  </si>
  <si>
    <t>"Szlak gotyku ceglanego" i "Trasa Staromiejska"</t>
  </si>
  <si>
    <t xml:space="preserve">rozbudowę MUZEUM </t>
  </si>
  <si>
    <t>Remont budynku na ul. J. z Kolna Polski Związek Głuchych</t>
  </si>
  <si>
    <t>D</t>
  </si>
  <si>
    <t xml:space="preserve">DOTACJE CELOWE   na zadania własne                                       </t>
  </si>
  <si>
    <r>
      <t>na realizację</t>
    </r>
    <r>
      <rPr>
        <b/>
        <sz val="7"/>
        <rFont val="Times New Roman CE"/>
        <family val="1"/>
      </rPr>
      <t xml:space="preserve"> własnych z</t>
    </r>
    <r>
      <rPr>
        <sz val="7"/>
        <rFont val="Times New Roman CE"/>
        <family val="1"/>
      </rPr>
      <t xml:space="preserve">adań </t>
    </r>
  </si>
  <si>
    <r>
      <t xml:space="preserve">z powiatów, gmin </t>
    </r>
    <r>
      <rPr>
        <sz val="8"/>
        <rFont val="Times New Roman CE"/>
        <family val="1"/>
      </rPr>
      <t xml:space="preserve"> na zadania bieżące realizowane na podstawie porozumień między jednostkami samrządu terytorialnego </t>
    </r>
  </si>
  <si>
    <t>z funduszy celowych ( z PFRON - rekompensata utraconych dochodów z tytułu ulg  w podatkach)</t>
  </si>
  <si>
    <r>
      <t xml:space="preserve">RAZEM DOCHODY NA ZADANIA WŁASNE                                           </t>
    </r>
    <r>
      <rPr>
        <sz val="7"/>
        <rFont val="Times New Roman CE"/>
        <family val="1"/>
      </rPr>
      <t>(A+B+C+D)</t>
    </r>
  </si>
  <si>
    <t>E</t>
  </si>
  <si>
    <t xml:space="preserve">DOTACJE CELOWE                                      </t>
  </si>
  <si>
    <r>
      <t>na zadania</t>
    </r>
    <r>
      <rPr>
        <b/>
        <sz val="7"/>
        <rFont val="Times New Roman CE"/>
        <family val="1"/>
      </rPr>
      <t xml:space="preserve"> zlecone</t>
    </r>
    <r>
      <rPr>
        <sz val="7"/>
        <rFont val="Times New Roman CE"/>
        <family val="1"/>
      </rPr>
      <t xml:space="preserve"> z zakresu administracji rządowej</t>
    </r>
  </si>
  <si>
    <r>
      <t>na zadania realizowane w drodze</t>
    </r>
    <r>
      <rPr>
        <b/>
        <sz val="7"/>
        <rFont val="Times New Roman CE"/>
        <family val="1"/>
      </rPr>
      <t xml:space="preserve"> porozumień</t>
    </r>
    <r>
      <rPr>
        <sz val="7"/>
        <rFont val="Times New Roman CE"/>
        <family val="1"/>
      </rPr>
      <t xml:space="preserve"> z organami administracji rządowej</t>
    </r>
  </si>
  <si>
    <r>
      <t xml:space="preserve">OGÓŁEM DOCHODY </t>
    </r>
    <r>
      <rPr>
        <b/>
        <sz val="8"/>
        <rFont val="Times New Roman CE"/>
        <family val="1"/>
      </rPr>
      <t xml:space="preserve">                                                          (</t>
    </r>
    <r>
      <rPr>
        <b/>
        <sz val="6"/>
        <rFont val="Times New Roman CE"/>
        <family val="1"/>
      </rPr>
      <t>A + B + C +D +E)</t>
    </r>
  </si>
  <si>
    <t>TABELA  III</t>
  </si>
  <si>
    <t xml:space="preserve">CZĘŚĆ  OPISOWA  DO   PLANU  DOCHODÓW  MIASTA KOSZALINA                             NA   2006 ROK  </t>
  </si>
  <si>
    <t>w złotych</t>
  </si>
  <si>
    <t>ŹRÓDŁO  DOCHODÓW</t>
  </si>
  <si>
    <t xml:space="preserve">Kwota </t>
  </si>
  <si>
    <t xml:space="preserve">PLAN   na                          2006 rok w zaokrągleniu </t>
  </si>
  <si>
    <t>PODATKI I OPŁATY LOKALNE</t>
  </si>
  <si>
    <t xml:space="preserve">Podatek rolny </t>
  </si>
  <si>
    <t>wymiar ha x zł</t>
  </si>
  <si>
    <t>osoby prawne</t>
  </si>
  <si>
    <t>grunty rolne o powierzchni powyżej 1 ha</t>
  </si>
  <si>
    <t>x</t>
  </si>
  <si>
    <t>grunty rolne o powierzchni poniżej 1 ha</t>
  </si>
  <si>
    <t>razem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</si>
</sst>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\ &quot;zł&quot;"/>
    <numFmt numFmtId="166" formatCode="0.0%"/>
    <numFmt numFmtId="167" formatCode="#,##0\ &quot;zł&quot;"/>
    <numFmt numFmtId="168" formatCode="#,##0.00\ _z_ł"/>
    <numFmt numFmtId="169" formatCode="#,##0.00\ [$zł-415]"/>
    <numFmt numFmtId="170" formatCode="0.0"/>
    <numFmt numFmtId="171" formatCode="#,##0.000"/>
    <numFmt numFmtId="172" formatCode="#,##0_ ;\-#,##0\ "/>
  </numFmts>
  <fonts count="76">
    <font>
      <sz val="10"/>
      <name val="Arial CE"/>
      <family val="0"/>
    </font>
    <font>
      <sz val="8"/>
      <name val="Arial CE"/>
      <family val="0"/>
    </font>
    <font>
      <sz val="10"/>
      <name val="Times New Roman CE"/>
      <family val="1"/>
    </font>
    <font>
      <sz val="14"/>
      <name val="Times New Roman CE"/>
      <family val="1"/>
    </font>
    <font>
      <sz val="10"/>
      <name val="MS Sans Serif"/>
      <family val="0"/>
    </font>
    <font>
      <b/>
      <sz val="14"/>
      <name val="Times New Roman CE"/>
      <family val="1"/>
    </font>
    <font>
      <b/>
      <sz val="11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b/>
      <sz val="10"/>
      <name val="Times New Roman CE"/>
      <family val="1"/>
    </font>
    <font>
      <sz val="7"/>
      <name val="Times New Roman CE"/>
      <family val="1"/>
    </font>
    <font>
      <b/>
      <sz val="9"/>
      <name val="Times New Roman CE"/>
      <family val="1"/>
    </font>
    <font>
      <sz val="6"/>
      <name val="Times New Roman CE"/>
      <family val="1"/>
    </font>
    <font>
      <b/>
      <sz val="8"/>
      <name val="Times New Roman CE"/>
      <family val="1"/>
    </font>
    <font>
      <b/>
      <sz val="8"/>
      <color indexed="8"/>
      <name val="Times New Roman CE"/>
      <family val="1"/>
    </font>
    <font>
      <b/>
      <sz val="7"/>
      <name val="Times New Roman CE"/>
      <family val="1"/>
    </font>
    <font>
      <b/>
      <i/>
      <sz val="8"/>
      <name val="Times New Roman CE"/>
      <family val="1"/>
    </font>
    <font>
      <i/>
      <sz val="8"/>
      <name val="Times New Roman CE"/>
      <family val="1"/>
    </font>
    <font>
      <b/>
      <sz val="6"/>
      <name val="Times New Roman CE"/>
      <family val="1"/>
    </font>
    <font>
      <sz val="9"/>
      <name val="Times New Roman CE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6"/>
      <name val="Times New Roman"/>
      <family val="1"/>
    </font>
    <font>
      <sz val="14"/>
      <name val="Arial CE"/>
      <family val="0"/>
    </font>
    <font>
      <i/>
      <sz val="10"/>
      <name val="Times New Roman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i/>
      <sz val="11"/>
      <name val="Times New Roman CE"/>
      <family val="1"/>
    </font>
    <font>
      <i/>
      <sz val="10"/>
      <name val="Arial CE"/>
      <family val="0"/>
    </font>
    <font>
      <i/>
      <sz val="13"/>
      <name val="Times New Roman CE"/>
      <family val="1"/>
    </font>
    <font>
      <b/>
      <sz val="13"/>
      <name val="Times New Roman CE"/>
      <family val="1"/>
    </font>
    <font>
      <sz val="13"/>
      <name val="Times New Roman CE"/>
      <family val="1"/>
    </font>
    <font>
      <b/>
      <sz val="16"/>
      <name val="Times New Roman CE"/>
      <family val="1"/>
    </font>
    <font>
      <b/>
      <sz val="14"/>
      <name val="Arial CE"/>
      <family val="0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sz val="12"/>
      <name val="Arial CE"/>
      <family val="0"/>
    </font>
    <font>
      <sz val="11"/>
      <name val="Arial CE"/>
      <family val="0"/>
    </font>
    <font>
      <i/>
      <sz val="9"/>
      <name val="Times New Roman CE"/>
      <family val="1"/>
    </font>
    <font>
      <b/>
      <i/>
      <sz val="14"/>
      <name val="Times New Roman CE"/>
      <family val="1"/>
    </font>
    <font>
      <b/>
      <i/>
      <sz val="13"/>
      <name val="Times New Roman CE"/>
      <family val="1"/>
    </font>
    <font>
      <b/>
      <i/>
      <sz val="10"/>
      <name val="Times New Roman CE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Arial CE"/>
      <family val="0"/>
    </font>
    <font>
      <b/>
      <i/>
      <sz val="9"/>
      <name val="Times New Roman CE"/>
      <family val="1"/>
    </font>
    <font>
      <b/>
      <sz val="8"/>
      <name val="Arial CE"/>
      <family val="0"/>
    </font>
    <font>
      <i/>
      <sz val="8"/>
      <name val="Times New Roman"/>
      <family val="1"/>
    </font>
    <font>
      <i/>
      <sz val="8"/>
      <name val="Arial CE"/>
      <family val="0"/>
    </font>
    <font>
      <b/>
      <i/>
      <sz val="16"/>
      <name val="Times New Roman CE"/>
      <family val="1"/>
    </font>
    <font>
      <sz val="16"/>
      <name val="Times New Roman CE"/>
      <family val="1"/>
    </font>
    <font>
      <sz val="8"/>
      <color indexed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2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 style="double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2" fillId="0" borderId="0" xfId="0" applyFont="1" applyBorder="1" applyAlignment="1">
      <alignment horizontal="center" wrapText="1"/>
    </xf>
    <xf numFmtId="3" fontId="7" fillId="0" borderId="0" xfId="0" applyNumberFormat="1" applyFont="1" applyBorder="1" applyAlignment="1">
      <alignment horizontal="centerContinuous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9" fillId="0" borderId="3" xfId="0" applyFont="1" applyBorder="1" applyAlignment="1">
      <alignment horizontal="centerContinuous" vertical="top" wrapText="1"/>
    </xf>
    <xf numFmtId="0" fontId="8" fillId="0" borderId="4" xfId="0" applyFont="1" applyBorder="1" applyAlignment="1">
      <alignment horizontal="centerContinuous" vertical="top" wrapText="1"/>
    </xf>
    <xf numFmtId="164" fontId="10" fillId="0" borderId="5" xfId="0" applyFont="1" applyBorder="1" applyAlignment="1">
      <alignment horizontal="centerContinuous" vertical="center" wrapText="1"/>
    </xf>
    <xf numFmtId="4" fontId="11" fillId="0" borderId="6" xfId="0" applyNumberFormat="1" applyFont="1" applyBorder="1" applyAlignment="1">
      <alignment horizontal="centerContinuous" vertical="center" wrapText="1"/>
    </xf>
    <xf numFmtId="0" fontId="12" fillId="0" borderId="6" xfId="0" applyFont="1" applyBorder="1" applyAlignment="1">
      <alignment horizontal="centerContinuous" vertical="center" wrapText="1"/>
    </xf>
    <xf numFmtId="0" fontId="10" fillId="0" borderId="4" xfId="0" applyFont="1" applyBorder="1" applyAlignment="1">
      <alignment horizontal="centerContinuous" vertical="center" wrapText="1"/>
    </xf>
    <xf numFmtId="0" fontId="9" fillId="0" borderId="0" xfId="0" applyFont="1" applyBorder="1" applyAlignment="1">
      <alignment vertical="top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Continuous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Continuous" vertical="center" wrapText="1"/>
    </xf>
    <xf numFmtId="0" fontId="12" fillId="0" borderId="8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Continuous" vertical="center" wrapText="1"/>
    </xf>
    <xf numFmtId="0" fontId="12" fillId="0" borderId="0" xfId="0" applyFont="1" applyBorder="1" applyAlignment="1">
      <alignment vertical="center"/>
    </xf>
    <xf numFmtId="164" fontId="13" fillId="0" borderId="7" xfId="0" applyFont="1" applyBorder="1" applyAlignment="1">
      <alignment horizontal="center" vertical="center" wrapText="1"/>
    </xf>
    <xf numFmtId="164" fontId="14" fillId="0" borderId="8" xfId="0" applyFont="1" applyBorder="1" applyAlignment="1">
      <alignment vertical="center" wrapText="1"/>
    </xf>
    <xf numFmtId="3" fontId="13" fillId="0" borderId="10" xfId="0" applyNumberFormat="1" applyFont="1" applyBorder="1" applyAlignment="1">
      <alignment vertical="center" wrapText="1"/>
    </xf>
    <xf numFmtId="164" fontId="13" fillId="0" borderId="10" xfId="0" applyNumberFormat="1" applyFont="1" applyBorder="1" applyAlignment="1">
      <alignment vertical="center"/>
    </xf>
    <xf numFmtId="164" fontId="13" fillId="0" borderId="12" xfId="0" applyNumberFormat="1" applyFont="1" applyBorder="1" applyAlignment="1">
      <alignment vertical="center"/>
    </xf>
    <xf numFmtId="164" fontId="13" fillId="0" borderId="10" xfId="0" applyNumberFormat="1" applyFont="1" applyBorder="1" applyAlignment="1">
      <alignment vertical="center" wrapText="1"/>
    </xf>
    <xf numFmtId="0" fontId="13" fillId="0" borderId="0" xfId="0" applyFont="1" applyBorder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3" fontId="13" fillId="0" borderId="15" xfId="0" applyNumberFormat="1" applyFont="1" applyBorder="1" applyAlignment="1">
      <alignment vertical="center" wrapText="1"/>
    </xf>
    <xf numFmtId="3" fontId="13" fillId="0" borderId="16" xfId="0" applyNumberFormat="1" applyFont="1" applyBorder="1" applyAlignment="1">
      <alignment vertical="center" wrapText="1"/>
    </xf>
    <xf numFmtId="164" fontId="13" fillId="0" borderId="16" xfId="0" applyNumberFormat="1" applyFont="1" applyBorder="1" applyAlignment="1">
      <alignment vertical="center"/>
    </xf>
    <xf numFmtId="164" fontId="13" fillId="0" borderId="17" xfId="0" applyNumberFormat="1" applyFont="1" applyBorder="1" applyAlignment="1">
      <alignment vertical="center"/>
    </xf>
    <xf numFmtId="164" fontId="13" fillId="0" borderId="16" xfId="0" applyNumberFormat="1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3" fontId="7" fillId="0" borderId="20" xfId="0" applyNumberFormat="1" applyFont="1" applyBorder="1" applyAlignment="1">
      <alignment vertical="center" wrapText="1"/>
    </xf>
    <xf numFmtId="3" fontId="7" fillId="0" borderId="21" xfId="0" applyNumberFormat="1" applyFont="1" applyBorder="1" applyAlignment="1">
      <alignment vertical="center" wrapText="1"/>
    </xf>
    <xf numFmtId="164" fontId="7" fillId="0" borderId="21" xfId="0" applyNumberFormat="1" applyFont="1" applyBorder="1" applyAlignment="1">
      <alignment vertical="center"/>
    </xf>
    <xf numFmtId="164" fontId="7" fillId="0" borderId="22" xfId="0" applyNumberFormat="1" applyFont="1" applyBorder="1" applyAlignment="1">
      <alignment vertical="center"/>
    </xf>
    <xf numFmtId="164" fontId="7" fillId="0" borderId="21" xfId="0" applyNumberFormat="1" applyFont="1" applyBorder="1" applyAlignment="1">
      <alignment vertical="center" wrapText="1"/>
    </xf>
    <xf numFmtId="164" fontId="7" fillId="0" borderId="23" xfId="0" applyNumberFormat="1" applyFont="1" applyBorder="1" applyAlignment="1">
      <alignment vertical="center"/>
    </xf>
    <xf numFmtId="164" fontId="7" fillId="0" borderId="19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8" xfId="0" applyFont="1" applyBorder="1" applyAlignment="1">
      <alignment horizontal="centerContinuous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164" fontId="13" fillId="0" borderId="12" xfId="0" applyNumberFormat="1" applyFont="1" applyBorder="1" applyAlignment="1">
      <alignment vertical="center"/>
    </xf>
    <xf numFmtId="0" fontId="13" fillId="2" borderId="8" xfId="0" applyFont="1" applyFill="1" applyBorder="1" applyAlignment="1">
      <alignment vertical="center" wrapText="1"/>
    </xf>
    <xf numFmtId="3" fontId="13" fillId="0" borderId="9" xfId="0" applyNumberFormat="1" applyFont="1" applyBorder="1" applyAlignment="1">
      <alignment vertical="center" wrapText="1"/>
    </xf>
    <xf numFmtId="164" fontId="7" fillId="0" borderId="10" xfId="0" applyNumberFormat="1" applyFont="1" applyBorder="1" applyAlignment="1">
      <alignment vertical="center" wrapText="1"/>
    </xf>
    <xf numFmtId="164" fontId="13" fillId="0" borderId="8" xfId="0" applyNumberFormat="1" applyFont="1" applyBorder="1" applyAlignment="1">
      <alignment vertical="center"/>
    </xf>
    <xf numFmtId="164" fontId="7" fillId="0" borderId="24" xfId="0" applyNumberFormat="1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164" fontId="13" fillId="0" borderId="10" xfId="0" applyNumberFormat="1" applyFont="1" applyBorder="1" applyAlignment="1">
      <alignment vertical="center" wrapText="1"/>
    </xf>
    <xf numFmtId="164" fontId="13" fillId="0" borderId="10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/>
    </xf>
    <xf numFmtId="0" fontId="13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3" fontId="7" fillId="0" borderId="18" xfId="0" applyNumberFormat="1" applyFont="1" applyBorder="1" applyAlignment="1">
      <alignment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wrapText="1"/>
    </xf>
    <xf numFmtId="3" fontId="13" fillId="0" borderId="27" xfId="0" applyNumberFormat="1" applyFont="1" applyBorder="1" applyAlignment="1">
      <alignment vertical="center" wrapText="1"/>
    </xf>
    <xf numFmtId="3" fontId="7" fillId="0" borderId="28" xfId="0" applyNumberFormat="1" applyFont="1" applyBorder="1" applyAlignment="1">
      <alignment vertical="center" wrapText="1"/>
    </xf>
    <xf numFmtId="164" fontId="7" fillId="0" borderId="28" xfId="0" applyNumberFormat="1" applyFont="1" applyBorder="1" applyAlignment="1">
      <alignment vertical="center"/>
    </xf>
    <xf numFmtId="164" fontId="7" fillId="0" borderId="29" xfId="0" applyNumberFormat="1" applyFont="1" applyBorder="1" applyAlignment="1">
      <alignment vertical="center"/>
    </xf>
    <xf numFmtId="3" fontId="13" fillId="0" borderId="28" xfId="0" applyNumberFormat="1" applyFont="1" applyBorder="1" applyAlignment="1">
      <alignment vertical="center" wrapText="1"/>
    </xf>
    <xf numFmtId="164" fontId="7" fillId="0" borderId="30" xfId="0" applyNumberFormat="1" applyFont="1" applyBorder="1" applyAlignment="1">
      <alignment vertical="center" wrapText="1"/>
    </xf>
    <xf numFmtId="164" fontId="7" fillId="0" borderId="26" xfId="0" applyNumberFormat="1" applyFont="1" applyBorder="1" applyAlignment="1">
      <alignment vertical="center"/>
    </xf>
    <xf numFmtId="164" fontId="13" fillId="0" borderId="28" xfId="0" applyNumberFormat="1" applyFont="1" applyBorder="1" applyAlignment="1">
      <alignment vertical="center" wrapText="1"/>
    </xf>
    <xf numFmtId="0" fontId="13" fillId="0" borderId="0" xfId="0" applyFont="1" applyBorder="1" applyAlignment="1">
      <alignment/>
    </xf>
    <xf numFmtId="0" fontId="7" fillId="0" borderId="18" xfId="0" applyFont="1" applyBorder="1" applyAlignment="1">
      <alignment horizontal="centerContinuous" vertical="center" wrapText="1"/>
    </xf>
    <xf numFmtId="0" fontId="7" fillId="0" borderId="19" xfId="0" applyFont="1" applyBorder="1" applyAlignment="1">
      <alignment wrapText="1"/>
    </xf>
    <xf numFmtId="0" fontId="7" fillId="0" borderId="0" xfId="0" applyFont="1" applyBorder="1" applyAlignment="1">
      <alignment/>
    </xf>
    <xf numFmtId="0" fontId="13" fillId="0" borderId="18" xfId="0" applyFont="1" applyBorder="1" applyAlignment="1">
      <alignment horizontal="centerContinuous" vertical="center" wrapText="1"/>
    </xf>
    <xf numFmtId="0" fontId="13" fillId="0" borderId="18" xfId="0" applyFont="1" applyBorder="1" applyAlignment="1">
      <alignment horizontal="centerContinuous" vertical="center" wrapText="1"/>
    </xf>
    <xf numFmtId="0" fontId="13" fillId="0" borderId="19" xfId="0" applyFont="1" applyBorder="1" applyAlignment="1">
      <alignment vertical="center" wrapText="1"/>
    </xf>
    <xf numFmtId="3" fontId="13" fillId="0" borderId="20" xfId="0" applyNumberFormat="1" applyFont="1" applyBorder="1" applyAlignment="1">
      <alignment vertical="center" wrapText="1"/>
    </xf>
    <xf numFmtId="3" fontId="13" fillId="0" borderId="21" xfId="0" applyNumberFormat="1" applyFont="1" applyBorder="1" applyAlignment="1">
      <alignment vertical="center" wrapText="1"/>
    </xf>
    <xf numFmtId="164" fontId="13" fillId="0" borderId="21" xfId="0" applyNumberFormat="1" applyFont="1" applyBorder="1" applyAlignment="1">
      <alignment vertical="center"/>
    </xf>
    <xf numFmtId="164" fontId="13" fillId="0" borderId="23" xfId="0" applyNumberFormat="1" applyFont="1" applyBorder="1" applyAlignment="1">
      <alignment vertical="center"/>
    </xf>
    <xf numFmtId="3" fontId="13" fillId="0" borderId="21" xfId="0" applyNumberFormat="1" applyFont="1" applyBorder="1" applyAlignment="1">
      <alignment horizontal="right" vertical="center" wrapText="1"/>
    </xf>
    <xf numFmtId="164" fontId="13" fillId="0" borderId="24" xfId="0" applyNumberFormat="1" applyFont="1" applyBorder="1" applyAlignment="1">
      <alignment vertical="center" wrapText="1"/>
    </xf>
    <xf numFmtId="164" fontId="13" fillId="0" borderId="19" xfId="0" applyNumberFormat="1" applyFont="1" applyBorder="1" applyAlignment="1">
      <alignment vertical="center"/>
    </xf>
    <xf numFmtId="164" fontId="13" fillId="0" borderId="21" xfId="0" applyNumberFormat="1" applyFont="1" applyBorder="1" applyAlignment="1">
      <alignment vertical="center" wrapText="1"/>
    </xf>
    <xf numFmtId="0" fontId="13" fillId="0" borderId="0" xfId="0" applyFont="1" applyBorder="1" applyAlignment="1">
      <alignment horizontal="centerContinuous" vertical="center"/>
    </xf>
    <xf numFmtId="3" fontId="7" fillId="0" borderId="21" xfId="0" applyNumberFormat="1" applyFont="1" applyBorder="1" applyAlignment="1">
      <alignment horizontal="right" vertical="center" wrapText="1"/>
    </xf>
    <xf numFmtId="164" fontId="7" fillId="0" borderId="2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3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vertical="center" wrapText="1"/>
    </xf>
    <xf numFmtId="164" fontId="13" fillId="0" borderId="8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 wrapText="1"/>
    </xf>
    <xf numFmtId="164" fontId="13" fillId="0" borderId="11" xfId="0" applyNumberFormat="1" applyFont="1" applyBorder="1" applyAlignment="1">
      <alignment vertical="center" wrapText="1"/>
    </xf>
    <xf numFmtId="164" fontId="13" fillId="0" borderId="10" xfId="0" applyNumberFormat="1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3" fontId="13" fillId="0" borderId="9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7" fillId="0" borderId="19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25" xfId="0" applyFont="1" applyBorder="1" applyAlignment="1">
      <alignment horizontal="centerContinuous" vertical="center" wrapText="1"/>
    </xf>
    <xf numFmtId="0" fontId="7" fillId="0" borderId="26" xfId="0" applyFont="1" applyBorder="1" applyAlignment="1">
      <alignment vertical="center" wrapText="1"/>
    </xf>
    <xf numFmtId="3" fontId="7" fillId="0" borderId="27" xfId="0" applyNumberFormat="1" applyFont="1" applyBorder="1" applyAlignment="1">
      <alignment vertical="center" wrapText="1"/>
    </xf>
    <xf numFmtId="164" fontId="7" fillId="0" borderId="28" xfId="0" applyNumberFormat="1" applyFont="1" applyBorder="1" applyAlignment="1">
      <alignment vertical="center" wrapText="1"/>
    </xf>
    <xf numFmtId="3" fontId="7" fillId="0" borderId="21" xfId="0" applyNumberFormat="1" applyFont="1" applyBorder="1" applyAlignment="1">
      <alignment vertical="center"/>
    </xf>
    <xf numFmtId="0" fontId="13" fillId="0" borderId="8" xfId="0" applyFont="1" applyBorder="1" applyAlignment="1">
      <alignment vertical="center" wrapText="1"/>
    </xf>
    <xf numFmtId="3" fontId="7" fillId="0" borderId="21" xfId="0" applyNumberFormat="1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16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3" fontId="13" fillId="0" borderId="9" xfId="0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3" fontId="13" fillId="0" borderId="15" xfId="0" applyNumberFormat="1" applyFont="1" applyBorder="1" applyAlignment="1">
      <alignment vertical="center" wrapText="1"/>
    </xf>
    <xf numFmtId="164" fontId="13" fillId="0" borderId="16" xfId="0" applyNumberFormat="1" applyFont="1" applyBorder="1" applyAlignment="1">
      <alignment vertical="center"/>
    </xf>
    <xf numFmtId="164" fontId="13" fillId="0" borderId="31" xfId="0" applyNumberFormat="1" applyFont="1" applyBorder="1" applyAlignment="1">
      <alignment vertical="center" wrapText="1"/>
    </xf>
    <xf numFmtId="164" fontId="13" fillId="0" borderId="14" xfId="0" applyNumberFormat="1" applyFont="1" applyBorder="1" applyAlignment="1">
      <alignment vertical="center"/>
    </xf>
    <xf numFmtId="0" fontId="10" fillId="0" borderId="19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0" fillId="0" borderId="19" xfId="0" applyFont="1" applyBorder="1" applyAlignment="1">
      <alignment horizontal="left" vertical="center" wrapText="1"/>
    </xf>
    <xf numFmtId="0" fontId="17" fillId="0" borderId="0" xfId="0" applyFont="1" applyBorder="1" applyAlignment="1">
      <alignment/>
    </xf>
    <xf numFmtId="0" fontId="8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2" fillId="0" borderId="0" xfId="0" applyNumberFormat="1" applyFont="1" applyAlignment="1">
      <alignment horizontal="right"/>
    </xf>
    <xf numFmtId="0" fontId="23" fillId="0" borderId="0" xfId="0" applyFont="1" applyAlignment="1">
      <alignment vertical="top"/>
    </xf>
    <xf numFmtId="0" fontId="24" fillId="0" borderId="0" xfId="0" applyFont="1" applyAlignment="1">
      <alignment horizontal="centerContinuous" wrapText="1"/>
    </xf>
    <xf numFmtId="0" fontId="25" fillId="0" borderId="0" xfId="0" applyFont="1" applyAlignment="1">
      <alignment horizontal="centerContinuous" wrapText="1"/>
    </xf>
    <xf numFmtId="0" fontId="24" fillId="0" borderId="0" xfId="0" applyFont="1" applyAlignment="1">
      <alignment/>
    </xf>
    <xf numFmtId="3" fontId="26" fillId="0" borderId="0" xfId="0" applyNumberFormat="1" applyFont="1" applyAlignment="1">
      <alignment horizontal="right" vertical="top"/>
    </xf>
    <xf numFmtId="0" fontId="20" fillId="0" borderId="7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6" fillId="0" borderId="32" xfId="0" applyFont="1" applyBorder="1" applyAlignment="1">
      <alignment/>
    </xf>
    <xf numFmtId="0" fontId="24" fillId="0" borderId="32" xfId="0" applyFont="1" applyBorder="1" applyAlignment="1">
      <alignment vertical="center"/>
    </xf>
    <xf numFmtId="3" fontId="27" fillId="0" borderId="33" xfId="0" applyNumberFormat="1" applyFont="1" applyBorder="1" applyAlignment="1">
      <alignment horizontal="center" vertical="center" wrapText="1"/>
    </xf>
    <xf numFmtId="3" fontId="28" fillId="0" borderId="33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8" fillId="0" borderId="32" xfId="0" applyFont="1" applyBorder="1" applyAlignment="1">
      <alignment vertical="center"/>
    </xf>
    <xf numFmtId="0" fontId="29" fillId="0" borderId="34" xfId="0" applyFont="1" applyBorder="1" applyAlignment="1">
      <alignment/>
    </xf>
    <xf numFmtId="0" fontId="29" fillId="0" borderId="32" xfId="0" applyFont="1" applyBorder="1" applyAlignment="1">
      <alignment/>
    </xf>
    <xf numFmtId="0" fontId="28" fillId="0" borderId="0" xfId="0" applyFont="1" applyAlignment="1">
      <alignment vertical="center"/>
    </xf>
    <xf numFmtId="3" fontId="27" fillId="0" borderId="33" xfId="0" applyNumberFormat="1" applyFont="1" applyBorder="1" applyAlignment="1">
      <alignment horizontal="right" vertical="center"/>
    </xf>
    <xf numFmtId="3" fontId="30" fillId="0" borderId="33" xfId="0" applyNumberFormat="1" applyFont="1" applyBorder="1" applyAlignment="1">
      <alignment horizontal="right" vertical="center"/>
    </xf>
    <xf numFmtId="0" fontId="31" fillId="0" borderId="32" xfId="0" applyFont="1" applyBorder="1" applyAlignment="1">
      <alignment vertical="center"/>
    </xf>
    <xf numFmtId="0" fontId="31" fillId="0" borderId="32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3" fontId="27" fillId="0" borderId="35" xfId="0" applyNumberFormat="1" applyFont="1" applyBorder="1" applyAlignment="1">
      <alignment horizontal="right" vertical="center"/>
    </xf>
    <xf numFmtId="3" fontId="30" fillId="0" borderId="35" xfId="0" applyNumberFormat="1" applyFont="1" applyBorder="1" applyAlignment="1">
      <alignment horizontal="right" vertical="center"/>
    </xf>
    <xf numFmtId="0" fontId="20" fillId="0" borderId="18" xfId="0" applyFont="1" applyBorder="1" applyAlignment="1">
      <alignment vertical="center"/>
    </xf>
    <xf numFmtId="0" fontId="22" fillId="0" borderId="24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Continuous" vertical="center"/>
    </xf>
    <xf numFmtId="0" fontId="22" fillId="0" borderId="0" xfId="0" applyFont="1" applyBorder="1" applyAlignment="1">
      <alignment vertical="center"/>
    </xf>
    <xf numFmtId="165" fontId="22" fillId="0" borderId="0" xfId="0" applyNumberFormat="1" applyFont="1" applyBorder="1" applyAlignment="1">
      <alignment horizontal="right" vertical="center"/>
    </xf>
    <xf numFmtId="0" fontId="32" fillId="0" borderId="1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3" fontId="23" fillId="0" borderId="0" xfId="0" applyNumberFormat="1" applyFont="1" applyAlignment="1">
      <alignment vertical="center"/>
    </xf>
    <xf numFmtId="165" fontId="23" fillId="0" borderId="0" xfId="0" applyNumberFormat="1" applyFont="1" applyAlignment="1">
      <alignment horizontal="right" vertical="center"/>
    </xf>
    <xf numFmtId="165" fontId="23" fillId="0" borderId="0" xfId="0" applyNumberFormat="1" applyFont="1" applyBorder="1" applyAlignment="1">
      <alignment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0" fontId="25" fillId="0" borderId="0" xfId="0" applyFont="1" applyAlignment="1">
      <alignment horizontal="right" vertical="center"/>
    </xf>
    <xf numFmtId="165" fontId="25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165" fontId="25" fillId="0" borderId="0" xfId="0" applyNumberFormat="1" applyFont="1" applyAlignment="1">
      <alignment vertical="center"/>
    </xf>
    <xf numFmtId="0" fontId="20" fillId="0" borderId="18" xfId="0" applyFont="1" applyBorder="1" applyAlignment="1">
      <alignment horizontal="center" vertical="top"/>
    </xf>
    <xf numFmtId="0" fontId="23" fillId="0" borderId="0" xfId="0" applyFont="1" applyAlignment="1">
      <alignment horizontal="center" vertical="top"/>
    </xf>
    <xf numFmtId="166" fontId="23" fillId="0" borderId="0" xfId="0" applyNumberFormat="1" applyFont="1" applyAlignment="1">
      <alignment horizontal="right" vertical="top"/>
    </xf>
    <xf numFmtId="165" fontId="23" fillId="0" borderId="0" xfId="0" applyNumberFormat="1" applyFont="1" applyBorder="1" applyAlignment="1">
      <alignment vertical="top"/>
    </xf>
    <xf numFmtId="3" fontId="27" fillId="0" borderId="35" xfId="0" applyNumberFormat="1" applyFont="1" applyBorder="1" applyAlignment="1">
      <alignment horizontal="right" vertical="top"/>
    </xf>
    <xf numFmtId="3" fontId="30" fillId="0" borderId="35" xfId="0" applyNumberFormat="1" applyFont="1" applyBorder="1" applyAlignment="1">
      <alignment horizontal="right" vertical="top"/>
    </xf>
    <xf numFmtId="0" fontId="20" fillId="0" borderId="18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1" fillId="0" borderId="0" xfId="0" applyFont="1" applyBorder="1" applyAlignment="1">
      <alignment/>
    </xf>
    <xf numFmtId="165" fontId="22" fillId="0" borderId="0" xfId="0" applyNumberFormat="1" applyFont="1" applyBorder="1" applyAlignment="1">
      <alignment/>
    </xf>
    <xf numFmtId="3" fontId="27" fillId="0" borderId="35" xfId="0" applyNumberFormat="1" applyFont="1" applyBorder="1" applyAlignment="1">
      <alignment horizontal="right"/>
    </xf>
    <xf numFmtId="3" fontId="30" fillId="0" borderId="35" xfId="0" applyNumberFormat="1" applyFont="1" applyBorder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 vertical="center"/>
    </xf>
    <xf numFmtId="165" fontId="23" fillId="0" borderId="0" xfId="0" applyNumberFormat="1" applyFont="1" applyAlignment="1">
      <alignment vertical="center"/>
    </xf>
    <xf numFmtId="0" fontId="33" fillId="0" borderId="0" xfId="0" applyFont="1" applyBorder="1" applyAlignment="1">
      <alignment/>
    </xf>
    <xf numFmtId="3" fontId="33" fillId="0" borderId="0" xfId="0" applyNumberFormat="1" applyFont="1" applyBorder="1" applyAlignment="1">
      <alignment/>
    </xf>
    <xf numFmtId="0" fontId="33" fillId="0" borderId="0" xfId="0" applyFont="1" applyBorder="1" applyAlignment="1">
      <alignment horizontal="right"/>
    </xf>
    <xf numFmtId="0" fontId="23" fillId="0" borderId="0" xfId="0" applyFont="1" applyAlignment="1">
      <alignment horizontal="right"/>
    </xf>
    <xf numFmtId="165" fontId="23" fillId="0" borderId="0" xfId="0" applyNumberFormat="1" applyFont="1" applyAlignment="1">
      <alignment/>
    </xf>
    <xf numFmtId="165" fontId="23" fillId="0" borderId="0" xfId="0" applyNumberFormat="1" applyFont="1" applyAlignment="1">
      <alignment horizontal="right"/>
    </xf>
    <xf numFmtId="0" fontId="23" fillId="0" borderId="0" xfId="0" applyFont="1" applyBorder="1" applyAlignment="1">
      <alignment horizontal="right"/>
    </xf>
    <xf numFmtId="165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right" vertical="top"/>
    </xf>
    <xf numFmtId="0" fontId="23" fillId="0" borderId="0" xfId="0" applyFont="1" applyBorder="1" applyAlignment="1">
      <alignment vertical="top"/>
    </xf>
    <xf numFmtId="3" fontId="23" fillId="0" borderId="0" xfId="0" applyNumberFormat="1" applyFont="1" applyBorder="1" applyAlignment="1">
      <alignment vertical="top"/>
    </xf>
    <xf numFmtId="166" fontId="23" fillId="0" borderId="0" xfId="0" applyNumberFormat="1" applyFont="1" applyBorder="1" applyAlignment="1">
      <alignment horizontal="right" vertical="top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30" fillId="0" borderId="0" xfId="0" applyFont="1" applyAlignment="1">
      <alignment/>
    </xf>
    <xf numFmtId="3" fontId="30" fillId="0" borderId="0" xfId="0" applyNumberFormat="1" applyFont="1" applyAlignment="1">
      <alignment/>
    </xf>
    <xf numFmtId="165" fontId="25" fillId="0" borderId="0" xfId="0" applyNumberFormat="1" applyFont="1" applyAlignment="1">
      <alignment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3" fontId="30" fillId="0" borderId="0" xfId="0" applyNumberFormat="1" applyFont="1" applyAlignment="1">
      <alignment vertical="center"/>
    </xf>
    <xf numFmtId="0" fontId="27" fillId="0" borderId="0" xfId="0" applyFont="1" applyAlignment="1">
      <alignment horizontal="right" vertical="center"/>
    </xf>
    <xf numFmtId="165" fontId="30" fillId="0" borderId="0" xfId="0" applyNumberFormat="1" applyFont="1" applyAlignment="1">
      <alignment vertical="center"/>
    </xf>
    <xf numFmtId="0" fontId="30" fillId="0" borderId="0" xfId="0" applyFont="1" applyAlignment="1">
      <alignment/>
    </xf>
    <xf numFmtId="0" fontId="26" fillId="0" borderId="0" xfId="0" applyFont="1" applyAlignment="1">
      <alignment/>
    </xf>
    <xf numFmtId="165" fontId="30" fillId="0" borderId="0" xfId="0" applyNumberFormat="1" applyFont="1" applyAlignment="1">
      <alignment/>
    </xf>
    <xf numFmtId="0" fontId="26" fillId="0" borderId="0" xfId="0" applyFont="1" applyAlignment="1">
      <alignment vertical="center"/>
    </xf>
    <xf numFmtId="166" fontId="26" fillId="0" borderId="0" xfId="0" applyNumberFormat="1" applyFont="1" applyAlignment="1">
      <alignment vertical="center"/>
    </xf>
    <xf numFmtId="0" fontId="26" fillId="0" borderId="0" xfId="0" applyFont="1" applyAlignment="1">
      <alignment horizontal="center" vertical="center"/>
    </xf>
    <xf numFmtId="0" fontId="31" fillId="0" borderId="32" xfId="0" applyFont="1" applyBorder="1" applyAlignment="1">
      <alignment horizontal="right" vertical="center"/>
    </xf>
    <xf numFmtId="0" fontId="20" fillId="0" borderId="0" xfId="0" applyFont="1" applyAlignment="1">
      <alignment/>
    </xf>
    <xf numFmtId="0" fontId="33" fillId="0" borderId="0" xfId="0" applyFont="1" applyAlignment="1">
      <alignment/>
    </xf>
    <xf numFmtId="0" fontId="27" fillId="0" borderId="34" xfId="0" applyFont="1" applyBorder="1" applyAlignment="1">
      <alignment vertical="top"/>
    </xf>
    <xf numFmtId="165" fontId="33" fillId="0" borderId="0" xfId="0" applyNumberFormat="1" applyFont="1" applyAlignment="1">
      <alignment horizontal="centerContinuous"/>
    </xf>
    <xf numFmtId="3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165" fontId="23" fillId="0" borderId="0" xfId="0" applyNumberFormat="1" applyFont="1" applyBorder="1" applyAlignment="1">
      <alignment horizontal="right" vertical="center"/>
    </xf>
    <xf numFmtId="166" fontId="23" fillId="0" borderId="0" xfId="0" applyNumberFormat="1" applyFont="1" applyBorder="1" applyAlignment="1">
      <alignment horizontal="left" vertical="center"/>
    </xf>
    <xf numFmtId="165" fontId="27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2" fillId="0" borderId="25" xfId="0" applyFont="1" applyBorder="1" applyAlignment="1">
      <alignment horizontal="center" vertical="top"/>
    </xf>
    <xf numFmtId="0" fontId="23" fillId="0" borderId="36" xfId="0" applyFont="1" applyBorder="1" applyAlignment="1">
      <alignment vertical="top"/>
    </xf>
    <xf numFmtId="4" fontId="23" fillId="0" borderId="36" xfId="0" applyNumberFormat="1" applyFont="1" applyBorder="1" applyAlignment="1">
      <alignment vertical="top"/>
    </xf>
    <xf numFmtId="0" fontId="23" fillId="0" borderId="36" xfId="0" applyFont="1" applyBorder="1" applyAlignment="1">
      <alignment horizontal="center" vertical="top"/>
    </xf>
    <xf numFmtId="165" fontId="23" fillId="0" borderId="36" xfId="0" applyNumberFormat="1" applyFont="1" applyBorder="1" applyAlignment="1">
      <alignment horizontal="right" vertical="top"/>
    </xf>
    <xf numFmtId="165" fontId="25" fillId="0" borderId="36" xfId="0" applyNumberFormat="1" applyFont="1" applyBorder="1" applyAlignment="1">
      <alignment vertical="top"/>
    </xf>
    <xf numFmtId="3" fontId="27" fillId="0" borderId="37" xfId="0" applyNumberFormat="1" applyFont="1" applyBorder="1" applyAlignment="1">
      <alignment horizontal="right" vertical="top"/>
    </xf>
    <xf numFmtId="3" fontId="30" fillId="0" borderId="37" xfId="0" applyNumberFormat="1" applyFont="1" applyBorder="1" applyAlignment="1">
      <alignment horizontal="right" vertical="top"/>
    </xf>
    <xf numFmtId="0" fontId="20" fillId="0" borderId="13" xfId="0" applyFont="1" applyBorder="1" applyAlignment="1">
      <alignment horizontal="center" vertical="center"/>
    </xf>
    <xf numFmtId="0" fontId="31" fillId="0" borderId="38" xfId="0" applyFont="1" applyBorder="1" applyAlignment="1">
      <alignment vertical="center"/>
    </xf>
    <xf numFmtId="0" fontId="31" fillId="0" borderId="38" xfId="0" applyFont="1" applyBorder="1" applyAlignment="1">
      <alignment horizontal="center" vertical="center"/>
    </xf>
    <xf numFmtId="0" fontId="31" fillId="0" borderId="38" xfId="0" applyFont="1" applyBorder="1" applyAlignment="1">
      <alignment horizontal="right" vertical="center"/>
    </xf>
    <xf numFmtId="3" fontId="27" fillId="0" borderId="39" xfId="0" applyNumberFormat="1" applyFont="1" applyBorder="1" applyAlignment="1">
      <alignment horizontal="right" vertical="center"/>
    </xf>
    <xf numFmtId="3" fontId="30" fillId="0" borderId="39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center" vertical="center"/>
    </xf>
    <xf numFmtId="0" fontId="27" fillId="0" borderId="34" xfId="0" applyFont="1" applyBorder="1" applyAlignment="1">
      <alignment horizontal="right" vertical="center"/>
    </xf>
    <xf numFmtId="0" fontId="25" fillId="0" borderId="34" xfId="0" applyFont="1" applyBorder="1" applyAlignment="1">
      <alignment vertical="center"/>
    </xf>
    <xf numFmtId="0" fontId="31" fillId="0" borderId="34" xfId="0" applyFont="1" applyBorder="1" applyAlignment="1">
      <alignment horizontal="center" vertical="center"/>
    </xf>
    <xf numFmtId="0" fontId="31" fillId="0" borderId="34" xfId="0" applyFont="1" applyBorder="1" applyAlignment="1">
      <alignment horizontal="right" vertical="center"/>
    </xf>
    <xf numFmtId="165" fontId="20" fillId="0" borderId="2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165" fontId="23" fillId="0" borderId="0" xfId="0" applyNumberFormat="1" applyFont="1" applyAlignment="1">
      <alignment/>
    </xf>
    <xf numFmtId="0" fontId="21" fillId="0" borderId="0" xfId="0" applyFont="1" applyAlignment="1">
      <alignment/>
    </xf>
    <xf numFmtId="166" fontId="23" fillId="0" borderId="0" xfId="0" applyNumberFormat="1" applyFont="1" applyAlignment="1">
      <alignment vertical="center"/>
    </xf>
    <xf numFmtId="4" fontId="23" fillId="0" borderId="0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165" fontId="30" fillId="0" borderId="0" xfId="0" applyNumberFormat="1" applyFont="1" applyBorder="1" applyAlignment="1">
      <alignment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vertical="top"/>
    </xf>
    <xf numFmtId="165" fontId="25" fillId="0" borderId="0" xfId="0" applyNumberFormat="1" applyFont="1" applyAlignment="1">
      <alignment vertical="top"/>
    </xf>
    <xf numFmtId="0" fontId="27" fillId="0" borderId="0" xfId="0" applyFont="1" applyBorder="1" applyAlignment="1">
      <alignment horizontal="right"/>
    </xf>
    <xf numFmtId="0" fontId="25" fillId="0" borderId="0" xfId="0" applyFont="1" applyBorder="1" applyAlignment="1">
      <alignment/>
    </xf>
    <xf numFmtId="165" fontId="20" fillId="0" borderId="23" xfId="0" applyNumberFormat="1" applyFont="1" applyBorder="1" applyAlignment="1">
      <alignment horizontal="center"/>
    </xf>
    <xf numFmtId="0" fontId="31" fillId="0" borderId="24" xfId="0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20" fillId="0" borderId="25" xfId="0" applyFont="1" applyBorder="1" applyAlignment="1">
      <alignment horizontal="center" vertical="top"/>
    </xf>
    <xf numFmtId="0" fontId="26" fillId="0" borderId="36" xfId="0" applyFont="1" applyBorder="1" applyAlignment="1">
      <alignment horizontal="center" vertical="top"/>
    </xf>
    <xf numFmtId="0" fontId="26" fillId="0" borderId="36" xfId="0" applyFont="1" applyBorder="1" applyAlignment="1">
      <alignment vertical="top"/>
    </xf>
    <xf numFmtId="0" fontId="32" fillId="0" borderId="18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3" fontId="33" fillId="0" borderId="0" xfId="0" applyNumberFormat="1" applyFont="1" applyAlignment="1">
      <alignment/>
    </xf>
    <xf numFmtId="165" fontId="33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165" fontId="26" fillId="0" borderId="0" xfId="0" applyNumberFormat="1" applyFont="1" applyBorder="1" applyAlignment="1">
      <alignment/>
    </xf>
    <xf numFmtId="0" fontId="30" fillId="0" borderId="0" xfId="0" applyFont="1" applyBorder="1" applyAlignment="1">
      <alignment vertical="top"/>
    </xf>
    <xf numFmtId="0" fontId="32" fillId="0" borderId="0" xfId="0" applyFont="1" applyBorder="1" applyAlignment="1">
      <alignment horizontal="right" vertical="top"/>
    </xf>
    <xf numFmtId="0" fontId="32" fillId="0" borderId="0" xfId="0" applyFont="1" applyBorder="1" applyAlignment="1">
      <alignment vertical="top"/>
    </xf>
    <xf numFmtId="0" fontId="26" fillId="0" borderId="0" xfId="0" applyFont="1" applyBorder="1" applyAlignment="1">
      <alignment vertical="top"/>
    </xf>
    <xf numFmtId="165" fontId="26" fillId="0" borderId="0" xfId="0" applyNumberFormat="1" applyFont="1" applyBorder="1" applyAlignment="1">
      <alignment vertical="top"/>
    </xf>
    <xf numFmtId="0" fontId="31" fillId="0" borderId="32" xfId="0" applyFont="1" applyBorder="1" applyAlignment="1">
      <alignment horizontal="left" vertical="center"/>
    </xf>
    <xf numFmtId="0" fontId="31" fillId="0" borderId="32" xfId="0" applyFont="1" applyBorder="1" applyAlignment="1">
      <alignment horizontal="centerContinuous" vertical="center"/>
    </xf>
    <xf numFmtId="3" fontId="31" fillId="0" borderId="32" xfId="0" applyNumberFormat="1" applyFont="1" applyBorder="1" applyAlignment="1">
      <alignment horizontal="centerContinuous" vertical="center"/>
    </xf>
    <xf numFmtId="165" fontId="31" fillId="0" borderId="32" xfId="0" applyNumberFormat="1" applyFont="1" applyBorder="1" applyAlignment="1">
      <alignment horizontal="centerContinuous" vertical="center"/>
    </xf>
    <xf numFmtId="0" fontId="23" fillId="0" borderId="0" xfId="0" applyFont="1" applyBorder="1" applyAlignment="1">
      <alignment/>
    </xf>
    <xf numFmtId="165" fontId="25" fillId="0" borderId="0" xfId="0" applyNumberFormat="1" applyFont="1" applyBorder="1" applyAlignment="1">
      <alignment/>
    </xf>
    <xf numFmtId="165" fontId="25" fillId="0" borderId="0" xfId="0" applyNumberFormat="1" applyFont="1" applyBorder="1" applyAlignment="1">
      <alignment vertical="top"/>
    </xf>
    <xf numFmtId="0" fontId="20" fillId="0" borderId="0" xfId="0" applyFont="1" applyBorder="1" applyAlignment="1">
      <alignment horizontal="centerContinuous"/>
    </xf>
    <xf numFmtId="0" fontId="20" fillId="0" borderId="0" xfId="0" applyFont="1" applyBorder="1" applyAlignment="1">
      <alignment vertical="top"/>
    </xf>
    <xf numFmtId="0" fontId="20" fillId="0" borderId="0" xfId="0" applyFont="1" applyBorder="1" applyAlignment="1">
      <alignment horizontal="center" vertical="top"/>
    </xf>
    <xf numFmtId="0" fontId="24" fillId="0" borderId="32" xfId="0" applyFont="1" applyBorder="1" applyAlignment="1">
      <alignment horizontal="centerContinuous" vertical="center" wrapText="1"/>
    </xf>
    <xf numFmtId="0" fontId="34" fillId="0" borderId="34" xfId="0" applyFont="1" applyBorder="1" applyAlignment="1">
      <alignment horizontal="centerContinuous" wrapText="1"/>
    </xf>
    <xf numFmtId="165" fontId="23" fillId="0" borderId="0" xfId="0" applyNumberFormat="1" applyFont="1" applyBorder="1" applyAlignment="1">
      <alignment horizontal="right" vertical="top"/>
    </xf>
    <xf numFmtId="0" fontId="35" fillId="0" borderId="0" xfId="0" applyFont="1" applyBorder="1" applyAlignment="1">
      <alignment vertical="center"/>
    </xf>
    <xf numFmtId="0" fontId="32" fillId="0" borderId="1" xfId="0" applyFont="1" applyBorder="1" applyAlignment="1">
      <alignment horizontal="center" vertical="center"/>
    </xf>
    <xf numFmtId="0" fontId="22" fillId="0" borderId="34" xfId="0" applyFont="1" applyBorder="1" applyAlignment="1">
      <alignment vertical="center"/>
    </xf>
    <xf numFmtId="0" fontId="22" fillId="0" borderId="34" xfId="0" applyFont="1" applyBorder="1" applyAlignment="1">
      <alignment horizontal="center" vertical="center"/>
    </xf>
    <xf numFmtId="3" fontId="27" fillId="0" borderId="40" xfId="0" applyNumberFormat="1" applyFont="1" applyBorder="1" applyAlignment="1">
      <alignment horizontal="right" vertical="center"/>
    </xf>
    <xf numFmtId="3" fontId="30" fillId="0" borderId="40" xfId="0" applyNumberFormat="1" applyFont="1" applyBorder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32" fillId="0" borderId="18" xfId="0" applyFont="1" applyBorder="1" applyAlignment="1">
      <alignment horizontal="center"/>
    </xf>
    <xf numFmtId="0" fontId="25" fillId="0" borderId="0" xfId="0" applyFont="1" applyBorder="1" applyAlignment="1">
      <alignment/>
    </xf>
    <xf numFmtId="165" fontId="25" fillId="0" borderId="0" xfId="0" applyNumberFormat="1" applyFont="1" applyAlignment="1">
      <alignment horizontal="right" vertical="center"/>
    </xf>
    <xf numFmtId="165" fontId="25" fillId="0" borderId="0" xfId="0" applyNumberFormat="1" applyFont="1" applyBorder="1" applyAlignment="1">
      <alignment horizontal="right" vertical="center"/>
    </xf>
    <xf numFmtId="165" fontId="25" fillId="0" borderId="0" xfId="0" applyNumberFormat="1" applyFont="1" applyBorder="1" applyAlignment="1">
      <alignment/>
    </xf>
    <xf numFmtId="0" fontId="33" fillId="0" borderId="0" xfId="0" applyFont="1" applyAlignment="1">
      <alignment/>
    </xf>
    <xf numFmtId="167" fontId="33" fillId="0" borderId="0" xfId="0" applyNumberFormat="1" applyFon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21" fillId="0" borderId="36" xfId="0" applyFont="1" applyBorder="1" applyAlignment="1">
      <alignment vertical="center"/>
    </xf>
    <xf numFmtId="0" fontId="21" fillId="0" borderId="36" xfId="0" applyFont="1" applyBorder="1" applyAlignment="1">
      <alignment horizontal="center" vertical="center"/>
    </xf>
    <xf numFmtId="0" fontId="22" fillId="0" borderId="36" xfId="0" applyFont="1" applyBorder="1" applyAlignment="1">
      <alignment vertical="center"/>
    </xf>
    <xf numFmtId="3" fontId="27" fillId="0" borderId="37" xfId="0" applyNumberFormat="1" applyFont="1" applyBorder="1" applyAlignment="1">
      <alignment horizontal="right" vertical="center"/>
    </xf>
    <xf numFmtId="3" fontId="30" fillId="0" borderId="37" xfId="0" applyNumberFormat="1" applyFont="1" applyBorder="1" applyAlignment="1">
      <alignment horizontal="right" vertical="center"/>
    </xf>
    <xf numFmtId="165" fontId="23" fillId="0" borderId="0" xfId="0" applyNumberFormat="1" applyFont="1" applyBorder="1" applyAlignment="1">
      <alignment/>
    </xf>
    <xf numFmtId="0" fontId="23" fillId="0" borderId="0" xfId="0" applyFont="1" applyAlignment="1">
      <alignment horizontal="right" vertical="top"/>
    </xf>
    <xf numFmtId="165" fontId="23" fillId="0" borderId="0" xfId="0" applyNumberFormat="1" applyFont="1" applyAlignment="1">
      <alignment vertical="top"/>
    </xf>
    <xf numFmtId="0" fontId="30" fillId="0" borderId="0" xfId="0" applyFont="1" applyAlignment="1">
      <alignment horizontal="centerContinuous" vertical="center"/>
    </xf>
    <xf numFmtId="0" fontId="30" fillId="0" borderId="0" xfId="0" applyFont="1" applyBorder="1" applyAlignment="1">
      <alignment horizontal="centerContinuous"/>
    </xf>
    <xf numFmtId="0" fontId="26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7" fontId="23" fillId="0" borderId="0" xfId="0" applyNumberFormat="1" applyFont="1" applyAlignment="1">
      <alignment/>
    </xf>
    <xf numFmtId="0" fontId="26" fillId="0" borderId="0" xfId="0" applyFont="1" applyAlignment="1">
      <alignment/>
    </xf>
    <xf numFmtId="167" fontId="23" fillId="0" borderId="0" xfId="0" applyNumberFormat="1" applyFont="1" applyBorder="1" applyAlignment="1">
      <alignment/>
    </xf>
    <xf numFmtId="0" fontId="23" fillId="0" borderId="0" xfId="0" applyFont="1" applyAlignment="1">
      <alignment horizontal="left" wrapText="1"/>
    </xf>
    <xf numFmtId="167" fontId="23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165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/>
    </xf>
    <xf numFmtId="165" fontId="30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167" fontId="26" fillId="0" borderId="0" xfId="0" applyNumberFormat="1" applyFont="1" applyAlignment="1">
      <alignment/>
    </xf>
    <xf numFmtId="165" fontId="30" fillId="0" borderId="0" xfId="0" applyNumberFormat="1" applyFont="1" applyAlignment="1">
      <alignment/>
    </xf>
    <xf numFmtId="0" fontId="25" fillId="0" borderId="0" xfId="0" applyFont="1" applyAlignment="1">
      <alignment/>
    </xf>
    <xf numFmtId="167" fontId="23" fillId="0" borderId="0" xfId="0" applyNumberFormat="1" applyFont="1" applyAlignment="1">
      <alignment/>
    </xf>
    <xf numFmtId="0" fontId="25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vertical="top"/>
    </xf>
    <xf numFmtId="0" fontId="30" fillId="0" borderId="24" xfId="0" applyFont="1" applyBorder="1" applyAlignment="1">
      <alignment horizontal="center" vertical="top"/>
    </xf>
    <xf numFmtId="167" fontId="23" fillId="0" borderId="0" xfId="0" applyNumberFormat="1" applyFont="1" applyAlignment="1">
      <alignment vertical="center"/>
    </xf>
    <xf numFmtId="0" fontId="30" fillId="0" borderId="0" xfId="0" applyFont="1" applyBorder="1" applyAlignment="1">
      <alignment horizontal="centerContinuous" vertical="center"/>
    </xf>
    <xf numFmtId="167" fontId="30" fillId="0" borderId="0" xfId="0" applyNumberFormat="1" applyFont="1" applyBorder="1" applyAlignment="1">
      <alignment vertical="center"/>
    </xf>
    <xf numFmtId="3" fontId="27" fillId="0" borderId="35" xfId="0" applyNumberFormat="1" applyFont="1" applyBorder="1" applyAlignment="1">
      <alignment vertical="center"/>
    </xf>
    <xf numFmtId="3" fontId="30" fillId="0" borderId="35" xfId="0" applyNumberFormat="1" applyFont="1" applyBorder="1" applyAlignment="1">
      <alignment vertical="center"/>
    </xf>
    <xf numFmtId="0" fontId="30" fillId="0" borderId="0" xfId="0" applyFont="1" applyBorder="1" applyAlignment="1">
      <alignment horizontal="center" vertical="top"/>
    </xf>
    <xf numFmtId="0" fontId="20" fillId="0" borderId="25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36" xfId="0" applyFont="1" applyBorder="1" applyAlignment="1">
      <alignment vertical="center"/>
    </xf>
    <xf numFmtId="0" fontId="26" fillId="0" borderId="36" xfId="0" applyFont="1" applyBorder="1" applyAlignment="1">
      <alignment vertical="center"/>
    </xf>
    <xf numFmtId="165" fontId="30" fillId="0" borderId="36" xfId="0" applyNumberFormat="1" applyFont="1" applyBorder="1" applyAlignment="1">
      <alignment vertical="center"/>
    </xf>
    <xf numFmtId="167" fontId="30" fillId="0" borderId="0" xfId="0" applyNumberFormat="1" applyFont="1" applyBorder="1" applyAlignment="1">
      <alignment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right"/>
    </xf>
    <xf numFmtId="165" fontId="30" fillId="0" borderId="23" xfId="0" applyNumberFormat="1" applyFont="1" applyBorder="1" applyAlignment="1">
      <alignment vertical="center"/>
    </xf>
    <xf numFmtId="0" fontId="30" fillId="0" borderId="38" xfId="0" applyFont="1" applyBorder="1" applyAlignment="1">
      <alignment horizontal="center" vertical="center"/>
    </xf>
    <xf numFmtId="0" fontId="30" fillId="0" borderId="38" xfId="0" applyFont="1" applyBorder="1" applyAlignment="1">
      <alignment vertical="center"/>
    </xf>
    <xf numFmtId="0" fontId="26" fillId="0" borderId="38" xfId="0" applyFont="1" applyBorder="1" applyAlignment="1">
      <alignment vertical="center"/>
    </xf>
    <xf numFmtId="165" fontId="30" fillId="0" borderId="38" xfId="0" applyNumberFormat="1" applyFont="1" applyBorder="1" applyAlignment="1">
      <alignment vertical="center"/>
    </xf>
    <xf numFmtId="0" fontId="20" fillId="0" borderId="32" xfId="0" applyFont="1" applyBorder="1" applyAlignment="1">
      <alignment horizontal="centerContinuous" vertical="center" wrapText="1"/>
    </xf>
    <xf numFmtId="0" fontId="2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2" fillId="0" borderId="34" xfId="0" applyFont="1" applyBorder="1" applyAlignment="1">
      <alignment horizontal="left" vertical="center"/>
    </xf>
    <xf numFmtId="0" fontId="32" fillId="0" borderId="34" xfId="0" applyFont="1" applyBorder="1" applyAlignment="1">
      <alignment vertical="center"/>
    </xf>
    <xf numFmtId="0" fontId="32" fillId="0" borderId="32" xfId="0" applyFont="1" applyBorder="1" applyAlignment="1">
      <alignment vertical="center"/>
    </xf>
    <xf numFmtId="165" fontId="30" fillId="0" borderId="12" xfId="0" applyNumberFormat="1" applyFont="1" applyBorder="1" applyAlignment="1">
      <alignment horizontal="centerContinuous" vertical="center" wrapText="1"/>
    </xf>
    <xf numFmtId="3" fontId="37" fillId="0" borderId="40" xfId="0" applyNumberFormat="1" applyFont="1" applyBorder="1" applyAlignment="1">
      <alignment horizontal="right" vertical="center"/>
    </xf>
    <xf numFmtId="0" fontId="26" fillId="0" borderId="41" xfId="0" applyFont="1" applyBorder="1" applyAlignment="1">
      <alignment vertical="center"/>
    </xf>
    <xf numFmtId="0" fontId="26" fillId="0" borderId="34" xfId="0" applyFont="1" applyBorder="1" applyAlignment="1">
      <alignment vertical="center"/>
    </xf>
    <xf numFmtId="0" fontId="26" fillId="0" borderId="34" xfId="0" applyFont="1" applyBorder="1" applyAlignment="1">
      <alignment horizontal="right" vertical="center"/>
    </xf>
    <xf numFmtId="9" fontId="26" fillId="0" borderId="34" xfId="0" applyNumberFormat="1" applyFont="1" applyBorder="1" applyAlignment="1">
      <alignment vertical="center"/>
    </xf>
    <xf numFmtId="166" fontId="26" fillId="0" borderId="34" xfId="0" applyNumberFormat="1" applyFont="1" applyBorder="1" applyAlignment="1">
      <alignment horizontal="left" vertical="center"/>
    </xf>
    <xf numFmtId="165" fontId="26" fillId="0" borderId="0" xfId="0" applyNumberFormat="1" applyFont="1" applyAlignment="1">
      <alignment horizontal="right" vertical="center"/>
    </xf>
    <xf numFmtId="0" fontId="26" fillId="0" borderId="0" xfId="0" applyFont="1" applyBorder="1" applyAlignment="1">
      <alignment horizontal="right" vertical="top"/>
    </xf>
    <xf numFmtId="166" fontId="26" fillId="0" borderId="0" xfId="0" applyNumberFormat="1" applyFont="1" applyBorder="1" applyAlignment="1">
      <alignment horizontal="left" vertical="top"/>
    </xf>
    <xf numFmtId="165" fontId="26" fillId="0" borderId="0" xfId="0" applyNumberFormat="1" applyFont="1" applyAlignment="1">
      <alignment horizontal="right" vertical="top"/>
    </xf>
    <xf numFmtId="0" fontId="36" fillId="0" borderId="11" xfId="0" applyFont="1" applyBorder="1" applyAlignment="1">
      <alignment vertical="center"/>
    </xf>
    <xf numFmtId="0" fontId="32" fillId="0" borderId="1" xfId="0" applyFont="1" applyBorder="1" applyAlignment="1">
      <alignment horizontal="center"/>
    </xf>
    <xf numFmtId="0" fontId="26" fillId="0" borderId="41" xfId="0" applyFont="1" applyBorder="1" applyAlignment="1">
      <alignment/>
    </xf>
    <xf numFmtId="0" fontId="26" fillId="0" borderId="34" xfId="0" applyFont="1" applyBorder="1" applyAlignment="1">
      <alignment/>
    </xf>
    <xf numFmtId="0" fontId="26" fillId="0" borderId="34" xfId="0" applyFont="1" applyBorder="1" applyAlignment="1">
      <alignment horizontal="right"/>
    </xf>
    <xf numFmtId="9" fontId="26" fillId="0" borderId="34" xfId="0" applyNumberFormat="1" applyFont="1" applyBorder="1" applyAlignment="1">
      <alignment/>
    </xf>
    <xf numFmtId="166" fontId="26" fillId="0" borderId="34" xfId="0" applyNumberFormat="1" applyFont="1" applyBorder="1" applyAlignment="1">
      <alignment horizontal="left"/>
    </xf>
    <xf numFmtId="165" fontId="26" fillId="0" borderId="0" xfId="0" applyNumberFormat="1" applyFont="1" applyAlignment="1">
      <alignment horizontal="right"/>
    </xf>
    <xf numFmtId="3" fontId="27" fillId="0" borderId="40" xfId="0" applyNumberFormat="1" applyFont="1" applyBorder="1" applyAlignment="1">
      <alignment horizontal="right"/>
    </xf>
    <xf numFmtId="3" fontId="30" fillId="0" borderId="40" xfId="0" applyNumberFormat="1" applyFont="1" applyBorder="1" applyAlignment="1">
      <alignment horizontal="right"/>
    </xf>
    <xf numFmtId="168" fontId="24" fillId="0" borderId="32" xfId="0" applyNumberFormat="1" applyFont="1" applyBorder="1" applyAlignment="1">
      <alignment horizontal="left" vertical="center"/>
    </xf>
    <xf numFmtId="168" fontId="24" fillId="0" borderId="32" xfId="0" applyNumberFormat="1" applyFont="1" applyBorder="1" applyAlignment="1">
      <alignment vertical="center"/>
    </xf>
    <xf numFmtId="0" fontId="30" fillId="0" borderId="7" xfId="0" applyFont="1" applyBorder="1" applyAlignment="1">
      <alignment horizontal="center" vertical="center"/>
    </xf>
    <xf numFmtId="168" fontId="30" fillId="0" borderId="32" xfId="0" applyNumberFormat="1" applyFont="1" applyBorder="1" applyAlignment="1">
      <alignment horizontal="left" vertical="center"/>
    </xf>
    <xf numFmtId="168" fontId="30" fillId="0" borderId="32" xfId="0" applyNumberFormat="1" applyFont="1" applyBorder="1" applyAlignment="1">
      <alignment vertical="center"/>
    </xf>
    <xf numFmtId="168" fontId="22" fillId="0" borderId="32" xfId="0" applyNumberFormat="1" applyFont="1" applyBorder="1" applyAlignment="1">
      <alignment vertical="center"/>
    </xf>
    <xf numFmtId="168" fontId="25" fillId="0" borderId="32" xfId="0" applyNumberFormat="1" applyFont="1" applyBorder="1" applyAlignment="1">
      <alignment vertical="center"/>
    </xf>
    <xf numFmtId="169" fontId="25" fillId="0" borderId="32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32" fillId="0" borderId="41" xfId="0" applyFont="1" applyBorder="1" applyAlignment="1">
      <alignment/>
    </xf>
    <xf numFmtId="168" fontId="32" fillId="0" borderId="0" xfId="0" applyNumberFormat="1" applyFont="1" applyBorder="1" applyAlignment="1">
      <alignment horizontal="right"/>
    </xf>
    <xf numFmtId="168" fontId="32" fillId="0" borderId="0" xfId="0" applyNumberFormat="1" applyFont="1" applyBorder="1" applyAlignment="1">
      <alignment/>
    </xf>
    <xf numFmtId="0" fontId="32" fillId="0" borderId="0" xfId="0" applyFont="1" applyBorder="1" applyAlignment="1">
      <alignment vertical="center"/>
    </xf>
    <xf numFmtId="168" fontId="23" fillId="0" borderId="0" xfId="0" applyNumberFormat="1" applyFont="1" applyBorder="1" applyAlignment="1">
      <alignment/>
    </xf>
    <xf numFmtId="169" fontId="32" fillId="0" borderId="0" xfId="0" applyNumberFormat="1" applyFont="1" applyBorder="1" applyAlignment="1">
      <alignment/>
    </xf>
    <xf numFmtId="169" fontId="23" fillId="0" borderId="0" xfId="0" applyNumberFormat="1" applyFont="1" applyBorder="1" applyAlignment="1">
      <alignment vertical="center"/>
    </xf>
    <xf numFmtId="0" fontId="32" fillId="0" borderId="0" xfId="0" applyFont="1" applyAlignment="1">
      <alignment vertical="top"/>
    </xf>
    <xf numFmtId="168" fontId="32" fillId="0" borderId="0" xfId="0" applyNumberFormat="1" applyFont="1" applyAlignment="1">
      <alignment horizontal="right" vertical="top"/>
    </xf>
    <xf numFmtId="168" fontId="32" fillId="0" borderId="0" xfId="0" applyNumberFormat="1" applyFont="1" applyAlignment="1">
      <alignment vertical="top"/>
    </xf>
    <xf numFmtId="168" fontId="23" fillId="0" borderId="0" xfId="0" applyNumberFormat="1" applyFont="1" applyAlignment="1">
      <alignment vertical="top"/>
    </xf>
    <xf numFmtId="169" fontId="32" fillId="0" borderId="0" xfId="0" applyNumberFormat="1" applyFont="1" applyAlignment="1">
      <alignment vertical="top"/>
    </xf>
    <xf numFmtId="169" fontId="23" fillId="0" borderId="0" xfId="0" applyNumberFormat="1" applyFont="1" applyBorder="1" applyAlignment="1">
      <alignment horizontal="right" vertical="top"/>
    </xf>
    <xf numFmtId="169" fontId="25" fillId="0" borderId="12" xfId="0" applyNumberFormat="1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168" fontId="32" fillId="0" borderId="0" xfId="0" applyNumberFormat="1" applyFont="1" applyAlignment="1">
      <alignment horizontal="right"/>
    </xf>
    <xf numFmtId="168" fontId="32" fillId="0" borderId="0" xfId="0" applyNumberFormat="1" applyFont="1" applyAlignment="1">
      <alignment/>
    </xf>
    <xf numFmtId="168" fontId="23" fillId="0" borderId="0" xfId="0" applyNumberFormat="1" applyFont="1" applyAlignment="1">
      <alignment/>
    </xf>
    <xf numFmtId="169" fontId="32" fillId="0" borderId="0" xfId="0" applyNumberFormat="1" applyFont="1" applyAlignment="1">
      <alignment/>
    </xf>
    <xf numFmtId="169" fontId="23" fillId="0" borderId="0" xfId="0" applyNumberFormat="1" applyFont="1" applyAlignment="1">
      <alignment horizontal="right" vertical="center"/>
    </xf>
    <xf numFmtId="0" fontId="32" fillId="0" borderId="0" xfId="0" applyFont="1" applyAlignment="1">
      <alignment/>
    </xf>
    <xf numFmtId="169" fontId="23" fillId="0" borderId="0" xfId="0" applyNumberFormat="1" applyFont="1" applyBorder="1" applyAlignment="1">
      <alignment horizontal="right"/>
    </xf>
    <xf numFmtId="168" fontId="33" fillId="0" borderId="0" xfId="0" applyNumberFormat="1" applyFont="1" applyBorder="1" applyAlignment="1">
      <alignment horizontal="right" vertical="top"/>
    </xf>
    <xf numFmtId="168" fontId="33" fillId="0" borderId="0" xfId="0" applyNumberFormat="1" applyFont="1" applyBorder="1" applyAlignment="1">
      <alignment vertical="top"/>
    </xf>
    <xf numFmtId="169" fontId="33" fillId="0" borderId="0" xfId="0" applyNumberFormat="1" applyFont="1" applyBorder="1" applyAlignment="1">
      <alignment vertical="top"/>
    </xf>
    <xf numFmtId="169" fontId="33" fillId="0" borderId="0" xfId="0" applyNumberFormat="1" applyFont="1" applyBorder="1" applyAlignment="1">
      <alignment horizontal="right" vertical="top"/>
    </xf>
    <xf numFmtId="0" fontId="22" fillId="0" borderId="7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165" fontId="21" fillId="0" borderId="0" xfId="0" applyNumberFormat="1" applyFont="1" applyAlignment="1">
      <alignment vertical="center"/>
    </xf>
    <xf numFmtId="0" fontId="21" fillId="0" borderId="36" xfId="0" applyFont="1" applyBorder="1" applyAlignment="1">
      <alignment vertical="top"/>
    </xf>
    <xf numFmtId="0" fontId="22" fillId="0" borderId="36" xfId="0" applyFont="1" applyBorder="1" applyAlignment="1">
      <alignment vertical="top"/>
    </xf>
    <xf numFmtId="0" fontId="21" fillId="0" borderId="36" xfId="0" applyFont="1" applyBorder="1" applyAlignment="1">
      <alignment horizontal="center" vertical="top"/>
    </xf>
    <xf numFmtId="165" fontId="21" fillId="0" borderId="36" xfId="0" applyNumberFormat="1" applyFont="1" applyBorder="1" applyAlignment="1">
      <alignment vertical="top"/>
    </xf>
    <xf numFmtId="0" fontId="27" fillId="0" borderId="0" xfId="0" applyNumberFormat="1" applyFont="1" applyBorder="1" applyAlignment="1">
      <alignment horizontal="center" vertical="center"/>
    </xf>
    <xf numFmtId="169" fontId="26" fillId="0" borderId="23" xfId="0" applyNumberFormat="1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27" fillId="0" borderId="36" xfId="0" applyNumberFormat="1" applyFont="1" applyBorder="1" applyAlignment="1">
      <alignment horizontal="center" vertical="center"/>
    </xf>
    <xf numFmtId="169" fontId="26" fillId="0" borderId="29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68" fontId="27" fillId="0" borderId="0" xfId="0" applyNumberFormat="1" applyFont="1" applyBorder="1" applyAlignment="1">
      <alignment horizontal="center" vertical="center"/>
    </xf>
    <xf numFmtId="168" fontId="23" fillId="0" borderId="0" xfId="0" applyNumberFormat="1" applyFont="1" applyBorder="1" applyAlignment="1">
      <alignment horizontal="left" vertical="center"/>
    </xf>
    <xf numFmtId="168" fontId="23" fillId="0" borderId="0" xfId="0" applyNumberFormat="1" applyFont="1" applyBorder="1" applyAlignment="1">
      <alignment vertical="center"/>
    </xf>
    <xf numFmtId="169" fontId="30" fillId="0" borderId="23" xfId="0" applyNumberFormat="1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165" fontId="30" fillId="0" borderId="23" xfId="0" applyNumberFormat="1" applyFont="1" applyBorder="1" applyAlignment="1">
      <alignment vertical="center" wrapText="1"/>
    </xf>
    <xf numFmtId="0" fontId="27" fillId="0" borderId="36" xfId="0" applyFont="1" applyBorder="1" applyAlignment="1">
      <alignment horizontal="center" vertical="center"/>
    </xf>
    <xf numFmtId="165" fontId="30" fillId="0" borderId="29" xfId="0" applyNumberFormat="1" applyFont="1" applyBorder="1" applyAlignment="1">
      <alignment vertical="center" wrapText="1"/>
    </xf>
    <xf numFmtId="0" fontId="20" fillId="0" borderId="7" xfId="0" applyFont="1" applyBorder="1" applyAlignment="1">
      <alignment horizontal="centerContinuous"/>
    </xf>
    <xf numFmtId="3" fontId="20" fillId="0" borderId="33" xfId="0" applyNumberFormat="1" applyFont="1" applyBorder="1" applyAlignment="1">
      <alignment horizontal="right" vertical="center"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165" fontId="34" fillId="0" borderId="0" xfId="0" applyNumberFormat="1" applyFont="1" applyAlignment="1">
      <alignment vertical="center"/>
    </xf>
    <xf numFmtId="0" fontId="24" fillId="0" borderId="38" xfId="0" applyFont="1" applyBorder="1" applyAlignment="1">
      <alignment horizontal="center" vertical="center"/>
    </xf>
    <xf numFmtId="0" fontId="24" fillId="0" borderId="38" xfId="0" applyFont="1" applyBorder="1" applyAlignment="1">
      <alignment vertical="center"/>
    </xf>
    <xf numFmtId="0" fontId="34" fillId="0" borderId="38" xfId="0" applyFont="1" applyBorder="1" applyAlignment="1">
      <alignment/>
    </xf>
    <xf numFmtId="0" fontId="22" fillId="0" borderId="38" xfId="0" applyFont="1" applyBorder="1" applyAlignment="1">
      <alignment horizontal="center" vertical="center"/>
    </xf>
    <xf numFmtId="0" fontId="22" fillId="0" borderId="38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165" fontId="34" fillId="0" borderId="38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4" fontId="27" fillId="0" borderId="0" xfId="0" applyNumberFormat="1" applyFont="1" applyBorder="1" applyAlignment="1">
      <alignment horizontal="right"/>
    </xf>
    <xf numFmtId="4" fontId="25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3" fontId="22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3" fontId="25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41" fillId="0" borderId="0" xfId="0" applyFont="1" applyAlignment="1">
      <alignment horizontal="right"/>
    </xf>
    <xf numFmtId="0" fontId="9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64" fontId="8" fillId="0" borderId="49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164" fontId="6" fillId="0" borderId="51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38" xfId="0" applyBorder="1" applyAlignment="1">
      <alignment vertical="center" wrapText="1"/>
    </xf>
    <xf numFmtId="168" fontId="22" fillId="0" borderId="11" xfId="0" applyNumberFormat="1" applyFont="1" applyBorder="1" applyAlignment="1">
      <alignment horizontal="left" vertical="center"/>
    </xf>
    <xf numFmtId="0" fontId="44" fillId="0" borderId="0" xfId="0" applyFont="1" applyAlignment="1">
      <alignment/>
    </xf>
    <xf numFmtId="0" fontId="2" fillId="0" borderId="52" xfId="0" applyFont="1" applyBorder="1" applyAlignment="1">
      <alignment horizontal="center" vertical="center"/>
    </xf>
    <xf numFmtId="0" fontId="41" fillId="0" borderId="21" xfId="0" applyFont="1" applyBorder="1" applyAlignment="1">
      <alignment vertical="center"/>
    </xf>
    <xf numFmtId="164" fontId="41" fillId="0" borderId="47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2" fillId="0" borderId="50" xfId="0" applyFont="1" applyBorder="1" applyAlignment="1">
      <alignment horizontal="center" vertical="center"/>
    </xf>
    <xf numFmtId="0" fontId="41" fillId="0" borderId="28" xfId="0" applyFont="1" applyBorder="1" applyAlignment="1">
      <alignment vertical="center" wrapText="1"/>
    </xf>
    <xf numFmtId="164" fontId="41" fillId="0" borderId="53" xfId="0" applyNumberFormat="1" applyFont="1" applyBorder="1" applyAlignment="1">
      <alignment vertical="center"/>
    </xf>
    <xf numFmtId="0" fontId="41" fillId="0" borderId="21" xfId="0" applyFont="1" applyBorder="1" applyAlignment="1">
      <alignment vertical="center" wrapText="1"/>
    </xf>
    <xf numFmtId="164" fontId="41" fillId="0" borderId="54" xfId="0" applyNumberFormat="1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41" fillId="0" borderId="46" xfId="0" applyFont="1" applyBorder="1" applyAlignment="1">
      <alignment vertical="center"/>
    </xf>
    <xf numFmtId="0" fontId="41" fillId="0" borderId="5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1" fillId="0" borderId="52" xfId="0" applyFont="1" applyBorder="1" applyAlignment="1">
      <alignment horizontal="center" vertical="center"/>
    </xf>
    <xf numFmtId="0" fontId="0" fillId="0" borderId="0" xfId="0" applyFont="1" applyAlignment="1">
      <alignment/>
    </xf>
    <xf numFmtId="164" fontId="41" fillId="0" borderId="24" xfId="0" applyNumberFormat="1" applyFont="1" applyBorder="1" applyAlignment="1">
      <alignment vertical="center"/>
    </xf>
    <xf numFmtId="0" fontId="41" fillId="0" borderId="50" xfId="0" applyFont="1" applyBorder="1" applyAlignment="1">
      <alignment horizontal="center" vertical="center"/>
    </xf>
    <xf numFmtId="0" fontId="41" fillId="0" borderId="2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64" fontId="8" fillId="0" borderId="49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43" fillId="0" borderId="0" xfId="0" applyFont="1" applyAlignment="1">
      <alignment/>
    </xf>
    <xf numFmtId="164" fontId="46" fillId="0" borderId="53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45" fillId="0" borderId="0" xfId="0" applyFont="1" applyAlignment="1">
      <alignment/>
    </xf>
    <xf numFmtId="164" fontId="46" fillId="0" borderId="51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2" fillId="0" borderId="55" xfId="0" applyFont="1" applyBorder="1" applyAlignment="1">
      <alignment horizontal="center" vertical="center"/>
    </xf>
    <xf numFmtId="0" fontId="41" fillId="0" borderId="56" xfId="0" applyFont="1" applyBorder="1" applyAlignment="1">
      <alignment vertical="center"/>
    </xf>
    <xf numFmtId="164" fontId="41" fillId="0" borderId="51" xfId="0" applyNumberFormat="1" applyFont="1" applyBorder="1" applyAlignment="1">
      <alignment vertical="center"/>
    </xf>
    <xf numFmtId="0" fontId="2" fillId="0" borderId="57" xfId="0" applyFont="1" applyBorder="1" applyAlignment="1">
      <alignment horizontal="center" vertical="center"/>
    </xf>
    <xf numFmtId="0" fontId="41" fillId="0" borderId="58" xfId="0" applyFont="1" applyBorder="1" applyAlignment="1">
      <alignment vertical="center"/>
    </xf>
    <xf numFmtId="164" fontId="41" fillId="0" borderId="59" xfId="0" applyNumberFormat="1" applyFont="1" applyBorder="1" applyAlignment="1">
      <alignment vertical="center"/>
    </xf>
    <xf numFmtId="0" fontId="41" fillId="0" borderId="58" xfId="0" applyFont="1" applyBorder="1" applyAlignment="1">
      <alignment vertical="center" wrapText="1"/>
    </xf>
    <xf numFmtId="0" fontId="41" fillId="0" borderId="58" xfId="0" applyFont="1" applyBorder="1" applyAlignment="1">
      <alignment vertical="center" wrapText="1" shrinkToFit="1"/>
    </xf>
    <xf numFmtId="0" fontId="41" fillId="0" borderId="46" xfId="0" applyFont="1" applyBorder="1" applyAlignment="1">
      <alignment vertical="center" wrapText="1" shrinkToFit="1"/>
    </xf>
    <xf numFmtId="0" fontId="8" fillId="0" borderId="10" xfId="0" applyFont="1" applyBorder="1" applyAlignment="1">
      <alignment vertical="center" wrapText="1"/>
    </xf>
    <xf numFmtId="164" fontId="8" fillId="0" borderId="49" xfId="0" applyNumberFormat="1" applyFont="1" applyBorder="1" applyAlignment="1">
      <alignment vertical="center" wrapText="1"/>
    </xf>
    <xf numFmtId="0" fontId="6" fillId="0" borderId="28" xfId="0" applyFont="1" applyBorder="1" applyAlignment="1">
      <alignment vertical="center"/>
    </xf>
    <xf numFmtId="164" fontId="6" fillId="0" borderId="53" xfId="0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1" fillId="0" borderId="46" xfId="0" applyFont="1" applyBorder="1" applyAlignment="1">
      <alignment vertical="center" wrapText="1"/>
    </xf>
    <xf numFmtId="164" fontId="41" fillId="0" borderId="54" xfId="0" applyNumberFormat="1" applyFont="1" applyBorder="1" applyAlignment="1">
      <alignment/>
    </xf>
    <xf numFmtId="0" fontId="41" fillId="0" borderId="60" xfId="0" applyFont="1" applyBorder="1" applyAlignment="1">
      <alignment vertical="center"/>
    </xf>
    <xf numFmtId="164" fontId="41" fillId="0" borderId="61" xfId="0" applyNumberFormat="1" applyFont="1" applyBorder="1" applyAlignment="1">
      <alignment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vertical="center" wrapText="1"/>
    </xf>
    <xf numFmtId="0" fontId="2" fillId="0" borderId="55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2" fillId="0" borderId="45" xfId="0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/>
    </xf>
    <xf numFmtId="0" fontId="2" fillId="0" borderId="52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164" fontId="8" fillId="0" borderId="63" xfId="0" applyNumberFormat="1" applyFont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28" xfId="0" applyFont="1" applyBorder="1" applyAlignment="1">
      <alignment vertical="center" wrapText="1"/>
    </xf>
    <xf numFmtId="164" fontId="6" fillId="0" borderId="53" xfId="0" applyNumberFormat="1" applyFont="1" applyBorder="1" applyAlignment="1">
      <alignment/>
    </xf>
    <xf numFmtId="0" fontId="41" fillId="0" borderId="56" xfId="0" applyFont="1" applyBorder="1" applyAlignment="1">
      <alignment vertical="center" wrapText="1"/>
    </xf>
    <xf numFmtId="0" fontId="41" fillId="0" borderId="0" xfId="0" applyFont="1" applyAlignment="1">
      <alignment/>
    </xf>
    <xf numFmtId="0" fontId="47" fillId="0" borderId="0" xfId="0" applyFont="1" applyAlignment="1">
      <alignment/>
    </xf>
    <xf numFmtId="0" fontId="6" fillId="0" borderId="55" xfId="0" applyFont="1" applyBorder="1" applyAlignment="1">
      <alignment horizontal="center" vertical="center"/>
    </xf>
    <xf numFmtId="164" fontId="6" fillId="0" borderId="51" xfId="0" applyNumberFormat="1" applyFont="1" applyBorder="1" applyAlignment="1">
      <alignment/>
    </xf>
    <xf numFmtId="0" fontId="8" fillId="0" borderId="10" xfId="0" applyFont="1" applyBorder="1" applyAlignment="1">
      <alignment vertical="center"/>
    </xf>
    <xf numFmtId="164" fontId="6" fillId="0" borderId="53" xfId="0" applyNumberFormat="1" applyFont="1" applyBorder="1" applyAlignment="1">
      <alignment vertical="center"/>
    </xf>
    <xf numFmtId="0" fontId="48" fillId="0" borderId="64" xfId="0" applyFont="1" applyBorder="1" applyAlignment="1">
      <alignment horizontal="center" vertical="center"/>
    </xf>
    <xf numFmtId="0" fontId="49" fillId="0" borderId="9" xfId="0" applyFont="1" applyBorder="1" applyAlignment="1">
      <alignment horizontal="left" vertical="center"/>
    </xf>
    <xf numFmtId="164" fontId="49" fillId="0" borderId="49" xfId="0" applyNumberFormat="1" applyFont="1" applyBorder="1" applyAlignment="1">
      <alignment vertical="center"/>
    </xf>
    <xf numFmtId="0" fontId="50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3" fontId="5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3" fontId="41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51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53" fillId="0" borderId="66" xfId="0" applyFont="1" applyBorder="1" applyAlignment="1">
      <alignment horizontal="centerContinuous" vertical="center"/>
    </xf>
    <xf numFmtId="0" fontId="53" fillId="0" borderId="67" xfId="0" applyFont="1" applyBorder="1" applyAlignment="1">
      <alignment horizontal="center" vertical="center" wrapText="1"/>
    </xf>
    <xf numFmtId="0" fontId="53" fillId="0" borderId="67" xfId="0" applyFont="1" applyBorder="1" applyAlignment="1">
      <alignment horizontal="centerContinuous"/>
    </xf>
    <xf numFmtId="164" fontId="53" fillId="0" borderId="68" xfId="0" applyNumberFormat="1" applyFont="1" applyBorder="1" applyAlignment="1">
      <alignment vertical="center"/>
    </xf>
    <xf numFmtId="0" fontId="54" fillId="0" borderId="6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32" xfId="0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vertical="center"/>
    </xf>
    <xf numFmtId="0" fontId="55" fillId="0" borderId="70" xfId="0" applyFont="1" applyBorder="1" applyAlignment="1">
      <alignment horizontal="center" vertical="center"/>
    </xf>
    <xf numFmtId="0" fontId="41" fillId="0" borderId="71" xfId="0" applyFont="1" applyBorder="1" applyAlignment="1">
      <alignment vertical="center"/>
    </xf>
    <xf numFmtId="0" fontId="13" fillId="0" borderId="71" xfId="0" applyFont="1" applyBorder="1" applyAlignment="1">
      <alignment horizontal="center" vertical="center" wrapText="1"/>
    </xf>
    <xf numFmtId="164" fontId="41" fillId="0" borderId="71" xfId="0" applyNumberFormat="1" applyFont="1" applyBorder="1" applyAlignment="1">
      <alignment vertical="center"/>
    </xf>
    <xf numFmtId="0" fontId="41" fillId="0" borderId="54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center" vertical="center" wrapText="1"/>
    </xf>
    <xf numFmtId="164" fontId="41" fillId="0" borderId="21" xfId="0" applyNumberFormat="1" applyFont="1" applyBorder="1" applyAlignment="1">
      <alignment vertical="center"/>
    </xf>
    <xf numFmtId="0" fontId="13" fillId="0" borderId="28" xfId="0" applyFont="1" applyBorder="1" applyAlignment="1">
      <alignment horizontal="center" vertical="center" wrapText="1"/>
    </xf>
    <xf numFmtId="164" fontId="41" fillId="0" borderId="28" xfId="0" applyNumberFormat="1" applyFont="1" applyBorder="1" applyAlignment="1">
      <alignment vertical="center"/>
    </xf>
    <xf numFmtId="0" fontId="41" fillId="0" borderId="53" xfId="0" applyFont="1" applyBorder="1" applyAlignment="1">
      <alignment horizontal="left" vertical="center" wrapText="1"/>
    </xf>
    <xf numFmtId="0" fontId="41" fillId="0" borderId="55" xfId="0" applyFont="1" applyBorder="1" applyAlignment="1">
      <alignment horizontal="center" vertical="center"/>
    </xf>
    <xf numFmtId="0" fontId="41" fillId="0" borderId="56" xfId="0" applyFont="1" applyBorder="1" applyAlignment="1">
      <alignment vertical="center"/>
    </xf>
    <xf numFmtId="0" fontId="13" fillId="0" borderId="56" xfId="0" applyFont="1" applyBorder="1" applyAlignment="1">
      <alignment horizontal="center" vertical="center" wrapText="1"/>
    </xf>
    <xf numFmtId="164" fontId="41" fillId="0" borderId="56" xfId="0" applyNumberFormat="1" applyFont="1" applyBorder="1" applyAlignment="1">
      <alignment vertical="center"/>
    </xf>
    <xf numFmtId="0" fontId="41" fillId="0" borderId="51" xfId="0" applyFont="1" applyBorder="1" applyAlignment="1">
      <alignment horizontal="left" vertical="center" wrapText="1"/>
    </xf>
    <xf numFmtId="0" fontId="56" fillId="0" borderId="49" xfId="0" applyFont="1" applyBorder="1" applyAlignment="1">
      <alignment horizontal="left" vertical="center" wrapText="1"/>
    </xf>
    <xf numFmtId="0" fontId="41" fillId="0" borderId="55" xfId="0" applyFont="1" applyBorder="1" applyAlignment="1">
      <alignment horizontal="center" vertical="center"/>
    </xf>
    <xf numFmtId="164" fontId="41" fillId="0" borderId="56" xfId="0" applyNumberFormat="1" applyFont="1" applyBorder="1" applyAlignment="1">
      <alignment vertical="center"/>
    </xf>
    <xf numFmtId="0" fontId="6" fillId="0" borderId="32" xfId="0" applyFont="1" applyBorder="1" applyAlignment="1">
      <alignment vertical="center" wrapText="1"/>
    </xf>
    <xf numFmtId="0" fontId="6" fillId="0" borderId="32" xfId="0" applyFont="1" applyBorder="1" applyAlignment="1">
      <alignment/>
    </xf>
    <xf numFmtId="170" fontId="6" fillId="0" borderId="9" xfId="0" applyNumberFormat="1" applyFont="1" applyBorder="1" applyAlignment="1">
      <alignment vertical="center"/>
    </xf>
    <xf numFmtId="0" fontId="46" fillId="0" borderId="4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62" xfId="0" applyFont="1" applyBorder="1" applyAlignment="1">
      <alignment horizontal="center" vertical="center"/>
    </xf>
    <xf numFmtId="0" fontId="41" fillId="0" borderId="16" xfId="0" applyFont="1" applyBorder="1" applyAlignment="1">
      <alignment horizontal="left" vertical="center"/>
    </xf>
    <xf numFmtId="0" fontId="49" fillId="0" borderId="16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Continuous" vertical="center"/>
    </xf>
    <xf numFmtId="0" fontId="49" fillId="0" borderId="32" xfId="0" applyFont="1" applyBorder="1" applyAlignment="1">
      <alignment/>
    </xf>
    <xf numFmtId="170" fontId="41" fillId="0" borderId="16" xfId="0" applyNumberFormat="1" applyFont="1" applyBorder="1" applyAlignment="1">
      <alignment vertical="center"/>
    </xf>
    <xf numFmtId="0" fontId="41" fillId="0" borderId="6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32" xfId="0" applyFont="1" applyBorder="1" applyAlignment="1">
      <alignment horizontal="centerContinuous" vertical="center"/>
    </xf>
    <xf numFmtId="3" fontId="6" fillId="0" borderId="32" xfId="0" applyNumberFormat="1" applyFont="1" applyBorder="1" applyAlignment="1">
      <alignment vertical="center"/>
    </xf>
    <xf numFmtId="0" fontId="6" fillId="0" borderId="4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Continuous" vertical="center"/>
    </xf>
    <xf numFmtId="3" fontId="41" fillId="0" borderId="28" xfId="0" applyNumberFormat="1" applyFont="1" applyBorder="1" applyAlignment="1">
      <alignment vertical="center"/>
    </xf>
    <xf numFmtId="170" fontId="41" fillId="0" borderId="28" xfId="0" applyNumberFormat="1" applyFont="1" applyBorder="1" applyAlignment="1">
      <alignment vertical="center"/>
    </xf>
    <xf numFmtId="0" fontId="41" fillId="0" borderId="56" xfId="0" applyFont="1" applyBorder="1" applyAlignment="1">
      <alignment horizontal="left" vertical="center"/>
    </xf>
    <xf numFmtId="0" fontId="41" fillId="0" borderId="56" xfId="0" applyFont="1" applyBorder="1" applyAlignment="1">
      <alignment horizontal="centerContinuous" vertical="center"/>
    </xf>
    <xf numFmtId="3" fontId="41" fillId="0" borderId="56" xfId="0" applyNumberFormat="1" applyFont="1" applyBorder="1" applyAlignment="1">
      <alignment vertical="center"/>
    </xf>
    <xf numFmtId="0" fontId="6" fillId="0" borderId="62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Continuous" vertical="center"/>
    </xf>
    <xf numFmtId="3" fontId="6" fillId="0" borderId="38" xfId="0" applyNumberFormat="1" applyFont="1" applyBorder="1" applyAlignment="1">
      <alignment vertical="center"/>
    </xf>
    <xf numFmtId="164" fontId="6" fillId="0" borderId="16" xfId="0" applyNumberFormat="1" applyFont="1" applyBorder="1" applyAlignment="1">
      <alignment vertical="center"/>
    </xf>
    <xf numFmtId="0" fontId="6" fillId="0" borderId="63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164" fontId="41" fillId="0" borderId="28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 wrapText="1"/>
    </xf>
    <xf numFmtId="0" fontId="55" fillId="0" borderId="49" xfId="0" applyFont="1" applyBorder="1" applyAlignment="1">
      <alignment horizontal="left" vertical="center" wrapText="1"/>
    </xf>
    <xf numFmtId="0" fontId="41" fillId="0" borderId="72" xfId="0" applyFont="1" applyBorder="1" applyAlignment="1">
      <alignment horizontal="center" vertical="center"/>
    </xf>
    <xf numFmtId="0" fontId="41" fillId="0" borderId="73" xfId="0" applyFont="1" applyBorder="1" applyAlignment="1">
      <alignment horizontal="left" vertical="center" wrapText="1"/>
    </xf>
    <xf numFmtId="0" fontId="41" fillId="0" borderId="74" xfId="0" applyFont="1" applyBorder="1" applyAlignment="1">
      <alignment horizontal="center" vertical="center" wrapText="1"/>
    </xf>
    <xf numFmtId="164" fontId="41" fillId="0" borderId="74" xfId="0" applyNumberFormat="1" applyFont="1" applyBorder="1" applyAlignment="1">
      <alignment horizontal="right" vertical="center"/>
    </xf>
    <xf numFmtId="164" fontId="41" fillId="0" borderId="74" xfId="0" applyNumberFormat="1" applyFont="1" applyBorder="1" applyAlignment="1">
      <alignment vertical="center"/>
    </xf>
    <xf numFmtId="164" fontId="41" fillId="0" borderId="75" xfId="0" applyNumberFormat="1" applyFont="1" applyBorder="1" applyAlignment="1">
      <alignment vertical="center"/>
    </xf>
    <xf numFmtId="0" fontId="41" fillId="0" borderId="76" xfId="0" applyFont="1" applyBorder="1" applyAlignment="1">
      <alignment horizontal="left" vertical="center" wrapText="1"/>
    </xf>
    <xf numFmtId="0" fontId="41" fillId="0" borderId="50" xfId="0" applyFont="1" applyBorder="1" applyAlignment="1">
      <alignment horizontal="center" vertical="center"/>
    </xf>
    <xf numFmtId="0" fontId="41" fillId="0" borderId="28" xfId="0" applyFont="1" applyBorder="1" applyAlignment="1">
      <alignment vertical="center"/>
    </xf>
    <xf numFmtId="164" fontId="41" fillId="0" borderId="28" xfId="0" applyNumberFormat="1" applyFont="1" applyBorder="1" applyAlignment="1">
      <alignment vertical="center"/>
    </xf>
    <xf numFmtId="0" fontId="41" fillId="0" borderId="77" xfId="0" applyFont="1" applyBorder="1" applyAlignment="1">
      <alignment horizontal="center" vertical="center"/>
    </xf>
    <xf numFmtId="0" fontId="41" fillId="0" borderId="58" xfId="0" applyFont="1" applyBorder="1" applyAlignment="1">
      <alignment vertical="center"/>
    </xf>
    <xf numFmtId="164" fontId="41" fillId="0" borderId="58" xfId="0" applyNumberFormat="1" applyFont="1" applyBorder="1" applyAlignment="1">
      <alignment vertical="center"/>
    </xf>
    <xf numFmtId="0" fontId="41" fillId="0" borderId="59" xfId="0" applyFont="1" applyBorder="1" applyAlignment="1">
      <alignment horizontal="left" vertical="center" wrapText="1"/>
    </xf>
    <xf numFmtId="0" fontId="41" fillId="0" borderId="78" xfId="0" applyFont="1" applyBorder="1" applyAlignment="1">
      <alignment horizontal="center" vertical="center"/>
    </xf>
    <xf numFmtId="0" fontId="41" fillId="0" borderId="46" xfId="0" applyFont="1" applyBorder="1" applyAlignment="1">
      <alignment vertical="center"/>
    </xf>
    <xf numFmtId="164" fontId="41" fillId="0" borderId="46" xfId="0" applyNumberFormat="1" applyFont="1" applyBorder="1" applyAlignment="1">
      <alignment vertical="center"/>
    </xf>
    <xf numFmtId="0" fontId="41" fillId="0" borderId="47" xfId="0" applyFont="1" applyBorder="1" applyAlignment="1">
      <alignment horizontal="left" vertical="center" wrapText="1"/>
    </xf>
    <xf numFmtId="0" fontId="41" fillId="0" borderId="56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3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41" fillId="0" borderId="79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0" fontId="13" fillId="0" borderId="80" xfId="0" applyFont="1" applyBorder="1" applyAlignment="1">
      <alignment horizontal="center" vertical="center" wrapText="1"/>
    </xf>
    <xf numFmtId="0" fontId="41" fillId="0" borderId="81" xfId="0" applyFont="1" applyBorder="1" applyAlignment="1">
      <alignment vertical="center"/>
    </xf>
    <xf numFmtId="164" fontId="41" fillId="0" borderId="20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1" fillId="0" borderId="50" xfId="0" applyFont="1" applyBorder="1" applyAlignment="1">
      <alignment horizontal="center" vertical="center" wrapText="1"/>
    </xf>
    <xf numFmtId="0" fontId="41" fillId="0" borderId="28" xfId="0" applyFont="1" applyBorder="1" applyAlignment="1">
      <alignment vertical="center" wrapText="1"/>
    </xf>
    <xf numFmtId="164" fontId="41" fillId="0" borderId="28" xfId="0" applyNumberFormat="1" applyFont="1" applyBorder="1" applyAlignment="1">
      <alignment vertical="center" wrapText="1"/>
    </xf>
    <xf numFmtId="0" fontId="53" fillId="0" borderId="45" xfId="0" applyFont="1" applyBorder="1" applyAlignment="1">
      <alignment horizontal="center" vertical="center"/>
    </xf>
    <xf numFmtId="0" fontId="53" fillId="0" borderId="66" xfId="0" applyFont="1" applyBorder="1" applyAlignment="1">
      <alignment horizontal="center" vertical="center"/>
    </xf>
    <xf numFmtId="164" fontId="53" fillId="0" borderId="67" xfId="0" applyNumberFormat="1" applyFont="1" applyBorder="1" applyAlignment="1">
      <alignment horizontal="centerContinuous" vertical="center"/>
    </xf>
    <xf numFmtId="3" fontId="53" fillId="0" borderId="67" xfId="0" applyNumberFormat="1" applyFont="1" applyBorder="1" applyAlignment="1">
      <alignment vertical="center"/>
    </xf>
    <xf numFmtId="0" fontId="54" fillId="0" borderId="51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64" fontId="6" fillId="0" borderId="32" xfId="0" applyNumberFormat="1" applyFont="1" applyBorder="1" applyAlignment="1">
      <alignment vertical="center"/>
    </xf>
    <xf numFmtId="164" fontId="6" fillId="0" borderId="32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41" fillId="0" borderId="56" xfId="0" applyFont="1" applyBorder="1" applyAlignment="1">
      <alignment vertical="center" wrapText="1"/>
    </xf>
    <xf numFmtId="0" fontId="41" fillId="0" borderId="82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41" fillId="0" borderId="21" xfId="0" applyFont="1" applyBorder="1" applyAlignment="1">
      <alignment/>
    </xf>
    <xf numFmtId="164" fontId="41" fillId="0" borderId="21" xfId="0" applyNumberFormat="1" applyFont="1" applyBorder="1" applyAlignment="1">
      <alignment/>
    </xf>
    <xf numFmtId="164" fontId="41" fillId="0" borderId="21" xfId="0" applyNumberFormat="1" applyFont="1" applyBorder="1" applyAlignment="1">
      <alignment vertical="center"/>
    </xf>
    <xf numFmtId="0" fontId="41" fillId="0" borderId="83" xfId="0" applyFont="1" applyBorder="1" applyAlignment="1">
      <alignment horizontal="center" vertical="center"/>
    </xf>
    <xf numFmtId="0" fontId="41" fillId="0" borderId="71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23" fillId="0" borderId="38" xfId="0" applyFont="1" applyBorder="1" applyAlignment="1">
      <alignment horizontal="left" vertical="center" wrapText="1"/>
    </xf>
    <xf numFmtId="164" fontId="41" fillId="0" borderId="71" xfId="0" applyNumberFormat="1" applyFont="1" applyBorder="1" applyAlignment="1">
      <alignment horizontal="right" vertical="center"/>
    </xf>
    <xf numFmtId="3" fontId="41" fillId="0" borderId="71" xfId="0" applyNumberFormat="1" applyFont="1" applyBorder="1" applyAlignment="1">
      <alignment vertical="center"/>
    </xf>
    <xf numFmtId="170" fontId="41" fillId="0" borderId="71" xfId="0" applyNumberFormat="1" applyFont="1" applyBorder="1" applyAlignment="1">
      <alignment vertical="center"/>
    </xf>
    <xf numFmtId="0" fontId="41" fillId="0" borderId="84" xfId="0" applyFont="1" applyBorder="1" applyAlignment="1">
      <alignment horizontal="left" vertical="center" wrapText="1"/>
    </xf>
    <xf numFmtId="164" fontId="6" fillId="0" borderId="32" xfId="0" applyNumberFormat="1" applyFont="1" applyBorder="1" applyAlignment="1">
      <alignment horizontal="right" vertical="center"/>
    </xf>
    <xf numFmtId="0" fontId="41" fillId="0" borderId="24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164" fontId="41" fillId="0" borderId="0" xfId="0" applyNumberFormat="1" applyFont="1" applyBorder="1" applyAlignment="1">
      <alignment horizontal="right" vertical="center"/>
    </xf>
    <xf numFmtId="3" fontId="41" fillId="0" borderId="0" xfId="0" applyNumberFormat="1" applyFont="1" applyBorder="1" applyAlignment="1">
      <alignment vertical="center"/>
    </xf>
    <xf numFmtId="170" fontId="41" fillId="0" borderId="20" xfId="0" applyNumberFormat="1" applyFont="1" applyBorder="1" applyAlignment="1">
      <alignment vertical="center"/>
    </xf>
    <xf numFmtId="164" fontId="6" fillId="0" borderId="32" xfId="0" applyNumberFormat="1" applyFont="1" applyBorder="1" applyAlignment="1">
      <alignment horizontal="centerContinuous" vertical="center"/>
    </xf>
    <xf numFmtId="0" fontId="41" fillId="0" borderId="21" xfId="0" applyFont="1" applyBorder="1" applyAlignment="1">
      <alignment horizontal="left" vertical="center" wrapText="1"/>
    </xf>
    <xf numFmtId="164" fontId="41" fillId="0" borderId="21" xfId="0" applyNumberFormat="1" applyFont="1" applyBorder="1" applyAlignment="1">
      <alignment horizontal="centerContinuous" vertical="center"/>
    </xf>
    <xf numFmtId="3" fontId="41" fillId="0" borderId="21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0" fontId="41" fillId="0" borderId="21" xfId="0" applyFont="1" applyBorder="1" applyAlignment="1">
      <alignment horizontal="centerContinuous" vertical="center"/>
    </xf>
    <xf numFmtId="0" fontId="41" fillId="0" borderId="85" xfId="0" applyFont="1" applyBorder="1" applyAlignment="1">
      <alignment horizontal="center" vertical="center"/>
    </xf>
    <xf numFmtId="0" fontId="41" fillId="0" borderId="74" xfId="0" applyFont="1" applyBorder="1" applyAlignment="1">
      <alignment vertical="center"/>
    </xf>
    <xf numFmtId="0" fontId="13" fillId="0" borderId="74" xfId="0" applyFont="1" applyBorder="1" applyAlignment="1">
      <alignment horizontal="center" vertical="center" wrapText="1"/>
    </xf>
    <xf numFmtId="164" fontId="41" fillId="0" borderId="74" xfId="0" applyNumberFormat="1" applyFont="1" applyBorder="1" applyAlignment="1">
      <alignment vertical="center"/>
    </xf>
    <xf numFmtId="0" fontId="41" fillId="0" borderId="86" xfId="0" applyFont="1" applyBorder="1" applyAlignment="1">
      <alignment horizontal="center" vertical="center"/>
    </xf>
    <xf numFmtId="164" fontId="41" fillId="0" borderId="56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vertical="center" wrapText="1"/>
    </xf>
    <xf numFmtId="0" fontId="2" fillId="0" borderId="72" xfId="0" applyFont="1" applyBorder="1" applyAlignment="1">
      <alignment horizontal="center" vertical="center"/>
    </xf>
    <xf numFmtId="0" fontId="41" fillId="0" borderId="27" xfId="0" applyFont="1" applyBorder="1" applyAlignment="1">
      <alignment vertical="center"/>
    </xf>
    <xf numFmtId="0" fontId="41" fillId="0" borderId="53" xfId="0" applyFont="1" applyBorder="1" applyAlignment="1">
      <alignment horizontal="left" vertical="center"/>
    </xf>
    <xf numFmtId="0" fontId="41" fillId="0" borderId="82" xfId="0" applyFont="1" applyBorder="1" applyAlignment="1">
      <alignment vertical="center"/>
    </xf>
    <xf numFmtId="4" fontId="41" fillId="0" borderId="56" xfId="0" applyNumberFormat="1" applyFont="1" applyBorder="1" applyAlignment="1">
      <alignment vertical="center"/>
    </xf>
    <xf numFmtId="0" fontId="41" fillId="0" borderId="68" xfId="0" applyFont="1" applyBorder="1" applyAlignment="1">
      <alignment vertical="center"/>
    </xf>
    <xf numFmtId="164" fontId="41" fillId="0" borderId="68" xfId="0" applyNumberFormat="1" applyFont="1" applyBorder="1" applyAlignment="1">
      <alignment vertical="center"/>
    </xf>
    <xf numFmtId="164" fontId="41" fillId="0" borderId="46" xfId="0" applyNumberFormat="1" applyFont="1" applyBorder="1" applyAlignment="1">
      <alignment vertical="center"/>
    </xf>
    <xf numFmtId="4" fontId="41" fillId="0" borderId="68" xfId="0" applyNumberFormat="1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87" xfId="0" applyFont="1" applyBorder="1" applyAlignment="1">
      <alignment horizontal="left" vertical="center" wrapText="1"/>
    </xf>
    <xf numFmtId="0" fontId="6" fillId="0" borderId="48" xfId="0" applyFont="1" applyBorder="1" applyAlignment="1">
      <alignment vertical="center"/>
    </xf>
    <xf numFmtId="0" fontId="55" fillId="0" borderId="32" xfId="0" applyFont="1" applyBorder="1" applyAlignment="1">
      <alignment vertical="center"/>
    </xf>
    <xf numFmtId="0" fontId="55" fillId="0" borderId="70" xfId="0" applyFont="1" applyBorder="1" applyAlignment="1">
      <alignment horizontal="left" vertical="center" wrapText="1"/>
    </xf>
    <xf numFmtId="0" fontId="57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right" vertical="center"/>
    </xf>
    <xf numFmtId="0" fontId="8" fillId="0" borderId="90" xfId="0" applyFont="1" applyBorder="1" applyAlignment="1">
      <alignment horizontal="center" vertical="center" wrapText="1"/>
    </xf>
    <xf numFmtId="0" fontId="8" fillId="0" borderId="91" xfId="0" applyFont="1" applyBorder="1" applyAlignment="1">
      <alignment horizontal="right" vertical="center"/>
    </xf>
    <xf numFmtId="164" fontId="8" fillId="0" borderId="92" xfId="0" applyNumberFormat="1" applyFont="1" applyBorder="1" applyAlignment="1">
      <alignment vertical="center"/>
    </xf>
    <xf numFmtId="0" fontId="54" fillId="0" borderId="93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9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8" fillId="0" borderId="94" xfId="0" applyFont="1" applyBorder="1" applyAlignment="1">
      <alignment horizontal="center" vertical="center" wrapText="1"/>
    </xf>
    <xf numFmtId="0" fontId="8" fillId="0" borderId="95" xfId="0" applyFont="1" applyBorder="1" applyAlignment="1">
      <alignment horizontal="center" vertical="center" wrapText="1"/>
    </xf>
    <xf numFmtId="3" fontId="8" fillId="0" borderId="96" xfId="0" applyNumberFormat="1" applyFont="1" applyBorder="1" applyAlignment="1">
      <alignment horizontal="center" vertical="center" wrapText="1"/>
    </xf>
    <xf numFmtId="0" fontId="7" fillId="0" borderId="97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 wrapText="1"/>
    </xf>
    <xf numFmtId="3" fontId="7" fillId="0" borderId="98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 wrapText="1"/>
    </xf>
    <xf numFmtId="3" fontId="8" fillId="0" borderId="33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 wrapText="1"/>
    </xf>
    <xf numFmtId="3" fontId="6" fillId="0" borderId="33" xfId="0" applyNumberFormat="1" applyFont="1" applyBorder="1" applyAlignment="1">
      <alignment vertical="center"/>
    </xf>
    <xf numFmtId="0" fontId="59" fillId="0" borderId="0" xfId="0" applyFont="1" applyAlignment="1">
      <alignment/>
    </xf>
    <xf numFmtId="0" fontId="41" fillId="0" borderId="18" xfId="0" applyFont="1" applyBorder="1" applyAlignment="1">
      <alignment horizontal="center" vertical="center"/>
    </xf>
    <xf numFmtId="3" fontId="41" fillId="0" borderId="98" xfId="0" applyNumberFormat="1" applyFont="1" applyBorder="1" applyAlignment="1">
      <alignment vertical="center"/>
    </xf>
    <xf numFmtId="3" fontId="6" fillId="0" borderId="33" xfId="0" applyNumberFormat="1" applyFont="1" applyBorder="1" applyAlignment="1">
      <alignment vertical="center"/>
    </xf>
    <xf numFmtId="0" fontId="41" fillId="0" borderId="1" xfId="0" applyFont="1" applyBorder="1" applyAlignment="1">
      <alignment horizontal="center" vertical="center"/>
    </xf>
    <xf numFmtId="0" fontId="41" fillId="0" borderId="41" xfId="0" applyFont="1" applyBorder="1" applyAlignment="1">
      <alignment vertical="center" wrapText="1"/>
    </xf>
    <xf numFmtId="3" fontId="41" fillId="0" borderId="40" xfId="0" applyNumberFormat="1" applyFont="1" applyBorder="1" applyAlignment="1">
      <alignment vertical="center"/>
    </xf>
    <xf numFmtId="0" fontId="41" fillId="0" borderId="24" xfId="0" applyFont="1" applyBorder="1" applyAlignment="1">
      <alignment vertical="center" wrapText="1"/>
    </xf>
    <xf numFmtId="3" fontId="41" fillId="0" borderId="35" xfId="0" applyNumberFormat="1" applyFont="1" applyBorder="1" applyAlignment="1">
      <alignment vertical="center"/>
    </xf>
    <xf numFmtId="0" fontId="41" fillId="0" borderId="18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38" xfId="0" applyFont="1" applyBorder="1" applyAlignment="1">
      <alignment vertical="center" wrapText="1"/>
    </xf>
    <xf numFmtId="3" fontId="41" fillId="0" borderId="39" xfId="0" applyNumberFormat="1" applyFont="1" applyBorder="1" applyAlignment="1">
      <alignment vertical="center"/>
    </xf>
    <xf numFmtId="0" fontId="6" fillId="0" borderId="32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3" fontId="8" fillId="0" borderId="33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7" fillId="0" borderId="0" xfId="17" applyFont="1" applyAlignment="1">
      <alignment vertical="center"/>
      <protection/>
    </xf>
    <xf numFmtId="0" fontId="57" fillId="0" borderId="0" xfId="17" applyFont="1" applyAlignment="1">
      <alignment vertical="center" wrapText="1"/>
      <protection/>
    </xf>
    <xf numFmtId="0" fontId="2" fillId="0" borderId="0" xfId="17" applyFont="1" applyAlignment="1">
      <alignment horizontal="center" vertical="center"/>
      <protection/>
    </xf>
    <xf numFmtId="0" fontId="2" fillId="0" borderId="0" xfId="17" applyFont="1" applyAlignment="1">
      <alignment vertical="center"/>
      <protection/>
    </xf>
    <xf numFmtId="0" fontId="5" fillId="0" borderId="0" xfId="17" applyFont="1" applyAlignment="1">
      <alignment horizontal="centerContinuous" vertical="center" wrapText="1"/>
      <protection/>
    </xf>
    <xf numFmtId="0" fontId="49" fillId="0" borderId="0" xfId="17" applyFont="1" applyAlignment="1">
      <alignment horizontal="centerContinuous" vertical="center" wrapText="1"/>
      <protection/>
    </xf>
    <xf numFmtId="0" fontId="49" fillId="0" borderId="0" xfId="17" applyFont="1" applyAlignment="1">
      <alignment horizontal="centerContinuous" vertical="center"/>
      <protection/>
    </xf>
    <xf numFmtId="0" fontId="49" fillId="0" borderId="0" xfId="17" applyFont="1" applyAlignment="1">
      <alignment vertical="center"/>
      <protection/>
    </xf>
    <xf numFmtId="0" fontId="8" fillId="0" borderId="0" xfId="17" applyFont="1" applyAlignment="1">
      <alignment horizontal="centerContinuous" vertical="center"/>
      <protection/>
    </xf>
    <xf numFmtId="0" fontId="8" fillId="0" borderId="0" xfId="17" applyFont="1" applyAlignment="1">
      <alignment horizontal="centerContinuous" vertical="center" wrapText="1"/>
      <protection/>
    </xf>
    <xf numFmtId="0" fontId="2" fillId="0" borderId="0" xfId="17" applyFont="1" applyAlignment="1">
      <alignment horizontal="centerContinuous" vertical="center"/>
      <protection/>
    </xf>
    <xf numFmtId="0" fontId="8" fillId="0" borderId="0" xfId="17" applyFont="1" applyAlignment="1">
      <alignment vertical="center"/>
      <protection/>
    </xf>
    <xf numFmtId="0" fontId="9" fillId="0" borderId="0" xfId="17" applyFont="1" applyAlignment="1">
      <alignment vertical="center"/>
      <protection/>
    </xf>
    <xf numFmtId="0" fontId="13" fillId="0" borderId="94" xfId="17" applyFont="1" applyBorder="1" applyAlignment="1">
      <alignment horizontal="center" vertical="center" wrapText="1"/>
      <protection/>
    </xf>
    <xf numFmtId="0" fontId="5" fillId="0" borderId="100" xfId="17" applyFont="1" applyBorder="1" applyAlignment="1">
      <alignment horizontal="center" vertical="center" wrapText="1"/>
      <protection/>
    </xf>
    <xf numFmtId="0" fontId="8" fillId="0" borderId="95" xfId="17" applyFont="1" applyBorder="1" applyAlignment="1">
      <alignment horizontal="center" vertical="center" wrapText="1"/>
      <protection/>
    </xf>
    <xf numFmtId="0" fontId="8" fillId="0" borderId="94" xfId="17" applyFont="1" applyBorder="1" applyAlignment="1">
      <alignment horizontal="center" vertical="center" wrapText="1"/>
      <protection/>
    </xf>
    <xf numFmtId="0" fontId="8" fillId="0" borderId="101" xfId="17" applyFont="1" applyBorder="1" applyAlignment="1">
      <alignment horizontal="center" vertical="center" wrapText="1"/>
      <protection/>
    </xf>
    <xf numFmtId="0" fontId="7" fillId="0" borderId="18" xfId="17" applyFont="1" applyBorder="1" applyAlignment="1">
      <alignment horizontal="center" vertical="center" wrapText="1"/>
      <protection/>
    </xf>
    <xf numFmtId="0" fontId="7" fillId="0" borderId="19" xfId="17" applyFont="1" applyBorder="1" applyAlignment="1">
      <alignment horizontal="center" vertical="center" wrapText="1"/>
      <protection/>
    </xf>
    <xf numFmtId="0" fontId="7" fillId="0" borderId="0" xfId="17" applyFont="1" applyBorder="1" applyAlignment="1">
      <alignment horizontal="center" vertical="center" wrapText="1"/>
      <protection/>
    </xf>
    <xf numFmtId="0" fontId="7" fillId="0" borderId="18" xfId="17" applyFont="1" applyBorder="1" applyAlignment="1">
      <alignment horizontal="center" vertical="center" wrapText="1"/>
      <protection/>
    </xf>
    <xf numFmtId="0" fontId="7" fillId="0" borderId="23" xfId="17" applyFont="1" applyBorder="1" applyAlignment="1">
      <alignment horizontal="center" vertical="center" wrapText="1"/>
      <protection/>
    </xf>
    <xf numFmtId="0" fontId="7" fillId="0" borderId="0" xfId="17" applyFont="1" applyAlignment="1">
      <alignment vertical="center"/>
      <protection/>
    </xf>
    <xf numFmtId="0" fontId="6" fillId="0" borderId="7" xfId="17" applyFont="1" applyBorder="1" applyAlignment="1">
      <alignment horizontal="center" vertical="center"/>
      <protection/>
    </xf>
    <xf numFmtId="0" fontId="6" fillId="0" borderId="8" xfId="17" applyFont="1" applyBorder="1" applyAlignment="1">
      <alignment horizontal="left" vertical="center" wrapText="1"/>
      <protection/>
    </xf>
    <xf numFmtId="3" fontId="6" fillId="0" borderId="32" xfId="17" applyNumberFormat="1" applyFont="1" applyBorder="1" applyAlignment="1">
      <alignment horizontal="right" vertical="center"/>
      <protection/>
    </xf>
    <xf numFmtId="3" fontId="6" fillId="0" borderId="7" xfId="17" applyNumberFormat="1" applyFont="1" applyBorder="1" applyAlignment="1">
      <alignment horizontal="right" vertical="center"/>
      <protection/>
    </xf>
    <xf numFmtId="3" fontId="6" fillId="0" borderId="12" xfId="17" applyNumberFormat="1" applyFont="1" applyBorder="1" applyAlignment="1">
      <alignment horizontal="right" vertical="center"/>
      <protection/>
    </xf>
    <xf numFmtId="0" fontId="6" fillId="0" borderId="0" xfId="17" applyFont="1" applyAlignment="1">
      <alignment vertical="center"/>
      <protection/>
    </xf>
    <xf numFmtId="0" fontId="2" fillId="0" borderId="18" xfId="17" applyFont="1" applyBorder="1" applyAlignment="1">
      <alignment horizontal="center" vertical="center"/>
      <protection/>
    </xf>
    <xf numFmtId="0" fontId="2" fillId="0" borderId="19" xfId="17" applyFont="1" applyBorder="1" applyAlignment="1">
      <alignment horizontal="left" vertical="center" wrapText="1"/>
      <protection/>
    </xf>
    <xf numFmtId="3" fontId="2" fillId="0" borderId="0" xfId="17" applyNumberFormat="1" applyFont="1" applyBorder="1" applyAlignment="1">
      <alignment horizontal="right" vertical="center"/>
      <protection/>
    </xf>
    <xf numFmtId="3" fontId="2" fillId="0" borderId="18" xfId="17" applyNumberFormat="1" applyFont="1" applyBorder="1" applyAlignment="1">
      <alignment horizontal="right" vertical="center"/>
      <protection/>
    </xf>
    <xf numFmtId="3" fontId="7" fillId="0" borderId="23" xfId="17" applyNumberFormat="1" applyFont="1" applyBorder="1" applyAlignment="1">
      <alignment horizontal="right" vertical="center"/>
      <protection/>
    </xf>
    <xf numFmtId="3" fontId="2" fillId="0" borderId="23" xfId="17" applyNumberFormat="1" applyFont="1" applyBorder="1" applyAlignment="1">
      <alignment horizontal="right" vertical="center"/>
      <protection/>
    </xf>
    <xf numFmtId="3" fontId="7" fillId="0" borderId="23" xfId="17" applyNumberFormat="1" applyFont="1" applyBorder="1" applyAlignment="1">
      <alignment horizontal="center" vertical="center"/>
      <protection/>
    </xf>
    <xf numFmtId="0" fontId="6" fillId="0" borderId="8" xfId="17" applyFont="1" applyBorder="1" applyAlignment="1">
      <alignment vertical="center" wrapText="1"/>
      <protection/>
    </xf>
    <xf numFmtId="3" fontId="6" fillId="0" borderId="7" xfId="17" applyNumberFormat="1" applyFont="1" applyBorder="1" applyAlignment="1">
      <alignment vertical="center"/>
      <protection/>
    </xf>
    <xf numFmtId="3" fontId="6" fillId="0" borderId="12" xfId="17" applyNumberFormat="1" applyFont="1" applyBorder="1" applyAlignment="1">
      <alignment vertical="center"/>
      <protection/>
    </xf>
    <xf numFmtId="171" fontId="6" fillId="0" borderId="0" xfId="17" applyNumberFormat="1" applyFont="1" applyBorder="1" applyAlignment="1">
      <alignment vertical="center"/>
      <protection/>
    </xf>
    <xf numFmtId="0" fontId="6" fillId="0" borderId="0" xfId="17" applyFont="1" applyBorder="1" applyAlignment="1">
      <alignment vertical="center"/>
      <protection/>
    </xf>
    <xf numFmtId="0" fontId="2" fillId="0" borderId="97" xfId="17" applyFont="1" applyBorder="1" applyAlignment="1">
      <alignment horizontal="center" vertical="center"/>
      <protection/>
    </xf>
    <xf numFmtId="0" fontId="2" fillId="0" borderId="102" xfId="17" applyFont="1" applyBorder="1" applyAlignment="1">
      <alignment vertical="center" wrapText="1"/>
      <protection/>
    </xf>
    <xf numFmtId="3" fontId="2" fillId="0" borderId="67" xfId="17" applyNumberFormat="1" applyFont="1" applyBorder="1" applyAlignment="1">
      <alignment vertical="center"/>
      <protection/>
    </xf>
    <xf numFmtId="3" fontId="2" fillId="0" borderId="97" xfId="17" applyNumberFormat="1" applyFont="1" applyBorder="1" applyAlignment="1">
      <alignment vertical="center"/>
      <protection/>
    </xf>
    <xf numFmtId="3" fontId="2" fillId="0" borderId="103" xfId="17" applyNumberFormat="1" applyFont="1" applyBorder="1" applyAlignment="1">
      <alignment vertical="center"/>
      <protection/>
    </xf>
    <xf numFmtId="171" fontId="2" fillId="0" borderId="0" xfId="17" applyNumberFormat="1" applyFont="1" applyBorder="1" applyAlignment="1">
      <alignment vertical="center"/>
      <protection/>
    </xf>
    <xf numFmtId="0" fontId="2" fillId="0" borderId="0" xfId="17" applyFont="1" applyBorder="1" applyAlignment="1">
      <alignment vertical="center"/>
      <protection/>
    </xf>
    <xf numFmtId="3" fontId="6" fillId="0" borderId="32" xfId="17" applyNumberFormat="1" applyFont="1" applyBorder="1" applyAlignment="1">
      <alignment vertical="center"/>
      <protection/>
    </xf>
    <xf numFmtId="0" fontId="2" fillId="0" borderId="19" xfId="17" applyFont="1" applyBorder="1" applyAlignment="1">
      <alignment vertical="center" wrapText="1"/>
      <protection/>
    </xf>
    <xf numFmtId="3" fontId="2" fillId="0" borderId="0" xfId="17" applyNumberFormat="1" applyFont="1" applyBorder="1" applyAlignment="1">
      <alignment vertical="center"/>
      <protection/>
    </xf>
    <xf numFmtId="3" fontId="2" fillId="0" borderId="18" xfId="17" applyNumberFormat="1" applyFont="1" applyBorder="1" applyAlignment="1">
      <alignment vertical="center"/>
      <protection/>
    </xf>
    <xf numFmtId="3" fontId="2" fillId="0" borderId="23" xfId="17" applyNumberFormat="1" applyFont="1" applyBorder="1" applyAlignment="1">
      <alignment vertical="center"/>
      <protection/>
    </xf>
    <xf numFmtId="0" fontId="2" fillId="0" borderId="13" xfId="17" applyFont="1" applyBorder="1" applyAlignment="1">
      <alignment horizontal="center" vertical="center"/>
      <protection/>
    </xf>
    <xf numFmtId="0" fontId="2" fillId="0" borderId="14" xfId="17" applyFont="1" applyBorder="1" applyAlignment="1">
      <alignment vertical="center" wrapText="1"/>
      <protection/>
    </xf>
    <xf numFmtId="3" fontId="2" fillId="0" borderId="38" xfId="17" applyNumberFormat="1" applyFont="1" applyBorder="1" applyAlignment="1">
      <alignment vertical="center"/>
      <protection/>
    </xf>
    <xf numFmtId="3" fontId="2" fillId="0" borderId="13" xfId="17" applyNumberFormat="1" applyFont="1" applyBorder="1" applyAlignment="1">
      <alignment vertical="center"/>
      <protection/>
    </xf>
    <xf numFmtId="3" fontId="2" fillId="0" borderId="17" xfId="17" applyNumberFormat="1" applyFont="1" applyBorder="1" applyAlignment="1">
      <alignment vertical="center"/>
      <protection/>
    </xf>
    <xf numFmtId="0" fontId="2" fillId="0" borderId="104" xfId="17" applyFont="1" applyBorder="1" applyAlignment="1">
      <alignment horizontal="center" vertical="center"/>
      <protection/>
    </xf>
    <xf numFmtId="0" fontId="2" fillId="0" borderId="105" xfId="17" applyFont="1" applyBorder="1" applyAlignment="1">
      <alignment vertical="center" wrapText="1"/>
      <protection/>
    </xf>
    <xf numFmtId="3" fontId="2" fillId="0" borderId="106" xfId="17" applyNumberFormat="1" applyFont="1" applyBorder="1" applyAlignment="1">
      <alignment vertical="center"/>
      <protection/>
    </xf>
    <xf numFmtId="3" fontId="2" fillId="0" borderId="104" xfId="17" applyNumberFormat="1" applyFont="1" applyBorder="1" applyAlignment="1">
      <alignment vertical="center"/>
      <protection/>
    </xf>
    <xf numFmtId="3" fontId="2" fillId="0" borderId="101" xfId="17" applyNumberFormat="1" applyFont="1" applyBorder="1" applyAlignment="1">
      <alignment vertical="center"/>
      <protection/>
    </xf>
    <xf numFmtId="3" fontId="6" fillId="0" borderId="33" xfId="17" applyNumberFormat="1" applyFont="1" applyBorder="1" applyAlignment="1">
      <alignment vertical="center"/>
      <protection/>
    </xf>
    <xf numFmtId="3" fontId="6" fillId="0" borderId="99" xfId="17" applyNumberFormat="1" applyFont="1" applyBorder="1" applyAlignment="1">
      <alignment vertical="center"/>
      <protection/>
    </xf>
    <xf numFmtId="3" fontId="6" fillId="0" borderId="8" xfId="17" applyNumberFormat="1" applyFont="1" applyBorder="1" applyAlignment="1">
      <alignment vertical="center"/>
      <protection/>
    </xf>
    <xf numFmtId="3" fontId="2" fillId="0" borderId="67" xfId="17" applyNumberFormat="1" applyFont="1" applyBorder="1" applyAlignment="1">
      <alignment vertical="center"/>
      <protection/>
    </xf>
    <xf numFmtId="3" fontId="2" fillId="0" borderId="107" xfId="17" applyNumberFormat="1" applyFont="1" applyBorder="1" applyAlignment="1">
      <alignment vertical="center"/>
      <protection/>
    </xf>
    <xf numFmtId="3" fontId="2" fillId="0" borderId="19" xfId="17" applyNumberFormat="1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3" fontId="2" fillId="0" borderId="0" xfId="17" applyNumberFormat="1" applyFont="1" applyBorder="1" applyAlignment="1">
      <alignment vertical="center"/>
      <protection/>
    </xf>
    <xf numFmtId="3" fontId="2" fillId="0" borderId="18" xfId="17" applyNumberFormat="1" applyFont="1" applyBorder="1" applyAlignment="1">
      <alignment vertical="center"/>
      <protection/>
    </xf>
    <xf numFmtId="3" fontId="2" fillId="0" borderId="23" xfId="17" applyNumberFormat="1" applyFont="1" applyBorder="1" applyAlignment="1">
      <alignment vertical="center"/>
      <protection/>
    </xf>
    <xf numFmtId="0" fontId="2" fillId="0" borderId="25" xfId="17" applyFont="1" applyBorder="1" applyAlignment="1">
      <alignment horizontal="center" vertical="center"/>
      <protection/>
    </xf>
    <xf numFmtId="0" fontId="2" fillId="0" borderId="26" xfId="17" applyFont="1" applyBorder="1" applyAlignment="1">
      <alignment vertical="center" wrapText="1"/>
      <protection/>
    </xf>
    <xf numFmtId="3" fontId="2" fillId="0" borderId="36" xfId="17" applyNumberFormat="1" applyFont="1" applyBorder="1" applyAlignment="1">
      <alignment vertical="center"/>
      <protection/>
    </xf>
    <xf numFmtId="3" fontId="2" fillId="0" borderId="25" xfId="17" applyNumberFormat="1" applyFont="1" applyBorder="1" applyAlignment="1">
      <alignment vertical="center"/>
      <protection/>
    </xf>
    <xf numFmtId="3" fontId="2" fillId="0" borderId="29" xfId="17" applyNumberFormat="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2" fillId="0" borderId="97" xfId="17" applyFont="1" applyBorder="1" applyAlignment="1">
      <alignment horizontal="center" vertical="center"/>
      <protection/>
    </xf>
    <xf numFmtId="0" fontId="2" fillId="0" borderId="102" xfId="17" applyFont="1" applyBorder="1" applyAlignment="1">
      <alignment vertical="center" wrapText="1"/>
      <protection/>
    </xf>
    <xf numFmtId="0" fontId="2" fillId="0" borderId="0" xfId="17" applyFont="1" applyBorder="1" applyAlignment="1">
      <alignment vertical="center"/>
      <protection/>
    </xf>
    <xf numFmtId="3" fontId="2" fillId="0" borderId="38" xfId="17" applyNumberFormat="1" applyFont="1" applyBorder="1" applyAlignment="1">
      <alignment vertical="center"/>
      <protection/>
    </xf>
    <xf numFmtId="3" fontId="2" fillId="0" borderId="13" xfId="17" applyNumberFormat="1" applyFont="1" applyBorder="1" applyAlignment="1">
      <alignment vertical="center"/>
      <protection/>
    </xf>
    <xf numFmtId="3" fontId="2" fillId="0" borderId="17" xfId="17" applyNumberFormat="1" applyFont="1" applyBorder="1" applyAlignment="1">
      <alignment vertical="center"/>
      <protection/>
    </xf>
    <xf numFmtId="0" fontId="2" fillId="0" borderId="18" xfId="17" applyFont="1" applyBorder="1" applyAlignment="1">
      <alignment horizontal="center" vertical="center"/>
      <protection/>
    </xf>
    <xf numFmtId="0" fontId="2" fillId="0" borderId="19" xfId="17" applyFont="1" applyBorder="1" applyAlignment="1">
      <alignment vertical="center" wrapText="1"/>
      <protection/>
    </xf>
    <xf numFmtId="0" fontId="2" fillId="0" borderId="25" xfId="17" applyFont="1" applyBorder="1" applyAlignment="1">
      <alignment horizontal="center" vertical="center"/>
      <protection/>
    </xf>
    <xf numFmtId="0" fontId="2" fillId="0" borderId="26" xfId="17" applyFont="1" applyBorder="1" applyAlignment="1">
      <alignment vertical="center" wrapText="1"/>
      <protection/>
    </xf>
    <xf numFmtId="3" fontId="2" fillId="0" borderId="36" xfId="17" applyNumberFormat="1" applyFont="1" applyBorder="1" applyAlignment="1">
      <alignment vertical="center"/>
      <protection/>
    </xf>
    <xf numFmtId="3" fontId="2" fillId="0" borderId="25" xfId="17" applyNumberFormat="1" applyFont="1" applyBorder="1" applyAlignment="1">
      <alignment vertical="center"/>
      <protection/>
    </xf>
    <xf numFmtId="3" fontId="2" fillId="0" borderId="29" xfId="17" applyNumberFormat="1" applyFont="1" applyBorder="1" applyAlignment="1">
      <alignment vertical="center"/>
      <protection/>
    </xf>
    <xf numFmtId="0" fontId="9" fillId="0" borderId="0" xfId="17" applyFont="1" applyBorder="1" applyAlignment="1">
      <alignment vertical="center"/>
      <protection/>
    </xf>
    <xf numFmtId="0" fontId="2" fillId="0" borderId="104" xfId="17" applyFont="1" applyBorder="1" applyAlignment="1">
      <alignment horizontal="center" vertical="center"/>
      <protection/>
    </xf>
    <xf numFmtId="0" fontId="2" fillId="0" borderId="105" xfId="17" applyFont="1" applyBorder="1" applyAlignment="1">
      <alignment vertical="center" wrapText="1"/>
      <protection/>
    </xf>
    <xf numFmtId="3" fontId="2" fillId="0" borderId="106" xfId="17" applyNumberFormat="1" applyFont="1" applyBorder="1" applyAlignment="1">
      <alignment vertical="center"/>
      <protection/>
    </xf>
    <xf numFmtId="3" fontId="2" fillId="0" borderId="104" xfId="17" applyNumberFormat="1" applyFont="1" applyBorder="1" applyAlignment="1">
      <alignment vertical="center"/>
      <protection/>
    </xf>
    <xf numFmtId="3" fontId="2" fillId="0" borderId="108" xfId="17" applyNumberFormat="1" applyFont="1" applyBorder="1" applyAlignment="1">
      <alignment vertical="center"/>
      <protection/>
    </xf>
    <xf numFmtId="0" fontId="9" fillId="0" borderId="0" xfId="17" applyFont="1" applyBorder="1" applyAlignment="1">
      <alignment vertical="center"/>
      <protection/>
    </xf>
    <xf numFmtId="0" fontId="9" fillId="0" borderId="0" xfId="17" applyFont="1" applyAlignment="1">
      <alignment vertical="center"/>
      <protection/>
    </xf>
    <xf numFmtId="3" fontId="2" fillId="0" borderId="36" xfId="17" applyNumberFormat="1" applyFont="1" applyBorder="1" applyAlignment="1">
      <alignment vertical="center"/>
      <protection/>
    </xf>
    <xf numFmtId="3" fontId="2" fillId="0" borderId="25" xfId="17" applyNumberFormat="1" applyFont="1" applyBorder="1" applyAlignment="1">
      <alignment vertical="center"/>
      <protection/>
    </xf>
    <xf numFmtId="3" fontId="2" fillId="0" borderId="29" xfId="17" applyNumberFormat="1" applyFont="1" applyBorder="1" applyAlignment="1">
      <alignment vertical="center"/>
      <protection/>
    </xf>
    <xf numFmtId="0" fontId="8" fillId="0" borderId="99" xfId="17" applyFont="1" applyBorder="1" applyAlignment="1">
      <alignment horizontal="center" vertical="center"/>
      <protection/>
    </xf>
    <xf numFmtId="0" fontId="8" fillId="0" borderId="12" xfId="17" applyFont="1" applyBorder="1" applyAlignment="1">
      <alignment vertical="center" wrapText="1"/>
      <protection/>
    </xf>
    <xf numFmtId="3" fontId="8" fillId="0" borderId="32" xfId="17" applyNumberFormat="1" applyFont="1" applyBorder="1" applyAlignment="1">
      <alignment vertical="center"/>
      <protection/>
    </xf>
    <xf numFmtId="3" fontId="8" fillId="0" borderId="7" xfId="17" applyNumberFormat="1" applyFont="1" applyBorder="1" applyAlignment="1">
      <alignment vertical="center"/>
      <protection/>
    </xf>
    <xf numFmtId="3" fontId="8" fillId="0" borderId="8" xfId="17" applyNumberFormat="1" applyFont="1" applyBorder="1" applyAlignment="1">
      <alignment vertical="center"/>
      <protection/>
    </xf>
    <xf numFmtId="0" fontId="8" fillId="0" borderId="0" xfId="17" applyFont="1" applyBorder="1" applyAlignment="1">
      <alignment vertical="center"/>
      <protection/>
    </xf>
    <xf numFmtId="0" fontId="8" fillId="0" borderId="0" xfId="17" applyFont="1" applyAlignment="1">
      <alignment vertical="center"/>
      <protection/>
    </xf>
    <xf numFmtId="0" fontId="49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9" fillId="0" borderId="109" xfId="0" applyFont="1" applyBorder="1" applyAlignment="1">
      <alignment horizontal="center" vertical="center" wrapText="1"/>
    </xf>
    <xf numFmtId="0" fontId="7" fillId="0" borderId="11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66" xfId="0" applyFont="1" applyBorder="1" applyAlignment="1">
      <alignment horizontal="centerContinuous" vertical="center"/>
    </xf>
    <xf numFmtId="0" fontId="6" fillId="0" borderId="67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Continuous"/>
    </xf>
    <xf numFmtId="164" fontId="6" fillId="0" borderId="68" xfId="0" applyNumberFormat="1" applyFont="1" applyBorder="1" applyAlignment="1">
      <alignment vertical="center"/>
    </xf>
    <xf numFmtId="0" fontId="55" fillId="0" borderId="69" xfId="0" applyFont="1" applyBorder="1" applyAlignment="1">
      <alignment horizontal="center" vertical="center"/>
    </xf>
    <xf numFmtId="164" fontId="41" fillId="0" borderId="71" xfId="0" applyNumberFormat="1" applyFont="1" applyBorder="1" applyAlignment="1">
      <alignment/>
    </xf>
    <xf numFmtId="164" fontId="41" fillId="0" borderId="30" xfId="0" applyNumberFormat="1" applyFont="1" applyBorder="1" applyAlignment="1">
      <alignment vertical="center"/>
    </xf>
    <xf numFmtId="164" fontId="41" fillId="0" borderId="110" xfId="0" applyNumberFormat="1" applyFont="1" applyBorder="1" applyAlignment="1">
      <alignment vertical="center"/>
    </xf>
    <xf numFmtId="0" fontId="41" fillId="0" borderId="51" xfId="0" applyFont="1" applyBorder="1" applyAlignment="1">
      <alignment vertical="center"/>
    </xf>
    <xf numFmtId="0" fontId="3" fillId="0" borderId="49" xfId="0" applyFont="1" applyBorder="1" applyAlignment="1">
      <alignment horizontal="left" vertical="center" wrapText="1"/>
    </xf>
    <xf numFmtId="164" fontId="41" fillId="0" borderId="110" xfId="0" applyNumberFormat="1" applyFont="1" applyBorder="1" applyAlignment="1">
      <alignment vertical="center"/>
    </xf>
    <xf numFmtId="0" fontId="41" fillId="0" borderId="51" xfId="0" applyFont="1" applyBorder="1" applyAlignment="1">
      <alignment vertical="center" wrapText="1"/>
    </xf>
    <xf numFmtId="0" fontId="61" fillId="0" borderId="49" xfId="0" applyFont="1" applyBorder="1" applyAlignment="1">
      <alignment horizontal="center" vertical="center"/>
    </xf>
    <xf numFmtId="0" fontId="41" fillId="0" borderId="74" xfId="0" applyFont="1" applyBorder="1" applyAlignment="1">
      <alignment horizontal="left" vertical="center"/>
    </xf>
    <xf numFmtId="0" fontId="41" fillId="0" borderId="74" xfId="0" applyFont="1" applyBorder="1" applyAlignment="1">
      <alignment horizontal="centerContinuous" vertical="center"/>
    </xf>
    <xf numFmtId="0" fontId="23" fillId="0" borderId="0" xfId="0" applyFont="1" applyBorder="1" applyAlignment="1">
      <alignment horizontal="left" vertical="center" wrapText="1"/>
    </xf>
    <xf numFmtId="3" fontId="41" fillId="0" borderId="74" xfId="0" applyNumberFormat="1" applyFont="1" applyBorder="1" applyAlignment="1">
      <alignment vertical="center"/>
    </xf>
    <xf numFmtId="170" fontId="41" fillId="0" borderId="74" xfId="0" applyNumberFormat="1" applyFont="1" applyBorder="1" applyAlignment="1">
      <alignment vertical="center"/>
    </xf>
    <xf numFmtId="170" fontId="41" fillId="0" borderId="73" xfId="0" applyNumberFormat="1" applyFont="1" applyBorder="1" applyAlignment="1">
      <alignment vertical="center"/>
    </xf>
    <xf numFmtId="170" fontId="41" fillId="0" borderId="30" xfId="0" applyNumberFormat="1" applyFont="1" applyBorder="1" applyAlignment="1">
      <alignment vertical="center"/>
    </xf>
    <xf numFmtId="0" fontId="41" fillId="0" borderId="21" xfId="0" applyFont="1" applyBorder="1" applyAlignment="1">
      <alignment horizontal="left" vertical="center"/>
    </xf>
    <xf numFmtId="164" fontId="6" fillId="0" borderId="11" xfId="0" applyNumberFormat="1" applyFont="1" applyBorder="1" applyAlignment="1">
      <alignment vertical="center"/>
    </xf>
    <xf numFmtId="0" fontId="5" fillId="0" borderId="4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1" fillId="0" borderId="49" xfId="0" applyFont="1" applyBorder="1" applyAlignment="1">
      <alignment horizontal="left" vertical="center" wrapText="1"/>
    </xf>
    <xf numFmtId="0" fontId="41" fillId="0" borderId="74" xfId="0" applyFont="1" applyBorder="1" applyAlignment="1">
      <alignment horizontal="left" vertical="center" wrapText="1"/>
    </xf>
    <xf numFmtId="0" fontId="41" fillId="0" borderId="75" xfId="0" applyFont="1" applyBorder="1" applyAlignment="1">
      <alignment horizontal="center" vertical="center" wrapText="1"/>
    </xf>
    <xf numFmtId="164" fontId="41" fillId="0" borderId="30" xfId="0" applyNumberFormat="1" applyFont="1" applyBorder="1" applyAlignment="1">
      <alignment vertical="center"/>
    </xf>
    <xf numFmtId="0" fontId="41" fillId="0" borderId="57" xfId="0" applyFont="1" applyBorder="1" applyAlignment="1">
      <alignment horizontal="center" vertical="center"/>
    </xf>
    <xf numFmtId="164" fontId="41" fillId="0" borderId="111" xfId="0" applyNumberFormat="1" applyFont="1" applyBorder="1" applyAlignment="1">
      <alignment vertical="center"/>
    </xf>
    <xf numFmtId="164" fontId="41" fillId="0" borderId="66" xfId="0" applyNumberFormat="1" applyFont="1" applyBorder="1" applyAlignment="1">
      <alignment vertical="center"/>
    </xf>
    <xf numFmtId="0" fontId="41" fillId="0" borderId="30" xfId="0" applyFont="1" applyBorder="1" applyAlignment="1">
      <alignment vertical="center"/>
    </xf>
    <xf numFmtId="0" fontId="41" fillId="0" borderId="106" xfId="0" applyFont="1" applyBorder="1" applyAlignment="1">
      <alignment vertical="center"/>
    </xf>
    <xf numFmtId="164" fontId="41" fillId="0" borderId="36" xfId="0" applyNumberFormat="1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164" fontId="6" fillId="0" borderId="15" xfId="0" applyNumberFormat="1" applyFont="1" applyBorder="1" applyAlignment="1">
      <alignment vertical="center"/>
    </xf>
    <xf numFmtId="0" fontId="5" fillId="0" borderId="63" xfId="0" applyFont="1" applyBorder="1" applyAlignment="1">
      <alignment horizontal="left" vertical="center" wrapText="1"/>
    </xf>
    <xf numFmtId="0" fontId="41" fillId="0" borderId="72" xfId="0" applyFont="1" applyBorder="1" applyAlignment="1">
      <alignment horizontal="center" vertical="center" wrapText="1"/>
    </xf>
    <xf numFmtId="0" fontId="41" fillId="0" borderId="74" xfId="0" applyFont="1" applyBorder="1" applyAlignment="1">
      <alignment vertical="center" wrapText="1"/>
    </xf>
    <xf numFmtId="0" fontId="13" fillId="0" borderId="75" xfId="0" applyFont="1" applyBorder="1" applyAlignment="1">
      <alignment horizontal="center" vertical="center" wrapText="1"/>
    </xf>
    <xf numFmtId="164" fontId="41" fillId="0" borderId="74" xfId="0" applyNumberFormat="1" applyFont="1" applyBorder="1" applyAlignment="1">
      <alignment vertical="center" wrapText="1"/>
    </xf>
    <xf numFmtId="164" fontId="41" fillId="0" borderId="73" xfId="0" applyNumberFormat="1" applyFont="1" applyBorder="1" applyAlignment="1">
      <alignment vertical="center" wrapText="1"/>
    </xf>
    <xf numFmtId="0" fontId="49" fillId="0" borderId="45" xfId="0" applyFont="1" applyBorder="1" applyAlignment="1">
      <alignment horizontal="center" vertical="center"/>
    </xf>
    <xf numFmtId="0" fontId="49" fillId="0" borderId="66" xfId="0" applyFont="1" applyBorder="1" applyAlignment="1">
      <alignment horizontal="center" vertical="center"/>
    </xf>
    <xf numFmtId="0" fontId="49" fillId="0" borderId="67" xfId="0" applyFont="1" applyBorder="1" applyAlignment="1">
      <alignment horizontal="center" vertical="center" wrapText="1"/>
    </xf>
    <xf numFmtId="0" fontId="62" fillId="0" borderId="67" xfId="0" applyFont="1" applyBorder="1" applyAlignment="1">
      <alignment horizontal="centerContinuous" vertical="center"/>
    </xf>
    <xf numFmtId="3" fontId="49" fillId="0" borderId="67" xfId="0" applyNumberFormat="1" applyFont="1" applyBorder="1" applyAlignment="1">
      <alignment vertical="center"/>
    </xf>
    <xf numFmtId="164" fontId="49" fillId="0" borderId="68" xfId="0" applyNumberFormat="1" applyFont="1" applyBorder="1" applyAlignment="1">
      <alignment vertical="center"/>
    </xf>
    <xf numFmtId="164" fontId="49" fillId="0" borderId="56" xfId="0" applyNumberFormat="1" applyFont="1" applyBorder="1" applyAlignment="1">
      <alignment vertical="center"/>
    </xf>
    <xf numFmtId="0" fontId="41" fillId="0" borderId="69" xfId="0" applyFont="1" applyBorder="1" applyAlignment="1">
      <alignment horizontal="center" vertical="center"/>
    </xf>
    <xf numFmtId="0" fontId="41" fillId="0" borderId="70" xfId="0" applyFont="1" applyBorder="1" applyAlignment="1">
      <alignment horizontal="center" vertical="center"/>
    </xf>
    <xf numFmtId="0" fontId="41" fillId="0" borderId="27" xfId="0" applyFont="1" applyBorder="1" applyAlignment="1">
      <alignment vertical="center"/>
    </xf>
    <xf numFmtId="0" fontId="41" fillId="0" borderId="46" xfId="0" applyFont="1" applyBorder="1" applyAlignment="1">
      <alignment/>
    </xf>
    <xf numFmtId="164" fontId="41" fillId="0" borderId="46" xfId="0" applyNumberFormat="1" applyFont="1" applyBorder="1" applyAlignment="1">
      <alignment/>
    </xf>
    <xf numFmtId="0" fontId="41" fillId="0" borderId="110" xfId="0" applyFont="1" applyBorder="1" applyAlignment="1">
      <alignment vertical="center"/>
    </xf>
    <xf numFmtId="0" fontId="41" fillId="0" borderId="66" xfId="0" applyFont="1" applyBorder="1" applyAlignment="1">
      <alignment vertical="center"/>
    </xf>
    <xf numFmtId="0" fontId="41" fillId="0" borderId="80" xfId="0" applyFont="1" applyBorder="1" applyAlignment="1">
      <alignment vertical="center"/>
    </xf>
    <xf numFmtId="164" fontId="41" fillId="0" borderId="80" xfId="0" applyNumberFormat="1" applyFont="1" applyBorder="1" applyAlignment="1">
      <alignment vertical="center"/>
    </xf>
    <xf numFmtId="164" fontId="41" fillId="0" borderId="112" xfId="0" applyNumberFormat="1" applyFont="1" applyBorder="1" applyAlignment="1">
      <alignment vertical="center"/>
    </xf>
    <xf numFmtId="0" fontId="41" fillId="0" borderId="113" xfId="0" applyFont="1" applyBorder="1" applyAlignment="1">
      <alignment horizontal="left" vertical="center" wrapText="1"/>
    </xf>
    <xf numFmtId="164" fontId="41" fillId="0" borderId="24" xfId="0" applyNumberFormat="1" applyFont="1" applyBorder="1" applyAlignment="1">
      <alignment vertical="center"/>
    </xf>
    <xf numFmtId="170" fontId="41" fillId="0" borderId="21" xfId="0" applyNumberFormat="1" applyFont="1" applyBorder="1" applyAlignment="1">
      <alignment vertical="center"/>
    </xf>
    <xf numFmtId="170" fontId="41" fillId="0" borderId="24" xfId="0" applyNumberFormat="1" applyFont="1" applyBorder="1" applyAlignment="1">
      <alignment vertical="center"/>
    </xf>
    <xf numFmtId="164" fontId="41" fillId="0" borderId="21" xfId="0" applyNumberFormat="1" applyFont="1" applyBorder="1" applyAlignment="1">
      <alignment horizontal="right" vertical="center"/>
    </xf>
    <xf numFmtId="170" fontId="41" fillId="0" borderId="9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164" fontId="41" fillId="0" borderId="73" xfId="0" applyNumberFormat="1" applyFont="1" applyBorder="1" applyAlignment="1">
      <alignment vertical="center"/>
    </xf>
    <xf numFmtId="0" fontId="41" fillId="0" borderId="65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Continuous" vertical="center"/>
    </xf>
    <xf numFmtId="3" fontId="63" fillId="0" borderId="0" xfId="0" applyNumberFormat="1" applyFont="1" applyBorder="1" applyAlignment="1">
      <alignment vertical="center"/>
    </xf>
    <xf numFmtId="164" fontId="41" fillId="0" borderId="0" xfId="0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164" fontId="6" fillId="0" borderId="10" xfId="0" applyNumberFormat="1" applyFont="1" applyBorder="1" applyAlignment="1">
      <alignment vertical="center" wrapText="1"/>
    </xf>
    <xf numFmtId="0" fontId="41" fillId="0" borderId="45" xfId="0" applyFont="1" applyBorder="1" applyAlignment="1">
      <alignment horizontal="center" vertical="center"/>
    </xf>
    <xf numFmtId="4" fontId="41" fillId="0" borderId="46" xfId="0" applyNumberFormat="1" applyFont="1" applyBorder="1" applyAlignment="1">
      <alignment vertical="center"/>
    </xf>
    <xf numFmtId="0" fontId="41" fillId="0" borderId="47" xfId="0" applyFont="1" applyBorder="1" applyAlignment="1">
      <alignment vertical="center" wrapText="1"/>
    </xf>
    <xf numFmtId="164" fontId="41" fillId="0" borderId="20" xfId="0" applyNumberFormat="1" applyFont="1" applyBorder="1" applyAlignment="1">
      <alignment vertical="center"/>
    </xf>
    <xf numFmtId="4" fontId="41" fillId="0" borderId="20" xfId="0" applyNumberFormat="1" applyFont="1" applyBorder="1" applyAlignment="1">
      <alignment vertical="center"/>
    </xf>
    <xf numFmtId="4" fontId="41" fillId="0" borderId="21" xfId="0" applyNumberFormat="1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6" fillId="0" borderId="64" xfId="0" applyFont="1" applyBorder="1" applyAlignment="1">
      <alignment horizontal="center" vertical="center"/>
    </xf>
    <xf numFmtId="0" fontId="41" fillId="0" borderId="70" xfId="0" applyFont="1" applyBorder="1" applyAlignment="1">
      <alignment horizontal="left" vertical="center" wrapText="1"/>
    </xf>
    <xf numFmtId="0" fontId="50" fillId="0" borderId="88" xfId="0" applyFont="1" applyBorder="1" applyAlignment="1">
      <alignment horizontal="center" vertical="center"/>
    </xf>
    <xf numFmtId="0" fontId="49" fillId="0" borderId="89" xfId="0" applyFont="1" applyBorder="1" applyAlignment="1">
      <alignment horizontal="right" vertical="center"/>
    </xf>
    <xf numFmtId="0" fontId="49" fillId="0" borderId="90" xfId="0" applyFont="1" applyBorder="1" applyAlignment="1">
      <alignment horizontal="center" vertical="center" wrapText="1"/>
    </xf>
    <xf numFmtId="0" fontId="49" fillId="0" borderId="91" xfId="0" applyFont="1" applyBorder="1" applyAlignment="1">
      <alignment horizontal="right" vertical="center"/>
    </xf>
    <xf numFmtId="164" fontId="49" fillId="0" borderId="92" xfId="0" applyNumberFormat="1" applyFont="1" applyBorder="1" applyAlignment="1">
      <alignment vertical="center"/>
    </xf>
    <xf numFmtId="0" fontId="41" fillId="0" borderId="93" xfId="0" applyFont="1" applyBorder="1" applyAlignment="1">
      <alignment horizontal="left" vertical="center" wrapText="1"/>
    </xf>
    <xf numFmtId="0" fontId="62" fillId="0" borderId="48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164" fontId="62" fillId="0" borderId="10" xfId="0" applyNumberFormat="1" applyFont="1" applyBorder="1" applyAlignment="1">
      <alignment vertical="center"/>
    </xf>
    <xf numFmtId="164" fontId="62" fillId="0" borderId="54" xfId="0" applyNumberFormat="1" applyFont="1" applyBorder="1" applyAlignment="1">
      <alignment vertical="center" wrapText="1"/>
    </xf>
    <xf numFmtId="164" fontId="62" fillId="0" borderId="84" xfId="0" applyNumberFormat="1" applyFont="1" applyBorder="1" applyAlignment="1">
      <alignment vertical="center" wrapText="1"/>
    </xf>
    <xf numFmtId="0" fontId="49" fillId="0" borderId="48" xfId="0" applyFont="1" applyBorder="1" applyAlignment="1">
      <alignment horizontal="center" vertical="center"/>
    </xf>
    <xf numFmtId="0" fontId="49" fillId="0" borderId="11" xfId="0" applyFont="1" applyBorder="1" applyAlignment="1">
      <alignment horizontal="left" vertical="center"/>
    </xf>
    <xf numFmtId="164" fontId="49" fillId="0" borderId="10" xfId="0" applyNumberFormat="1" applyFont="1" applyBorder="1" applyAlignment="1">
      <alignment vertical="center"/>
    </xf>
    <xf numFmtId="164" fontId="62" fillId="0" borderId="49" xfId="0" applyNumberFormat="1" applyFont="1" applyBorder="1" applyAlignment="1">
      <alignment vertical="center" wrapText="1"/>
    </xf>
    <xf numFmtId="0" fontId="41" fillId="0" borderId="11" xfId="0" applyFont="1" applyBorder="1" applyAlignment="1">
      <alignment horizontal="left" vertical="center"/>
    </xf>
    <xf numFmtId="164" fontId="41" fillId="0" borderId="10" xfId="0" applyNumberFormat="1" applyFont="1" applyBorder="1" applyAlignment="1">
      <alignment vertical="center"/>
    </xf>
    <xf numFmtId="164" fontId="41" fillId="0" borderId="54" xfId="0" applyNumberFormat="1" applyFont="1" applyBorder="1" applyAlignment="1">
      <alignment vertical="center" wrapText="1"/>
    </xf>
    <xf numFmtId="0" fontId="6" fillId="0" borderId="48" xfId="17" applyFont="1" applyBorder="1" applyAlignment="1">
      <alignment horizontal="center" vertical="center"/>
      <protection/>
    </xf>
    <xf numFmtId="0" fontId="6" fillId="0" borderId="10" xfId="17" applyFont="1" applyBorder="1" applyAlignment="1">
      <alignment horizontal="left" vertical="center" wrapText="1"/>
      <protection/>
    </xf>
    <xf numFmtId="164" fontId="6" fillId="0" borderId="10" xfId="17" applyNumberFormat="1" applyFont="1" applyBorder="1" applyAlignment="1">
      <alignment horizontal="right" vertical="center"/>
      <protection/>
    </xf>
    <xf numFmtId="164" fontId="6" fillId="0" borderId="63" xfId="17" applyNumberFormat="1" applyFont="1" applyBorder="1" applyAlignment="1">
      <alignment horizontal="right" vertical="center" wrapText="1"/>
      <protection/>
    </xf>
    <xf numFmtId="164" fontId="6" fillId="0" borderId="49" xfId="17" applyNumberFormat="1" applyFont="1" applyBorder="1" applyAlignment="1">
      <alignment horizontal="right" vertical="center" wrapText="1"/>
      <protection/>
    </xf>
    <xf numFmtId="0" fontId="41" fillId="0" borderId="72" xfId="17" applyFont="1" applyBorder="1" applyAlignment="1">
      <alignment horizontal="center" vertical="center"/>
      <protection/>
    </xf>
    <xf numFmtId="0" fontId="41" fillId="0" borderId="74" xfId="17" applyFont="1" applyBorder="1" applyAlignment="1">
      <alignment horizontal="left" vertical="center" wrapText="1"/>
      <protection/>
    </xf>
    <xf numFmtId="164" fontId="41" fillId="0" borderId="74" xfId="17" applyNumberFormat="1" applyFont="1" applyBorder="1" applyAlignment="1">
      <alignment horizontal="right" vertical="center"/>
      <protection/>
    </xf>
    <xf numFmtId="164" fontId="41" fillId="0" borderId="76" xfId="17" applyNumberFormat="1" applyFont="1" applyBorder="1" applyAlignment="1">
      <alignment horizontal="left" vertical="center" wrapText="1"/>
      <protection/>
    </xf>
    <xf numFmtId="0" fontId="6" fillId="0" borderId="62" xfId="17" applyFont="1" applyBorder="1" applyAlignment="1">
      <alignment horizontal="center" vertical="center"/>
      <protection/>
    </xf>
    <xf numFmtId="0" fontId="6" fillId="0" borderId="16" xfId="17" applyFont="1" applyBorder="1" applyAlignment="1">
      <alignment vertical="center" wrapText="1"/>
      <protection/>
    </xf>
    <xf numFmtId="164" fontId="6" fillId="0" borderId="16" xfId="17" applyNumberFormat="1" applyFont="1" applyBorder="1" applyAlignment="1">
      <alignment horizontal="right" vertical="center"/>
      <protection/>
    </xf>
    <xf numFmtId="0" fontId="41" fillId="0" borderId="74" xfId="17" applyFont="1" applyBorder="1" applyAlignment="1">
      <alignment vertical="center" wrapText="1"/>
      <protection/>
    </xf>
    <xf numFmtId="164" fontId="41" fillId="0" borderId="74" xfId="17" applyNumberFormat="1" applyFont="1" applyBorder="1" applyAlignment="1">
      <alignment vertical="center"/>
      <protection/>
    </xf>
    <xf numFmtId="164" fontId="41" fillId="0" borderId="76" xfId="17" applyNumberFormat="1" applyFont="1" applyBorder="1" applyAlignment="1">
      <alignment vertical="center" wrapText="1"/>
      <protection/>
    </xf>
    <xf numFmtId="0" fontId="6" fillId="0" borderId="10" xfId="17" applyFont="1" applyBorder="1" applyAlignment="1">
      <alignment vertical="center" wrapText="1"/>
      <protection/>
    </xf>
    <xf numFmtId="164" fontId="6" fillId="0" borderId="10" xfId="17" applyNumberFormat="1" applyFont="1" applyBorder="1" applyAlignment="1">
      <alignment vertical="center"/>
      <protection/>
    </xf>
    <xf numFmtId="164" fontId="6" fillId="0" borderId="49" xfId="17" applyNumberFormat="1" applyFont="1" applyBorder="1" applyAlignment="1">
      <alignment vertical="center" wrapText="1"/>
      <protection/>
    </xf>
    <xf numFmtId="0" fontId="41" fillId="0" borderId="52" xfId="17" applyFont="1" applyBorder="1" applyAlignment="1">
      <alignment horizontal="center" vertical="center"/>
      <protection/>
    </xf>
    <xf numFmtId="0" fontId="41" fillId="0" borderId="21" xfId="17" applyFont="1" applyBorder="1" applyAlignment="1">
      <alignment vertical="center" wrapText="1"/>
      <protection/>
    </xf>
    <xf numFmtId="164" fontId="41" fillId="0" borderId="21" xfId="17" applyNumberFormat="1" applyFont="1" applyBorder="1" applyAlignment="1">
      <alignment vertical="center"/>
      <protection/>
    </xf>
    <xf numFmtId="164" fontId="41" fillId="0" borderId="54" xfId="17" applyNumberFormat="1" applyFont="1" applyBorder="1" applyAlignment="1">
      <alignment vertical="center" wrapText="1"/>
      <protection/>
    </xf>
    <xf numFmtId="0" fontId="41" fillId="0" borderId="83" xfId="17" applyFont="1" applyBorder="1" applyAlignment="1">
      <alignment horizontal="center" vertical="center"/>
      <protection/>
    </xf>
    <xf numFmtId="0" fontId="41" fillId="0" borderId="52" xfId="17" applyFont="1" applyBorder="1" applyAlignment="1">
      <alignment horizontal="center" vertical="center"/>
      <protection/>
    </xf>
    <xf numFmtId="0" fontId="41" fillId="0" borderId="46" xfId="17" applyFont="1" applyBorder="1" applyAlignment="1">
      <alignment vertical="center" wrapText="1"/>
      <protection/>
    </xf>
    <xf numFmtId="164" fontId="41" fillId="0" borderId="46" xfId="17" applyNumberFormat="1" applyFont="1" applyBorder="1" applyAlignment="1">
      <alignment vertical="center"/>
      <protection/>
    </xf>
    <xf numFmtId="164" fontId="41" fillId="0" borderId="47" xfId="17" applyNumberFormat="1" applyFont="1" applyBorder="1" applyAlignment="1">
      <alignment vertical="center" wrapText="1"/>
      <protection/>
    </xf>
    <xf numFmtId="164" fontId="41" fillId="0" borderId="74" xfId="17" applyNumberFormat="1" applyFont="1" applyBorder="1" applyAlignment="1">
      <alignment vertical="center"/>
      <protection/>
    </xf>
    <xf numFmtId="164" fontId="41" fillId="0" borderId="73" xfId="17" applyNumberFormat="1" applyFont="1" applyBorder="1" applyAlignment="1">
      <alignment vertical="center" wrapText="1"/>
      <protection/>
    </xf>
    <xf numFmtId="0" fontId="41" fillId="0" borderId="56" xfId="17" applyFont="1" applyBorder="1" applyAlignment="1">
      <alignment vertical="center" wrapText="1"/>
      <protection/>
    </xf>
    <xf numFmtId="164" fontId="41" fillId="0" borderId="56" xfId="17" applyNumberFormat="1" applyFont="1" applyBorder="1" applyAlignment="1">
      <alignment vertical="center"/>
      <protection/>
    </xf>
    <xf numFmtId="164" fontId="41" fillId="0" borderId="110" xfId="17" applyNumberFormat="1" applyFont="1" applyBorder="1" applyAlignment="1">
      <alignment vertical="center" wrapText="1"/>
      <protection/>
    </xf>
    <xf numFmtId="164" fontId="41" fillId="0" borderId="51" xfId="17" applyNumberFormat="1" applyFont="1" applyBorder="1" applyAlignment="1">
      <alignment vertical="center" wrapText="1"/>
      <protection/>
    </xf>
    <xf numFmtId="0" fontId="41" fillId="0" borderId="50" xfId="17" applyFont="1" applyBorder="1" applyAlignment="1">
      <alignment horizontal="center" vertical="center"/>
      <protection/>
    </xf>
    <xf numFmtId="164" fontId="6" fillId="0" borderId="16" xfId="17" applyNumberFormat="1" applyFont="1" applyBorder="1" applyAlignment="1">
      <alignment vertical="center"/>
      <protection/>
    </xf>
    <xf numFmtId="164" fontId="6" fillId="0" borderId="63" xfId="17" applyNumberFormat="1" applyFont="1" applyBorder="1" applyAlignment="1">
      <alignment vertical="center" wrapText="1"/>
      <protection/>
    </xf>
    <xf numFmtId="0" fontId="41" fillId="0" borderId="55" xfId="17" applyFont="1" applyBorder="1" applyAlignment="1">
      <alignment horizontal="center" vertical="center"/>
      <protection/>
    </xf>
    <xf numFmtId="0" fontId="41" fillId="0" borderId="74" xfId="17" applyFont="1" applyBorder="1" applyAlignment="1">
      <alignment vertical="center" wrapText="1"/>
      <protection/>
    </xf>
    <xf numFmtId="164" fontId="41" fillId="0" borderId="76" xfId="17" applyNumberFormat="1" applyFont="1" applyBorder="1" applyAlignment="1">
      <alignment vertical="center" wrapText="1"/>
      <protection/>
    </xf>
    <xf numFmtId="0" fontId="41" fillId="0" borderId="45" xfId="17" applyFont="1" applyBorder="1" applyAlignment="1">
      <alignment horizontal="center" vertical="center"/>
      <protection/>
    </xf>
    <xf numFmtId="0" fontId="41" fillId="0" borderId="56" xfId="17" applyFont="1" applyBorder="1" applyAlignment="1">
      <alignment vertical="center" wrapText="1"/>
      <protection/>
    </xf>
    <xf numFmtId="164" fontId="41" fillId="0" borderId="28" xfId="17" applyNumberFormat="1" applyFont="1" applyBorder="1" applyAlignment="1">
      <alignment vertical="center"/>
      <protection/>
    </xf>
    <xf numFmtId="164" fontId="41" fillId="0" borderId="53" xfId="17" applyNumberFormat="1" applyFont="1" applyBorder="1" applyAlignment="1">
      <alignment vertical="center" wrapText="1"/>
      <protection/>
    </xf>
    <xf numFmtId="0" fontId="41" fillId="0" borderId="55" xfId="17" applyFont="1" applyBorder="1" applyAlignment="1">
      <alignment horizontal="center" vertical="center"/>
      <protection/>
    </xf>
    <xf numFmtId="164" fontId="41" fillId="0" borderId="51" xfId="17" applyNumberFormat="1" applyFont="1" applyBorder="1" applyAlignment="1">
      <alignment vertical="center" wrapText="1"/>
      <protection/>
    </xf>
    <xf numFmtId="0" fontId="8" fillId="0" borderId="64" xfId="17" applyFont="1" applyBorder="1" applyAlignment="1">
      <alignment horizontal="center" vertical="center"/>
      <protection/>
    </xf>
    <xf numFmtId="0" fontId="8" fillId="0" borderId="9" xfId="17" applyFont="1" applyBorder="1" applyAlignment="1">
      <alignment vertical="center" wrapText="1"/>
      <protection/>
    </xf>
    <xf numFmtId="164" fontId="8" fillId="0" borderId="10" xfId="17" applyNumberFormat="1" applyFont="1" applyBorder="1" applyAlignment="1">
      <alignment vertical="center"/>
      <protection/>
    </xf>
    <xf numFmtId="164" fontId="8" fillId="0" borderId="49" xfId="17" applyNumberFormat="1" applyFont="1" applyBorder="1" applyAlignment="1">
      <alignment vertical="center" wrapText="1"/>
      <protection/>
    </xf>
    <xf numFmtId="0" fontId="26" fillId="0" borderId="0" xfId="0" applyFont="1" applyAlignment="1">
      <alignment horizontal="right"/>
    </xf>
    <xf numFmtId="0" fontId="31" fillId="0" borderId="0" xfId="0" applyFont="1" applyAlignment="1">
      <alignment horizontal="centerContinuous" vertical="center" wrapText="1"/>
    </xf>
    <xf numFmtId="0" fontId="64" fillId="0" borderId="0" xfId="0" applyFont="1" applyAlignment="1">
      <alignment horizontal="centerContinuous" vertical="center" wrapText="1"/>
    </xf>
    <xf numFmtId="0" fontId="31" fillId="0" borderId="0" xfId="0" applyFont="1" applyAlignment="1">
      <alignment/>
    </xf>
    <xf numFmtId="41" fontId="22" fillId="0" borderId="1" xfId="0" applyNumberFormat="1" applyFont="1" applyBorder="1" applyAlignment="1">
      <alignment horizontal="center" vertical="center" wrapText="1"/>
    </xf>
    <xf numFmtId="41" fontId="22" fillId="0" borderId="114" xfId="0" applyNumberFormat="1" applyFont="1" applyBorder="1" applyAlignment="1">
      <alignment horizontal="center" vertical="center" wrapText="1"/>
    </xf>
    <xf numFmtId="41" fontId="22" fillId="0" borderId="71" xfId="0" applyNumberFormat="1" applyFont="1" applyBorder="1" applyAlignment="1">
      <alignment horizontal="center" vertical="center" wrapText="1"/>
    </xf>
    <xf numFmtId="41" fontId="22" fillId="0" borderId="22" xfId="0" applyNumberFormat="1" applyFont="1" applyBorder="1" applyAlignment="1">
      <alignment horizontal="center" vertical="center" wrapText="1"/>
    </xf>
    <xf numFmtId="41" fontId="24" fillId="0" borderId="7" xfId="0" applyNumberFormat="1" applyFont="1" applyBorder="1" applyAlignment="1">
      <alignment horizontal="center" vertical="center" wrapText="1"/>
    </xf>
    <xf numFmtId="172" fontId="24" fillId="0" borderId="9" xfId="0" applyNumberFormat="1" applyFont="1" applyBorder="1" applyAlignment="1">
      <alignment horizontal="center" vertical="center" wrapText="1"/>
    </xf>
    <xf numFmtId="41" fontId="20" fillId="0" borderId="10" xfId="0" applyNumberFormat="1" applyFont="1" applyBorder="1" applyAlignment="1">
      <alignment horizontal="center" vertical="center" wrapText="1"/>
    </xf>
    <xf numFmtId="41" fontId="24" fillId="0" borderId="10" xfId="0" applyNumberFormat="1" applyFont="1" applyBorder="1" applyAlignment="1">
      <alignment horizontal="center" vertical="center" wrapText="1"/>
    </xf>
    <xf numFmtId="41" fontId="24" fillId="0" borderId="8" xfId="0" applyNumberFormat="1" applyFont="1" applyBorder="1" applyAlignment="1">
      <alignment horizontal="center" vertical="center" wrapText="1"/>
    </xf>
    <xf numFmtId="41" fontId="34" fillId="0" borderId="0" xfId="0" applyNumberFormat="1" applyFont="1" applyAlignment="1">
      <alignment/>
    </xf>
    <xf numFmtId="41" fontId="22" fillId="0" borderId="25" xfId="0" applyNumberFormat="1" applyFont="1" applyBorder="1" applyAlignment="1">
      <alignment vertical="center" wrapText="1"/>
    </xf>
    <xf numFmtId="41" fontId="24" fillId="0" borderId="27" xfId="0" applyNumberFormat="1" applyFont="1" applyBorder="1" applyAlignment="1">
      <alignment horizontal="center" vertical="center" wrapText="1"/>
    </xf>
    <xf numFmtId="41" fontId="22" fillId="0" borderId="28" xfId="0" applyNumberFormat="1" applyFont="1" applyBorder="1" applyAlignment="1">
      <alignment horizontal="center" vertical="center" wrapText="1"/>
    </xf>
    <xf numFmtId="41" fontId="22" fillId="0" borderId="26" xfId="0" applyNumberFormat="1" applyFont="1" applyBorder="1" applyAlignment="1">
      <alignment horizontal="center" vertical="center" wrapText="1"/>
    </xf>
    <xf numFmtId="0" fontId="65" fillId="0" borderId="0" xfId="0" applyFont="1" applyAlignment="1">
      <alignment/>
    </xf>
    <xf numFmtId="41" fontId="66" fillId="0" borderId="97" xfId="0" applyNumberFormat="1" applyFont="1" applyBorder="1" applyAlignment="1">
      <alignment horizontal="centerContinuous" vertical="center" wrapText="1"/>
    </xf>
    <xf numFmtId="0" fontId="67" fillId="0" borderId="82" xfId="0" applyNumberFormat="1" applyFont="1" applyBorder="1" applyAlignment="1">
      <alignment horizontal="center" vertical="center" wrapText="1"/>
    </xf>
    <xf numFmtId="41" fontId="67" fillId="0" borderId="56" xfId="0" applyNumberFormat="1" applyFont="1" applyBorder="1" applyAlignment="1">
      <alignment horizontal="center" vertical="center" wrapText="1"/>
    </xf>
    <xf numFmtId="41" fontId="67" fillId="0" borderId="105" xfId="0" applyNumberFormat="1" applyFont="1" applyBorder="1" applyAlignment="1">
      <alignment horizontal="center" vertical="center" wrapText="1"/>
    </xf>
    <xf numFmtId="41" fontId="66" fillId="0" borderId="18" xfId="0" applyNumberFormat="1" applyFont="1" applyBorder="1" applyAlignment="1">
      <alignment horizontal="centerContinuous" vertical="center" wrapText="1"/>
    </xf>
    <xf numFmtId="41" fontId="66" fillId="0" borderId="25" xfId="0" applyNumberFormat="1" applyFont="1" applyBorder="1" applyAlignment="1">
      <alignment horizontal="centerContinuous" vertical="center" wrapText="1"/>
    </xf>
    <xf numFmtId="41" fontId="22" fillId="0" borderId="104" xfId="0" applyNumberFormat="1" applyFont="1" applyBorder="1" applyAlignment="1">
      <alignment vertical="center" wrapText="1"/>
    </xf>
    <xf numFmtId="0" fontId="34" fillId="0" borderId="82" xfId="0" applyNumberFormat="1" applyFont="1" applyBorder="1" applyAlignment="1">
      <alignment horizontal="center" vertical="center" wrapText="1"/>
    </xf>
    <xf numFmtId="41" fontId="22" fillId="0" borderId="56" xfId="0" applyNumberFormat="1" applyFont="1" applyBorder="1" applyAlignment="1">
      <alignment horizontal="center" vertical="center" wrapText="1"/>
    </xf>
    <xf numFmtId="41" fontId="22" fillId="0" borderId="105" xfId="0" applyNumberFormat="1" applyFont="1" applyBorder="1" applyAlignment="1">
      <alignment horizontal="center" vertical="center" wrapText="1"/>
    </xf>
    <xf numFmtId="0" fontId="24" fillId="0" borderId="82" xfId="0" applyNumberFormat="1" applyFont="1" applyBorder="1" applyAlignment="1">
      <alignment horizontal="center" vertical="center" wrapText="1"/>
    </xf>
    <xf numFmtId="0" fontId="22" fillId="0" borderId="82" xfId="0" applyNumberFormat="1" applyFont="1" applyBorder="1" applyAlignment="1">
      <alignment horizontal="center" vertical="center" wrapText="1"/>
    </xf>
    <xf numFmtId="41" fontId="22" fillId="0" borderId="104" xfId="0" applyNumberFormat="1" applyFont="1" applyBorder="1" applyAlignment="1">
      <alignment horizontal="center" vertical="center" wrapText="1"/>
    </xf>
    <xf numFmtId="41" fontId="22" fillId="0" borderId="104" xfId="0" applyNumberFormat="1" applyFont="1" applyBorder="1" applyAlignment="1">
      <alignment horizontal="centerContinuous" vertical="center" wrapText="1"/>
    </xf>
    <xf numFmtId="41" fontId="67" fillId="0" borderId="28" xfId="0" applyNumberFormat="1" applyFont="1" applyBorder="1" applyAlignment="1">
      <alignment horizontal="center" vertical="center" wrapText="1"/>
    </xf>
    <xf numFmtId="41" fontId="67" fillId="0" borderId="26" xfId="0" applyNumberFormat="1" applyFont="1" applyBorder="1" applyAlignment="1">
      <alignment horizontal="center" vertical="center" wrapText="1"/>
    </xf>
    <xf numFmtId="41" fontId="22" fillId="0" borderId="25" xfId="0" applyNumberFormat="1" applyFont="1" applyBorder="1" applyAlignment="1">
      <alignment horizontal="centerContinuous" vertical="center" wrapText="1"/>
    </xf>
    <xf numFmtId="41" fontId="66" fillId="0" borderId="115" xfId="0" applyNumberFormat="1" applyFont="1" applyBorder="1" applyAlignment="1">
      <alignment horizontal="centerContinuous" vertical="center" wrapText="1"/>
    </xf>
    <xf numFmtId="0" fontId="67" fillId="0" borderId="81" xfId="0" applyNumberFormat="1" applyFont="1" applyBorder="1" applyAlignment="1">
      <alignment horizontal="center" vertical="center" wrapText="1"/>
    </xf>
    <xf numFmtId="41" fontId="67" fillId="0" borderId="80" xfId="0" applyNumberFormat="1" applyFont="1" applyBorder="1" applyAlignment="1">
      <alignment horizontal="center" vertical="center" wrapText="1"/>
    </xf>
    <xf numFmtId="41" fontId="67" fillId="0" borderId="116" xfId="0" applyNumberFormat="1" applyFont="1" applyBorder="1" applyAlignment="1">
      <alignment horizontal="center" vertical="center" wrapText="1"/>
    </xf>
    <xf numFmtId="41" fontId="22" fillId="0" borderId="117" xfId="0" applyNumberFormat="1" applyFont="1" applyBorder="1" applyAlignment="1">
      <alignment horizontal="centerContinuous" vertical="center" wrapText="1"/>
    </xf>
    <xf numFmtId="0" fontId="24" fillId="0" borderId="114" xfId="0" applyNumberFormat="1" applyFont="1" applyBorder="1" applyAlignment="1">
      <alignment horizontal="centerContinuous" vertical="center" wrapText="1"/>
    </xf>
    <xf numFmtId="41" fontId="21" fillId="0" borderId="74" xfId="0" applyNumberFormat="1" applyFont="1" applyBorder="1" applyAlignment="1">
      <alignment horizontal="center" vertical="center" wrapText="1"/>
    </xf>
    <xf numFmtId="41" fontId="21" fillId="0" borderId="100" xfId="0" applyNumberFormat="1" applyFont="1" applyBorder="1" applyAlignment="1">
      <alignment horizontal="center" vertical="center" wrapText="1"/>
    </xf>
    <xf numFmtId="41" fontId="22" fillId="0" borderId="107" xfId="0" applyNumberFormat="1" applyFont="1" applyBorder="1" applyAlignment="1">
      <alignment horizontal="centerContinuous" vertical="center" wrapText="1"/>
    </xf>
    <xf numFmtId="0" fontId="24" fillId="0" borderId="20" xfId="0" applyNumberFormat="1" applyFont="1" applyBorder="1" applyAlignment="1">
      <alignment horizontal="centerContinuous" vertical="center" wrapText="1"/>
    </xf>
    <xf numFmtId="41" fontId="21" fillId="0" borderId="56" xfId="0" applyNumberFormat="1" applyFont="1" applyBorder="1" applyAlignment="1">
      <alignment horizontal="center" vertical="center" wrapText="1"/>
    </xf>
    <xf numFmtId="41" fontId="21" fillId="0" borderId="105" xfId="0" applyNumberFormat="1" applyFont="1" applyBorder="1" applyAlignment="1">
      <alignment horizontal="center" vertical="center" wrapText="1"/>
    </xf>
    <xf numFmtId="41" fontId="22" fillId="0" borderId="118" xfId="0" applyNumberFormat="1" applyFont="1" applyBorder="1" applyAlignment="1">
      <alignment horizontal="centerContinuous" vertical="center" wrapText="1"/>
    </xf>
    <xf numFmtId="0" fontId="24" fillId="0" borderId="15" xfId="0" applyNumberFormat="1" applyFont="1" applyBorder="1" applyAlignment="1">
      <alignment horizontal="centerContinuous" vertical="center" wrapText="1"/>
    </xf>
    <xf numFmtId="41" fontId="21" fillId="0" borderId="80" xfId="0" applyNumberFormat="1" applyFont="1" applyBorder="1" applyAlignment="1">
      <alignment horizontal="center" vertical="center" wrapText="1"/>
    </xf>
    <xf numFmtId="41" fontId="21" fillId="0" borderId="116" xfId="0" applyNumberFormat="1" applyFont="1" applyBorder="1" applyAlignment="1">
      <alignment horizontal="center" vertical="center" wrapText="1"/>
    </xf>
    <xf numFmtId="0" fontId="30" fillId="0" borderId="0" xfId="0" applyNumberFormat="1" applyFont="1" applyAlignment="1">
      <alignment/>
    </xf>
    <xf numFmtId="41" fontId="26" fillId="0" borderId="0" xfId="0" applyNumberFormat="1" applyFont="1" applyAlignment="1">
      <alignment/>
    </xf>
    <xf numFmtId="0" fontId="24" fillId="0" borderId="0" xfId="0" applyFont="1" applyAlignment="1">
      <alignment horizontal="centerContinuous" vertical="center" wrapText="1"/>
    </xf>
    <xf numFmtId="0" fontId="24" fillId="0" borderId="0" xfId="0" applyFont="1" applyAlignment="1">
      <alignment horizontal="centerContinuous"/>
    </xf>
    <xf numFmtId="0" fontId="3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4" fillId="0" borderId="0" xfId="0" applyFont="1" applyAlignment="1">
      <alignment horizontal="centerContinuous" vertical="center"/>
    </xf>
    <xf numFmtId="0" fontId="26" fillId="0" borderId="0" xfId="0" applyFont="1" applyAlignment="1">
      <alignment horizontal="centerContinuous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7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4" fillId="0" borderId="7" xfId="0" applyFont="1" applyBorder="1" applyAlignment="1">
      <alignment horizontal="right" vertical="center"/>
    </xf>
    <xf numFmtId="0" fontId="24" fillId="0" borderId="10" xfId="0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right" vertical="center" wrapText="1"/>
    </xf>
    <xf numFmtId="3" fontId="24" fillId="0" borderId="8" xfId="0" applyNumberFormat="1" applyFont="1" applyBorder="1" applyAlignment="1">
      <alignment horizontal="right" vertical="center" wrapText="1"/>
    </xf>
    <xf numFmtId="0" fontId="22" fillId="0" borderId="94" xfId="0" applyFont="1" applyBorder="1" applyAlignment="1">
      <alignment horizontal="center" vertical="center"/>
    </xf>
    <xf numFmtId="0" fontId="22" fillId="0" borderId="28" xfId="0" applyFont="1" applyBorder="1" applyAlignment="1">
      <alignment horizontal="left" vertical="center"/>
    </xf>
    <xf numFmtId="3" fontId="22" fillId="0" borderId="28" xfId="0" applyNumberFormat="1" applyFont="1" applyBorder="1" applyAlignment="1">
      <alignment horizontal="right" vertical="center"/>
    </xf>
    <xf numFmtId="3" fontId="22" fillId="0" borderId="26" xfId="0" applyNumberFormat="1" applyFont="1" applyBorder="1" applyAlignment="1">
      <alignment horizontal="right" vertical="center"/>
    </xf>
    <xf numFmtId="0" fontId="67" fillId="0" borderId="0" xfId="0" applyFont="1" applyAlignment="1">
      <alignment vertical="center"/>
    </xf>
    <xf numFmtId="0" fontId="67" fillId="0" borderId="97" xfId="0" applyFont="1" applyBorder="1" applyAlignment="1">
      <alignment vertical="center"/>
    </xf>
    <xf numFmtId="0" fontId="67" fillId="0" borderId="82" xfId="0" applyFont="1" applyBorder="1" applyAlignment="1">
      <alignment horizontal="center" vertical="center"/>
    </xf>
    <xf numFmtId="0" fontId="67" fillId="0" borderId="56" xfId="0" applyFont="1" applyBorder="1" applyAlignment="1">
      <alignment horizontal="left" vertical="center" wrapText="1"/>
    </xf>
    <xf numFmtId="3" fontId="67" fillId="0" borderId="56" xfId="0" applyNumberFormat="1" applyFont="1" applyBorder="1" applyAlignment="1">
      <alignment horizontal="right" vertical="center"/>
    </xf>
    <xf numFmtId="3" fontId="67" fillId="0" borderId="105" xfId="0" applyNumberFormat="1" applyFont="1" applyBorder="1" applyAlignment="1">
      <alignment horizontal="right" vertical="center"/>
    </xf>
    <xf numFmtId="0" fontId="67" fillId="0" borderId="18" xfId="0" applyFont="1" applyBorder="1" applyAlignment="1">
      <alignment vertical="center"/>
    </xf>
    <xf numFmtId="0" fontId="67" fillId="0" borderId="25" xfId="0" applyFont="1" applyBorder="1" applyAlignment="1">
      <alignment vertical="center"/>
    </xf>
    <xf numFmtId="0" fontId="22" fillId="0" borderId="104" xfId="0" applyFont="1" applyBorder="1" applyAlignment="1">
      <alignment horizontal="center" vertical="center"/>
    </xf>
    <xf numFmtId="0" fontId="22" fillId="0" borderId="106" xfId="0" applyFont="1" applyBorder="1" applyAlignment="1">
      <alignment horizontal="center" vertical="center"/>
    </xf>
    <xf numFmtId="0" fontId="22" fillId="0" borderId="56" xfId="0" applyFont="1" applyBorder="1" applyAlignment="1">
      <alignment horizontal="left" vertical="center" wrapText="1"/>
    </xf>
    <xf numFmtId="3" fontId="22" fillId="0" borderId="56" xfId="0" applyNumberFormat="1" applyFont="1" applyBorder="1" applyAlignment="1">
      <alignment horizontal="right" vertical="center"/>
    </xf>
    <xf numFmtId="3" fontId="22" fillId="0" borderId="105" xfId="0" applyNumberFormat="1" applyFont="1" applyBorder="1" applyAlignment="1">
      <alignment horizontal="right" vertical="center"/>
    </xf>
    <xf numFmtId="0" fontId="67" fillId="0" borderId="56" xfId="0" applyFont="1" applyBorder="1" applyAlignment="1">
      <alignment horizontal="center" vertical="center"/>
    </xf>
    <xf numFmtId="3" fontId="66" fillId="0" borderId="105" xfId="0" applyNumberFormat="1" applyFont="1" applyBorder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0" fontId="22" fillId="0" borderId="104" xfId="0" applyFont="1" applyBorder="1" applyAlignment="1">
      <alignment horizontal="center" vertical="center" wrapText="1"/>
    </xf>
    <xf numFmtId="0" fontId="22" fillId="0" borderId="106" xfId="0" applyFont="1" applyBorder="1" applyAlignment="1">
      <alignment horizontal="center" vertical="center" wrapText="1"/>
    </xf>
    <xf numFmtId="3" fontId="22" fillId="0" borderId="56" xfId="0" applyNumberFormat="1" applyFont="1" applyBorder="1" applyAlignment="1">
      <alignment horizontal="right" vertical="center" wrapText="1"/>
    </xf>
    <xf numFmtId="3" fontId="66" fillId="0" borderId="105" xfId="0" applyNumberFormat="1" applyFont="1" applyBorder="1" applyAlignment="1">
      <alignment horizontal="right" vertical="center" wrapText="1"/>
    </xf>
    <xf numFmtId="0" fontId="67" fillId="0" borderId="115" xfId="0" applyFont="1" applyBorder="1" applyAlignment="1">
      <alignment vertical="center"/>
    </xf>
    <xf numFmtId="0" fontId="67" fillId="0" borderId="80" xfId="0" applyFont="1" applyBorder="1" applyAlignment="1">
      <alignment horizontal="center" vertical="center"/>
    </xf>
    <xf numFmtId="0" fontId="67" fillId="0" borderId="80" xfId="0" applyFont="1" applyBorder="1" applyAlignment="1">
      <alignment horizontal="left" vertical="center" wrapText="1"/>
    </xf>
    <xf numFmtId="3" fontId="67" fillId="0" borderId="80" xfId="0" applyNumberFormat="1" applyFont="1" applyBorder="1" applyAlignment="1">
      <alignment horizontal="right" vertical="center"/>
    </xf>
    <xf numFmtId="3" fontId="67" fillId="0" borderId="116" xfId="0" applyNumberFormat="1" applyFont="1" applyBorder="1" applyAlignment="1">
      <alignment horizontal="right" vertical="center"/>
    </xf>
    <xf numFmtId="0" fontId="21" fillId="0" borderId="107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8" xfId="0" applyFont="1" applyBorder="1" applyAlignment="1">
      <alignment horizontal="center"/>
    </xf>
    <xf numFmtId="3" fontId="21" fillId="0" borderId="28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0" fontId="21" fillId="0" borderId="56" xfId="0" applyFont="1" applyBorder="1" applyAlignment="1">
      <alignment horizontal="center"/>
    </xf>
    <xf numFmtId="3" fontId="21" fillId="0" borderId="56" xfId="0" applyNumberFormat="1" applyFont="1" applyBorder="1" applyAlignment="1">
      <alignment/>
    </xf>
    <xf numFmtId="3" fontId="21" fillId="0" borderId="105" xfId="0" applyNumberFormat="1" applyFont="1" applyBorder="1" applyAlignment="1">
      <alignment/>
    </xf>
    <xf numFmtId="0" fontId="26" fillId="0" borderId="107" xfId="0" applyFont="1" applyBorder="1" applyAlignment="1">
      <alignment/>
    </xf>
    <xf numFmtId="0" fontId="26" fillId="0" borderId="20" xfId="0" applyFont="1" applyBorder="1" applyAlignment="1">
      <alignment/>
    </xf>
    <xf numFmtId="0" fontId="22" fillId="0" borderId="107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56" xfId="0" applyFont="1" applyBorder="1" applyAlignment="1">
      <alignment horizontal="center" vertical="center"/>
    </xf>
    <xf numFmtId="3" fontId="22" fillId="0" borderId="56" xfId="0" applyNumberFormat="1" applyFont="1" applyBorder="1" applyAlignment="1">
      <alignment vertical="center"/>
    </xf>
    <xf numFmtId="3" fontId="22" fillId="0" borderId="105" xfId="0" applyNumberFormat="1" applyFont="1" applyBorder="1" applyAlignment="1">
      <alignment vertical="center"/>
    </xf>
    <xf numFmtId="0" fontId="26" fillId="0" borderId="107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1" fillId="0" borderId="56" xfId="0" applyFont="1" applyBorder="1" applyAlignment="1">
      <alignment horizontal="center" vertical="center"/>
    </xf>
    <xf numFmtId="3" fontId="21" fillId="0" borderId="56" xfId="0" applyNumberFormat="1" applyFont="1" applyBorder="1" applyAlignment="1">
      <alignment vertical="center"/>
    </xf>
    <xf numFmtId="3" fontId="21" fillId="0" borderId="105" xfId="0" applyNumberFormat="1" applyFont="1" applyBorder="1" applyAlignment="1">
      <alignment vertical="center"/>
    </xf>
    <xf numFmtId="0" fontId="22" fillId="0" borderId="46" xfId="0" applyFont="1" applyBorder="1" applyAlignment="1">
      <alignment horizontal="center" vertical="center"/>
    </xf>
    <xf numFmtId="3" fontId="22" fillId="0" borderId="46" xfId="0" applyNumberFormat="1" applyFont="1" applyBorder="1" applyAlignment="1">
      <alignment vertical="center"/>
    </xf>
    <xf numFmtId="3" fontId="22" fillId="0" borderId="102" xfId="0" applyNumberFormat="1" applyFont="1" applyBorder="1" applyAlignment="1">
      <alignment vertical="center"/>
    </xf>
    <xf numFmtId="0" fontId="24" fillId="0" borderId="118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3" fontId="24" fillId="0" borderId="10" xfId="0" applyNumberFormat="1" applyFont="1" applyBorder="1" applyAlignment="1">
      <alignment vertical="center"/>
    </xf>
    <xf numFmtId="3" fontId="24" fillId="0" borderId="8" xfId="0" applyNumberFormat="1" applyFont="1" applyBorder="1" applyAlignment="1">
      <alignment vertical="center"/>
    </xf>
    <xf numFmtId="0" fontId="67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49" fillId="0" borderId="1" xfId="0" applyFont="1" applyBorder="1" applyAlignment="1">
      <alignment horizontal="center" vertical="center"/>
    </xf>
    <xf numFmtId="0" fontId="49" fillId="0" borderId="71" xfId="0" applyFont="1" applyBorder="1" applyAlignment="1">
      <alignment horizontal="center" vertical="center"/>
    </xf>
    <xf numFmtId="0" fontId="49" fillId="0" borderId="114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/>
    </xf>
    <xf numFmtId="0" fontId="49" fillId="0" borderId="18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top"/>
    </xf>
    <xf numFmtId="0" fontId="49" fillId="0" borderId="19" xfId="0" applyFont="1" applyBorder="1" applyAlignment="1">
      <alignment horizontal="center"/>
    </xf>
    <xf numFmtId="0" fontId="49" fillId="0" borderId="25" xfId="0" applyFont="1" applyBorder="1" applyAlignment="1">
      <alignment horizontal="center" vertical="top" textRotation="255"/>
    </xf>
    <xf numFmtId="0" fontId="49" fillId="0" borderId="28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0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3" fontId="8" fillId="0" borderId="12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14" xfId="0" applyFont="1" applyBorder="1" applyAlignment="1">
      <alignment horizontal="left"/>
    </xf>
    <xf numFmtId="0" fontId="8" fillId="0" borderId="114" xfId="0" applyFont="1" applyBorder="1" applyAlignment="1">
      <alignment horizontal="center"/>
    </xf>
    <xf numFmtId="3" fontId="8" fillId="0" borderId="2" xfId="0" applyNumberFormat="1" applyFont="1" applyBorder="1" applyAlignment="1">
      <alignment horizontal="right"/>
    </xf>
    <xf numFmtId="0" fontId="63" fillId="0" borderId="97" xfId="0" applyFont="1" applyBorder="1" applyAlignment="1">
      <alignment horizontal="center"/>
    </xf>
    <xf numFmtId="0" fontId="63" fillId="0" borderId="68" xfId="0" applyFont="1" applyBorder="1" applyAlignment="1">
      <alignment horizontal="left"/>
    </xf>
    <xf numFmtId="0" fontId="63" fillId="0" borderId="68" xfId="0" applyFont="1" applyBorder="1" applyAlignment="1">
      <alignment horizontal="center"/>
    </xf>
    <xf numFmtId="3" fontId="63" fillId="0" borderId="103" xfId="0" applyNumberFormat="1" applyFont="1" applyBorder="1" applyAlignment="1">
      <alignment horizontal="right"/>
    </xf>
    <xf numFmtId="0" fontId="41" fillId="0" borderId="18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3" fontId="41" fillId="0" borderId="23" xfId="0" applyNumberFormat="1" applyFont="1" applyBorder="1" applyAlignment="1">
      <alignment horizontal="right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right" vertical="center"/>
    </xf>
    <xf numFmtId="0" fontId="58" fillId="0" borderId="0" xfId="0" applyFont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57" fillId="0" borderId="27" xfId="0" applyFont="1" applyBorder="1" applyAlignment="1">
      <alignment vertical="center"/>
    </xf>
    <xf numFmtId="3" fontId="8" fillId="0" borderId="29" xfId="0" applyNumberFormat="1" applyFont="1" applyBorder="1" applyAlignment="1">
      <alignment horizontal="right" vertical="center"/>
    </xf>
    <xf numFmtId="0" fontId="63" fillId="0" borderId="18" xfId="0" applyFont="1" applyBorder="1" applyAlignment="1">
      <alignment horizontal="center" vertical="center"/>
    </xf>
    <xf numFmtId="0" fontId="63" fillId="0" borderId="20" xfId="0" applyFont="1" applyBorder="1" applyAlignment="1">
      <alignment vertical="center"/>
    </xf>
    <xf numFmtId="3" fontId="63" fillId="0" borderId="23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3" fontId="41" fillId="0" borderId="23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" fontId="41" fillId="0" borderId="29" xfId="0" applyNumberFormat="1" applyFont="1" applyBorder="1" applyAlignment="1">
      <alignment horizontal="right" vertical="center"/>
    </xf>
    <xf numFmtId="3" fontId="68" fillId="0" borderId="0" xfId="0" applyNumberFormat="1" applyFont="1" applyAlignment="1">
      <alignment/>
    </xf>
    <xf numFmtId="0" fontId="68" fillId="0" borderId="0" xfId="0" applyFont="1" applyAlignment="1">
      <alignment/>
    </xf>
    <xf numFmtId="3" fontId="47" fillId="0" borderId="0" xfId="0" applyNumberFormat="1" applyFont="1" applyAlignment="1">
      <alignment/>
    </xf>
    <xf numFmtId="0" fontId="8" fillId="0" borderId="9" xfId="0" applyFont="1" applyBorder="1" applyAlignment="1">
      <alignment vertical="center"/>
    </xf>
    <xf numFmtId="3" fontId="8" fillId="0" borderId="12" xfId="0" applyNumberFormat="1" applyFont="1" applyBorder="1" applyAlignment="1">
      <alignment horizontal="right" vertical="center"/>
    </xf>
    <xf numFmtId="3" fontId="58" fillId="0" borderId="0" xfId="0" applyNumberFormat="1" applyFont="1" applyAlignment="1">
      <alignment/>
    </xf>
    <xf numFmtId="0" fontId="8" fillId="0" borderId="94" xfId="0" applyFont="1" applyBorder="1" applyAlignment="1">
      <alignment horizontal="center" vertical="center"/>
    </xf>
    <xf numFmtId="0" fontId="8" fillId="0" borderId="75" xfId="0" applyFont="1" applyBorder="1" applyAlignment="1">
      <alignment vertical="center"/>
    </xf>
    <xf numFmtId="3" fontId="8" fillId="0" borderId="101" xfId="0" applyNumberFormat="1" applyFont="1" applyBorder="1" applyAlignment="1">
      <alignment horizontal="right" vertical="center"/>
    </xf>
    <xf numFmtId="0" fontId="63" fillId="0" borderId="20" xfId="0" applyFont="1" applyBorder="1" applyAlignment="1">
      <alignment vertical="center" wrapText="1"/>
    </xf>
    <xf numFmtId="0" fontId="41" fillId="0" borderId="20" xfId="0" applyFont="1" applyBorder="1" applyAlignment="1">
      <alignment vertical="center" wrapText="1"/>
    </xf>
    <xf numFmtId="0" fontId="63" fillId="0" borderId="21" xfId="0" applyFont="1" applyBorder="1" applyAlignment="1">
      <alignment vertical="center"/>
    </xf>
    <xf numFmtId="0" fontId="63" fillId="0" borderId="25" xfId="0" applyFont="1" applyBorder="1" applyAlignment="1">
      <alignment horizontal="center" vertical="center"/>
    </xf>
    <xf numFmtId="0" fontId="41" fillId="0" borderId="36" xfId="0" applyFont="1" applyBorder="1" applyAlignment="1">
      <alignment vertical="center" wrapText="1"/>
    </xf>
    <xf numFmtId="0" fontId="63" fillId="0" borderId="28" xfId="0" applyFont="1" applyBorder="1" applyAlignment="1">
      <alignment vertical="center"/>
    </xf>
    <xf numFmtId="0" fontId="63" fillId="0" borderId="97" xfId="0" applyFont="1" applyBorder="1" applyAlignment="1">
      <alignment horizontal="center" vertical="center"/>
    </xf>
    <xf numFmtId="0" fontId="63" fillId="0" borderId="68" xfId="0" applyFont="1" applyBorder="1" applyAlignment="1">
      <alignment vertical="center"/>
    </xf>
    <xf numFmtId="3" fontId="63" fillId="0" borderId="103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3" fontId="53" fillId="0" borderId="12" xfId="0" applyNumberFormat="1" applyFont="1" applyBorder="1" applyAlignment="1">
      <alignment horizontal="right" vertical="center"/>
    </xf>
    <xf numFmtId="0" fontId="53" fillId="0" borderId="75" xfId="0" applyFont="1" applyBorder="1" applyAlignment="1">
      <alignment vertical="center"/>
    </xf>
    <xf numFmtId="3" fontId="53" fillId="0" borderId="101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right" vertical="center"/>
    </xf>
    <xf numFmtId="0" fontId="8" fillId="0" borderId="104" xfId="0" applyFont="1" applyBorder="1" applyAlignment="1">
      <alignment horizontal="center" vertical="center"/>
    </xf>
    <xf numFmtId="0" fontId="8" fillId="0" borderId="82" xfId="0" applyFont="1" applyBorder="1" applyAlignment="1">
      <alignment vertical="center"/>
    </xf>
    <xf numFmtId="3" fontId="8" fillId="0" borderId="108" xfId="0" applyNumberFormat="1" applyFont="1" applyBorder="1" applyAlignment="1">
      <alignment horizontal="right" vertical="center"/>
    </xf>
    <xf numFmtId="0" fontId="63" fillId="0" borderId="18" xfId="0" applyFont="1" applyBorder="1" applyAlignment="1">
      <alignment horizontal="center" vertical="center"/>
    </xf>
    <xf numFmtId="0" fontId="63" fillId="0" borderId="20" xfId="0" applyFont="1" applyBorder="1" applyAlignment="1">
      <alignment vertical="center"/>
    </xf>
    <xf numFmtId="3" fontId="63" fillId="0" borderId="23" xfId="0" applyNumberFormat="1" applyFont="1" applyBorder="1" applyAlignment="1">
      <alignment horizontal="right" vertical="center"/>
    </xf>
    <xf numFmtId="3" fontId="41" fillId="0" borderId="23" xfId="0" applyNumberFormat="1" applyFont="1" applyBorder="1" applyAlignment="1">
      <alignment horizontal="right" vertical="center"/>
    </xf>
    <xf numFmtId="0" fontId="41" fillId="0" borderId="20" xfId="0" applyFont="1" applyBorder="1" applyAlignment="1">
      <alignment vertical="center"/>
    </xf>
    <xf numFmtId="0" fontId="41" fillId="0" borderId="107" xfId="0" applyFont="1" applyBorder="1" applyAlignment="1">
      <alignment horizontal="center" vertical="center"/>
    </xf>
    <xf numFmtId="0" fontId="41" fillId="0" borderId="25" xfId="0" applyFont="1" applyBorder="1" applyAlignment="1">
      <alignment vertical="center"/>
    </xf>
    <xf numFmtId="0" fontId="41" fillId="0" borderId="36" xfId="0" applyFont="1" applyBorder="1" applyAlignment="1">
      <alignment vertical="center"/>
    </xf>
    <xf numFmtId="3" fontId="41" fillId="0" borderId="29" xfId="0" applyNumberFormat="1" applyFont="1" applyBorder="1" applyAlignment="1">
      <alignment horizontal="right" vertical="center"/>
    </xf>
    <xf numFmtId="0" fontId="63" fillId="0" borderId="20" xfId="0" applyFont="1" applyBorder="1" applyAlignment="1">
      <alignment horizontal="left" vertical="center"/>
    </xf>
    <xf numFmtId="0" fontId="41" fillId="0" borderId="18" xfId="0" applyFont="1" applyBorder="1" applyAlignment="1">
      <alignment vertical="center"/>
    </xf>
    <xf numFmtId="0" fontId="8" fillId="0" borderId="115" xfId="0" applyFont="1" applyBorder="1" applyAlignment="1">
      <alignment horizontal="center" vertical="center"/>
    </xf>
    <xf numFmtId="0" fontId="8" fillId="0" borderId="81" xfId="0" applyFont="1" applyBorder="1" applyAlignment="1">
      <alignment vertical="center" wrapText="1"/>
    </xf>
    <xf numFmtId="0" fontId="8" fillId="0" borderId="81" xfId="0" applyFont="1" applyBorder="1" applyAlignment="1">
      <alignment horizontal="center" vertical="center"/>
    </xf>
    <xf numFmtId="3" fontId="8" fillId="0" borderId="119" xfId="0" applyNumberFormat="1" applyFont="1" applyBorder="1" applyAlignment="1">
      <alignment vertical="center"/>
    </xf>
    <xf numFmtId="0" fontId="8" fillId="0" borderId="94" xfId="0" applyFont="1" applyBorder="1" applyAlignment="1">
      <alignment horizontal="center" vertical="center"/>
    </xf>
    <xf numFmtId="0" fontId="8" fillId="0" borderId="75" xfId="0" applyFont="1" applyBorder="1" applyAlignment="1">
      <alignment vertical="center"/>
    </xf>
    <xf numFmtId="3" fontId="8" fillId="0" borderId="101" xfId="0" applyNumberFormat="1" applyFont="1" applyBorder="1" applyAlignment="1">
      <alignment vertical="center"/>
    </xf>
    <xf numFmtId="3" fontId="63" fillId="0" borderId="23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3" fontId="41" fillId="0" borderId="23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3" fontId="41" fillId="0" borderId="29" xfId="0" applyNumberFormat="1" applyFont="1" applyBorder="1" applyAlignment="1">
      <alignment vertical="center"/>
    </xf>
    <xf numFmtId="3" fontId="41" fillId="0" borderId="23" xfId="0" applyNumberFormat="1" applyFont="1" applyBorder="1" applyAlignment="1">
      <alignment vertical="center"/>
    </xf>
    <xf numFmtId="0" fontId="63" fillId="0" borderId="21" xfId="0" applyFont="1" applyBorder="1" applyAlignment="1">
      <alignment vertical="center"/>
    </xf>
    <xf numFmtId="0" fontId="63" fillId="0" borderId="25" xfId="0" applyFont="1" applyBorder="1" applyAlignment="1">
      <alignment horizontal="center" vertical="center"/>
    </xf>
    <xf numFmtId="0" fontId="63" fillId="0" borderId="27" xfId="0" applyFont="1" applyBorder="1" applyAlignment="1">
      <alignment vertical="center"/>
    </xf>
    <xf numFmtId="3" fontId="41" fillId="0" borderId="29" xfId="0" applyNumberFormat="1" applyFont="1" applyBorder="1" applyAlignment="1">
      <alignment vertical="center"/>
    </xf>
    <xf numFmtId="3" fontId="63" fillId="0" borderId="23" xfId="0" applyNumberFormat="1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/>
    </xf>
    <xf numFmtId="3" fontId="8" fillId="0" borderId="101" xfId="0" applyNumberFormat="1" applyFont="1" applyBorder="1" applyAlignment="1">
      <alignment vertical="center"/>
    </xf>
    <xf numFmtId="0" fontId="8" fillId="0" borderId="104" xfId="0" applyFont="1" applyBorder="1" applyAlignment="1">
      <alignment horizontal="center" vertical="center"/>
    </xf>
    <xf numFmtId="0" fontId="8" fillId="0" borderId="82" xfId="0" applyFont="1" applyBorder="1" applyAlignment="1">
      <alignment vertical="center"/>
    </xf>
    <xf numFmtId="3" fontId="8" fillId="0" borderId="108" xfId="0" applyNumberFormat="1" applyFont="1" applyBorder="1" applyAlignment="1">
      <alignment vertical="center"/>
    </xf>
    <xf numFmtId="0" fontId="47" fillId="0" borderId="0" xfId="0" applyFont="1" applyBorder="1" applyAlignment="1">
      <alignment/>
    </xf>
    <xf numFmtId="3" fontId="8" fillId="0" borderId="12" xfId="0" applyNumberFormat="1" applyFont="1" applyBorder="1" applyAlignment="1">
      <alignment vertical="center"/>
    </xf>
    <xf numFmtId="0" fontId="41" fillId="0" borderId="21" xfId="0" applyFont="1" applyBorder="1" applyAlignment="1">
      <alignment/>
    </xf>
    <xf numFmtId="0" fontId="41" fillId="0" borderId="18" xfId="0" applyFont="1" applyBorder="1" applyAlignment="1">
      <alignment vertical="center"/>
    </xf>
    <xf numFmtId="0" fontId="41" fillId="0" borderId="25" xfId="0" applyFont="1" applyBorder="1" applyAlignment="1">
      <alignment vertical="center"/>
    </xf>
    <xf numFmtId="0" fontId="63" fillId="0" borderId="97" xfId="0" applyFont="1" applyBorder="1" applyAlignment="1">
      <alignment horizontal="center" vertical="center"/>
    </xf>
    <xf numFmtId="0" fontId="63" fillId="0" borderId="68" xfId="0" applyFont="1" applyBorder="1" applyAlignment="1">
      <alignment vertical="center"/>
    </xf>
    <xf numFmtId="3" fontId="63" fillId="0" borderId="103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63" fillId="0" borderId="18" xfId="0" applyFont="1" applyBorder="1" applyAlignment="1">
      <alignment vertical="center"/>
    </xf>
    <xf numFmtId="0" fontId="54" fillId="0" borderId="75" xfId="0" applyFont="1" applyBorder="1" applyAlignment="1">
      <alignment vertical="center"/>
    </xf>
    <xf numFmtId="3" fontId="53" fillId="0" borderId="101" xfId="0" applyNumberFormat="1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63" fillId="0" borderId="46" xfId="0" applyFont="1" applyBorder="1" applyAlignment="1">
      <alignment vertical="center"/>
    </xf>
    <xf numFmtId="3" fontId="63" fillId="0" borderId="102" xfId="0" applyNumberFormat="1" applyFont="1" applyBorder="1" applyAlignment="1">
      <alignment vertical="center"/>
    </xf>
    <xf numFmtId="3" fontId="41" fillId="0" borderId="14" xfId="0" applyNumberFormat="1" applyFont="1" applyBorder="1" applyAlignment="1">
      <alignment vertical="center"/>
    </xf>
    <xf numFmtId="0" fontId="8" fillId="0" borderId="99" xfId="0" applyFont="1" applyBorder="1" applyAlignment="1">
      <alignment vertical="center"/>
    </xf>
    <xf numFmtId="0" fontId="8" fillId="0" borderId="32" xfId="0" applyFont="1" applyBorder="1" applyAlignment="1">
      <alignment horizontal="left" vertical="center"/>
    </xf>
    <xf numFmtId="0" fontId="8" fillId="0" borderId="32" xfId="0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170" fontId="7" fillId="0" borderId="0" xfId="0" applyNumberFormat="1" applyFont="1" applyAlignment="1">
      <alignment vertical="center"/>
    </xf>
    <xf numFmtId="0" fontId="2" fillId="0" borderId="117" xfId="0" applyFont="1" applyBorder="1" applyAlignment="1">
      <alignment/>
    </xf>
    <xf numFmtId="0" fontId="2" fillId="0" borderId="71" xfId="0" applyFont="1" applyBorder="1" applyAlignment="1">
      <alignment/>
    </xf>
    <xf numFmtId="3" fontId="2" fillId="0" borderId="73" xfId="0" applyNumberFormat="1" applyFont="1" applyBorder="1" applyAlignment="1">
      <alignment horizontal="centerContinuous" vertical="center"/>
    </xf>
    <xf numFmtId="3" fontId="2" fillId="0" borderId="75" xfId="0" applyNumberFormat="1" applyFont="1" applyBorder="1" applyAlignment="1">
      <alignment horizontal="centerContinuous" vertical="center"/>
    </xf>
    <xf numFmtId="3" fontId="9" fillId="0" borderId="95" xfId="0" applyNumberFormat="1" applyFont="1" applyBorder="1" applyAlignment="1">
      <alignment horizontal="centerContinuous" vertical="center"/>
    </xf>
    <xf numFmtId="1" fontId="2" fillId="0" borderId="95" xfId="0" applyNumberFormat="1" applyFont="1" applyBorder="1" applyAlignment="1">
      <alignment vertical="center"/>
    </xf>
    <xf numFmtId="1" fontId="9" fillId="0" borderId="120" xfId="0" applyNumberFormat="1" applyFont="1" applyBorder="1" applyAlignment="1">
      <alignment horizontal="centerContinuous" vertical="center"/>
    </xf>
    <xf numFmtId="1" fontId="9" fillId="0" borderId="95" xfId="0" applyNumberFormat="1" applyFont="1" applyBorder="1" applyAlignment="1">
      <alignment horizontal="centerContinuous" vertical="center"/>
    </xf>
    <xf numFmtId="1" fontId="9" fillId="0" borderId="101" xfId="0" applyNumberFormat="1" applyFont="1" applyBorder="1" applyAlignment="1">
      <alignment horizontal="centerContinuous" vertical="center"/>
    </xf>
    <xf numFmtId="3" fontId="13" fillId="0" borderId="120" xfId="0" applyNumberFormat="1" applyFont="1" applyBorder="1" applyAlignment="1">
      <alignment horizontal="centerContinuous" vertical="center"/>
    </xf>
    <xf numFmtId="3" fontId="13" fillId="0" borderId="95" xfId="0" applyNumberFormat="1" applyFont="1" applyBorder="1" applyAlignment="1">
      <alignment horizontal="centerContinuous" vertical="center"/>
    </xf>
    <xf numFmtId="3" fontId="13" fillId="0" borderId="101" xfId="0" applyNumberFormat="1" applyFont="1" applyBorder="1" applyAlignment="1">
      <alignment horizontal="centerContinuous" vertical="center"/>
    </xf>
    <xf numFmtId="3" fontId="13" fillId="0" borderId="82" xfId="0" applyNumberFormat="1" applyFont="1" applyBorder="1" applyAlignment="1">
      <alignment horizontal="centerContinuous" vertical="center"/>
    </xf>
    <xf numFmtId="1" fontId="1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Border="1" applyAlignment="1">
      <alignment horizontal="center" vertical="center" wrapText="1"/>
    </xf>
    <xf numFmtId="3" fontId="19" fillId="0" borderId="46" xfId="0" applyNumberFormat="1" applyFont="1" applyBorder="1" applyAlignment="1">
      <alignment horizontal="center" vertical="center" wrapText="1"/>
    </xf>
    <xf numFmtId="3" fontId="19" fillId="0" borderId="103" xfId="0" applyNumberFormat="1" applyFont="1" applyBorder="1" applyAlignment="1">
      <alignment horizontal="center" vertical="center" wrapText="1"/>
    </xf>
    <xf numFmtId="3" fontId="19" fillId="0" borderId="68" xfId="0" applyNumberFormat="1" applyFont="1" applyBorder="1" applyAlignment="1">
      <alignment horizontal="center" vertical="center" wrapText="1"/>
    </xf>
    <xf numFmtId="1" fontId="19" fillId="0" borderId="46" xfId="0" applyNumberFormat="1" applyFont="1" applyBorder="1" applyAlignment="1">
      <alignment horizontal="center" vertical="center" wrapText="1"/>
    </xf>
    <xf numFmtId="1" fontId="19" fillId="0" borderId="66" xfId="0" applyNumberFormat="1" applyFont="1" applyBorder="1" applyAlignment="1">
      <alignment horizontal="center" vertical="center" wrapText="1"/>
    </xf>
    <xf numFmtId="3" fontId="19" fillId="0" borderId="97" xfId="0" applyNumberFormat="1" applyFont="1" applyBorder="1" applyAlignment="1">
      <alignment horizontal="center" vertical="center" wrapText="1"/>
    </xf>
    <xf numFmtId="3" fontId="19" fillId="0" borderId="102" xfId="0" applyNumberFormat="1" applyFont="1" applyBorder="1" applyAlignment="1">
      <alignment horizontal="center" vertical="center" wrapText="1"/>
    </xf>
    <xf numFmtId="1" fontId="19" fillId="0" borderId="67" xfId="0" applyNumberFormat="1" applyFont="1" applyBorder="1" applyAlignment="1">
      <alignment horizontal="center" vertical="center" wrapText="1"/>
    </xf>
    <xf numFmtId="170" fontId="7" fillId="0" borderId="68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3" fontId="19" fillId="0" borderId="10" xfId="0" applyNumberFormat="1" applyFont="1" applyBorder="1" applyAlignment="1">
      <alignment horizontal="center" vertical="center"/>
    </xf>
    <xf numFmtId="3" fontId="19" fillId="0" borderId="12" xfId="0" applyNumberFormat="1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1" fontId="19" fillId="0" borderId="11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3" fontId="19" fillId="0" borderId="8" xfId="0" applyNumberFormat="1" applyFont="1" applyBorder="1" applyAlignment="1">
      <alignment horizontal="center" vertical="center"/>
    </xf>
    <xf numFmtId="1" fontId="19" fillId="0" borderId="32" xfId="0" applyNumberFormat="1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11" fillId="0" borderId="7" xfId="0" applyNumberFormat="1" applyFont="1" applyFill="1" applyBorder="1" applyAlignment="1" applyProtection="1">
      <alignment horizontal="centerContinuous" vertical="center"/>
      <protection locked="0"/>
    </xf>
    <xf numFmtId="1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0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3" fontId="11" fillId="0" borderId="9" xfId="0" applyNumberFormat="1" applyFont="1" applyBorder="1" applyAlignment="1">
      <alignment vertical="center"/>
    </xf>
    <xf numFmtId="170" fontId="11" fillId="0" borderId="10" xfId="0" applyNumberFormat="1" applyFont="1" applyBorder="1" applyAlignment="1">
      <alignment vertical="center"/>
    </xf>
    <xf numFmtId="170" fontId="11" fillId="0" borderId="11" xfId="0" applyNumberFormat="1" applyFont="1" applyBorder="1" applyAlignment="1">
      <alignment vertical="center"/>
    </xf>
    <xf numFmtId="2" fontId="11" fillId="0" borderId="11" xfId="0" applyNumberFormat="1" applyFont="1" applyBorder="1" applyAlignment="1">
      <alignment vertical="center"/>
    </xf>
    <xf numFmtId="3" fontId="11" fillId="0" borderId="7" xfId="0" applyNumberFormat="1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1" fontId="11" fillId="0" borderId="32" xfId="0" applyNumberFormat="1" applyFont="1" applyBorder="1" applyAlignment="1">
      <alignment vertical="center"/>
    </xf>
    <xf numFmtId="170" fontId="13" fillId="0" borderId="9" xfId="0" applyNumberFormat="1" applyFont="1" applyBorder="1" applyAlignment="1">
      <alignment vertical="center"/>
    </xf>
    <xf numFmtId="3" fontId="45" fillId="0" borderId="0" xfId="0" applyNumberFormat="1" applyFont="1" applyAlignment="1">
      <alignment/>
    </xf>
    <xf numFmtId="49" fontId="11" fillId="0" borderId="25" xfId="0" applyNumberFormat="1" applyFont="1" applyFill="1" applyBorder="1" applyAlignment="1" applyProtection="1">
      <alignment horizontal="centerContinuous" vertical="center"/>
      <protection locked="0"/>
    </xf>
    <xf numFmtId="1" fontId="11" fillId="0" borderId="28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28" xfId="0" applyNumberFormat="1" applyFont="1" applyBorder="1" applyAlignment="1">
      <alignment vertical="center"/>
    </xf>
    <xf numFmtId="3" fontId="11" fillId="0" borderId="29" xfId="0" applyNumberFormat="1" applyFont="1" applyBorder="1" applyAlignment="1">
      <alignment vertical="center"/>
    </xf>
    <xf numFmtId="3" fontId="11" fillId="0" borderId="27" xfId="0" applyNumberFormat="1" applyFont="1" applyBorder="1" applyAlignment="1">
      <alignment vertical="center"/>
    </xf>
    <xf numFmtId="2" fontId="11" fillId="0" borderId="30" xfId="0" applyNumberFormat="1" applyFont="1" applyBorder="1" applyAlignment="1">
      <alignment vertical="center"/>
    </xf>
    <xf numFmtId="3" fontId="11" fillId="0" borderId="25" xfId="0" applyNumberFormat="1" applyFont="1" applyBorder="1" applyAlignment="1">
      <alignment vertical="center"/>
    </xf>
    <xf numFmtId="3" fontId="11" fillId="0" borderId="26" xfId="0" applyNumberFormat="1" applyFont="1" applyBorder="1" applyAlignment="1">
      <alignment vertical="center"/>
    </xf>
    <xf numFmtId="1" fontId="11" fillId="0" borderId="36" xfId="0" applyNumberFormat="1" applyFont="1" applyBorder="1" applyAlignment="1">
      <alignment vertical="center"/>
    </xf>
    <xf numFmtId="170" fontId="13" fillId="0" borderId="27" xfId="0" applyNumberFormat="1" applyFont="1" applyBorder="1" applyAlignment="1">
      <alignment vertical="center"/>
    </xf>
    <xf numFmtId="49" fontId="19" fillId="0" borderId="104" xfId="0" applyNumberFormat="1" applyFont="1" applyFill="1" applyBorder="1" applyAlignment="1" applyProtection="1">
      <alignment horizontal="centerContinuous" vertical="center"/>
      <protection locked="0"/>
    </xf>
    <xf numFmtId="1" fontId="19" fillId="0" borderId="56" xfId="0" applyNumberFormat="1" applyFont="1" applyFill="1" applyBorder="1" applyAlignment="1" applyProtection="1">
      <alignment horizontal="left" vertical="center" wrapText="1"/>
      <protection locked="0"/>
    </xf>
    <xf numFmtId="3" fontId="19" fillId="0" borderId="56" xfId="0" applyNumberFormat="1" applyFont="1" applyBorder="1" applyAlignment="1">
      <alignment vertical="center"/>
    </xf>
    <xf numFmtId="3" fontId="19" fillId="0" borderId="108" xfId="0" applyNumberFormat="1" applyFont="1" applyBorder="1" applyAlignment="1">
      <alignment vertical="center"/>
    </xf>
    <xf numFmtId="3" fontId="19" fillId="0" borderId="82" xfId="0" applyNumberFormat="1" applyFont="1" applyBorder="1" applyAlignment="1">
      <alignment vertical="center"/>
    </xf>
    <xf numFmtId="2" fontId="11" fillId="0" borderId="110" xfId="0" applyNumberFormat="1" applyFont="1" applyBorder="1" applyAlignment="1">
      <alignment vertical="center"/>
    </xf>
    <xf numFmtId="3" fontId="19" fillId="0" borderId="104" xfId="0" applyNumberFormat="1" applyFont="1" applyBorder="1" applyAlignment="1">
      <alignment vertical="center"/>
    </xf>
    <xf numFmtId="3" fontId="19" fillId="0" borderId="105" xfId="0" applyNumberFormat="1" applyFont="1" applyBorder="1" applyAlignment="1">
      <alignment vertical="center"/>
    </xf>
    <xf numFmtId="1" fontId="19" fillId="0" borderId="106" xfId="0" applyNumberFormat="1" applyFont="1" applyBorder="1" applyAlignment="1">
      <alignment vertical="center"/>
    </xf>
    <xf numFmtId="170" fontId="7" fillId="0" borderId="82" xfId="0" applyNumberFormat="1" applyFont="1" applyBorder="1" applyAlignment="1">
      <alignment vertical="center"/>
    </xf>
    <xf numFmtId="49" fontId="11" fillId="0" borderId="104" xfId="0" applyNumberFormat="1" applyFont="1" applyFill="1" applyBorder="1" applyAlignment="1" applyProtection="1">
      <alignment horizontal="centerContinuous" vertical="center"/>
      <protection locked="0"/>
    </xf>
    <xf numFmtId="1" fontId="11" fillId="0" borderId="56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56" xfId="0" applyNumberFormat="1" applyFont="1" applyBorder="1" applyAlignment="1">
      <alignment vertical="center"/>
    </xf>
    <xf numFmtId="3" fontId="11" fillId="0" borderId="108" xfId="0" applyNumberFormat="1" applyFont="1" applyBorder="1" applyAlignment="1">
      <alignment vertical="center"/>
    </xf>
    <xf numFmtId="3" fontId="11" fillId="0" borderId="82" xfId="0" applyNumberFormat="1" applyFont="1" applyBorder="1" applyAlignment="1">
      <alignment vertical="center"/>
    </xf>
    <xf numFmtId="3" fontId="11" fillId="0" borderId="104" xfId="0" applyNumberFormat="1" applyFont="1" applyBorder="1" applyAlignment="1">
      <alignment vertical="center"/>
    </xf>
    <xf numFmtId="3" fontId="11" fillId="0" borderId="105" xfId="0" applyNumberFormat="1" applyFont="1" applyBorder="1" applyAlignment="1">
      <alignment vertical="center"/>
    </xf>
    <xf numFmtId="1" fontId="11" fillId="0" borderId="106" xfId="0" applyNumberFormat="1" applyFont="1" applyBorder="1" applyAlignment="1">
      <alignment vertical="center"/>
    </xf>
    <xf numFmtId="170" fontId="13" fillId="0" borderId="82" xfId="0" applyNumberFormat="1" applyFont="1" applyBorder="1" applyAlignment="1">
      <alignment vertical="center"/>
    </xf>
    <xf numFmtId="170" fontId="11" fillId="0" borderId="71" xfId="0" applyNumberFormat="1" applyFont="1" applyBorder="1" applyAlignment="1">
      <alignment vertical="center"/>
    </xf>
    <xf numFmtId="170" fontId="11" fillId="0" borderId="41" xfId="0" applyNumberFormat="1" applyFont="1" applyBorder="1" applyAlignment="1">
      <alignment vertical="center"/>
    </xf>
    <xf numFmtId="49" fontId="19" fillId="0" borderId="97" xfId="0" applyNumberFormat="1" applyFont="1" applyFill="1" applyBorder="1" applyAlignment="1" applyProtection="1">
      <alignment horizontal="centerContinuous" vertical="center"/>
      <protection locked="0"/>
    </xf>
    <xf numFmtId="1" fontId="19" fillId="0" borderId="46" xfId="0" applyNumberFormat="1" applyFont="1" applyFill="1" applyBorder="1" applyAlignment="1" applyProtection="1">
      <alignment horizontal="left" vertical="center" wrapText="1"/>
      <protection locked="0"/>
    </xf>
    <xf numFmtId="3" fontId="19" fillId="0" borderId="46" xfId="0" applyNumberFormat="1" applyFont="1" applyBorder="1" applyAlignment="1">
      <alignment vertical="center"/>
    </xf>
    <xf numFmtId="3" fontId="19" fillId="0" borderId="103" xfId="0" applyNumberFormat="1" applyFont="1" applyBorder="1" applyAlignment="1">
      <alignment vertical="center"/>
    </xf>
    <xf numFmtId="3" fontId="19" fillId="0" borderId="68" xfId="0" applyNumberFormat="1" applyFont="1" applyBorder="1" applyAlignment="1">
      <alignment vertical="center"/>
    </xf>
    <xf numFmtId="170" fontId="19" fillId="0" borderId="80" xfId="0" applyNumberFormat="1" applyFont="1" applyBorder="1" applyAlignment="1">
      <alignment vertical="center"/>
    </xf>
    <xf numFmtId="2" fontId="11" fillId="0" borderId="66" xfId="0" applyNumberFormat="1" applyFont="1" applyBorder="1" applyAlignment="1">
      <alignment vertical="center"/>
    </xf>
    <xf numFmtId="3" fontId="19" fillId="0" borderId="97" xfId="0" applyNumberFormat="1" applyFont="1" applyBorder="1" applyAlignment="1">
      <alignment vertical="center"/>
    </xf>
    <xf numFmtId="3" fontId="19" fillId="0" borderId="102" xfId="0" applyNumberFormat="1" applyFont="1" applyBorder="1" applyAlignment="1">
      <alignment vertical="center"/>
    </xf>
    <xf numFmtId="1" fontId="19" fillId="0" borderId="97" xfId="0" applyNumberFormat="1" applyFont="1" applyFill="1" applyBorder="1" applyAlignment="1" applyProtection="1">
      <alignment horizontal="centerContinuous" vertical="center"/>
      <protection locked="0"/>
    </xf>
    <xf numFmtId="2" fontId="11" fillId="0" borderId="24" xfId="0" applyNumberFormat="1" applyFont="1" applyBorder="1" applyAlignment="1">
      <alignment vertical="center"/>
    </xf>
    <xf numFmtId="1" fontId="19" fillId="0" borderId="67" xfId="0" applyNumberFormat="1" applyFont="1" applyBorder="1" applyAlignment="1">
      <alignment vertical="center"/>
    </xf>
    <xf numFmtId="170" fontId="7" fillId="0" borderId="20" xfId="0" applyNumberFormat="1" applyFont="1" applyBorder="1" applyAlignment="1">
      <alignment vertical="center"/>
    </xf>
    <xf numFmtId="1" fontId="11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10" xfId="19" applyNumberFormat="1" applyFont="1" applyFill="1" applyBorder="1" applyAlignment="1" applyProtection="1">
      <alignment vertical="center" wrapText="1"/>
      <protection locked="0"/>
    </xf>
    <xf numFmtId="1" fontId="19" fillId="0" borderId="12" xfId="0" applyNumberFormat="1" applyFont="1" applyBorder="1" applyAlignment="1">
      <alignment vertical="center"/>
    </xf>
    <xf numFmtId="170" fontId="7" fillId="0" borderId="9" xfId="0" applyNumberFormat="1" applyFont="1" applyBorder="1" applyAlignment="1">
      <alignment vertical="center"/>
    </xf>
    <xf numFmtId="1" fontId="11" fillId="0" borderId="25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28" xfId="19" applyNumberFormat="1" applyFont="1" applyFill="1" applyBorder="1" applyAlignment="1" applyProtection="1">
      <alignment horizontal="left" vertical="center" wrapText="1"/>
      <protection locked="0"/>
    </xf>
    <xf numFmtId="1" fontId="19" fillId="0" borderId="36" xfId="0" applyNumberFormat="1" applyFont="1" applyBorder="1" applyAlignment="1">
      <alignment vertical="center"/>
    </xf>
    <xf numFmtId="170" fontId="7" fillId="0" borderId="27" xfId="0" applyNumberFormat="1" applyFont="1" applyBorder="1" applyAlignment="1">
      <alignment vertical="center"/>
    </xf>
    <xf numFmtId="1" fontId="19" fillId="0" borderId="104" xfId="0" applyNumberFormat="1" applyFont="1" applyFill="1" applyBorder="1" applyAlignment="1" applyProtection="1">
      <alignment horizontal="centerContinuous" vertical="center"/>
      <protection locked="0"/>
    </xf>
    <xf numFmtId="164" fontId="19" fillId="0" borderId="56" xfId="19" applyNumberFormat="1" applyFont="1" applyFill="1" applyBorder="1" applyAlignment="1" applyProtection="1">
      <alignment horizontal="left" vertical="center" wrapText="1"/>
      <protection locked="0"/>
    </xf>
    <xf numFmtId="170" fontId="19" fillId="0" borderId="56" xfId="0" applyNumberFormat="1" applyFont="1" applyBorder="1" applyAlignment="1">
      <alignment vertical="center"/>
    </xf>
    <xf numFmtId="164" fontId="19" fillId="0" borderId="46" xfId="19" applyNumberFormat="1" applyFont="1" applyFill="1" applyBorder="1" applyAlignment="1" applyProtection="1">
      <alignment horizontal="left" vertical="center" wrapText="1"/>
      <protection locked="0"/>
    </xf>
    <xf numFmtId="2" fontId="11" fillId="0" borderId="105" xfId="0" applyNumberFormat="1" applyFont="1" applyBorder="1" applyAlignment="1">
      <alignment vertical="center"/>
    </xf>
    <xf numFmtId="164" fontId="19" fillId="0" borderId="46" xfId="19" applyNumberFormat="1" applyFont="1" applyFill="1" applyBorder="1" applyAlignment="1" applyProtection="1">
      <alignment vertical="center" wrapText="1"/>
      <protection locked="0"/>
    </xf>
    <xf numFmtId="3" fontId="13" fillId="0" borderId="9" xfId="0" applyNumberFormat="1" applyFont="1" applyBorder="1" applyAlignment="1">
      <alignment vertical="center"/>
    </xf>
    <xf numFmtId="3" fontId="45" fillId="0" borderId="110" xfId="0" applyNumberFormat="1" applyFont="1" applyBorder="1" applyAlignment="1">
      <alignment/>
    </xf>
    <xf numFmtId="3" fontId="45" fillId="0" borderId="82" xfId="0" applyNumberFormat="1" applyFont="1" applyBorder="1" applyAlignment="1">
      <alignment/>
    </xf>
    <xf numFmtId="164" fontId="11" fillId="0" borderId="28" xfId="19" applyNumberFormat="1" applyFont="1" applyFill="1" applyBorder="1" applyAlignment="1" applyProtection="1">
      <alignment vertical="center" wrapText="1"/>
      <protection locked="0"/>
    </xf>
    <xf numFmtId="3" fontId="11" fillId="0" borderId="73" xfId="0" applyNumberFormat="1" applyFont="1" applyBorder="1" applyAlignment="1">
      <alignment vertical="center"/>
    </xf>
    <xf numFmtId="3" fontId="11" fillId="0" borderId="74" xfId="0" applyNumberFormat="1" applyFont="1" applyBorder="1" applyAlignment="1">
      <alignment vertical="center"/>
    </xf>
    <xf numFmtId="3" fontId="11" fillId="0" borderId="100" xfId="0" applyNumberFormat="1" applyFont="1" applyBorder="1" applyAlignment="1">
      <alignment vertical="center"/>
    </xf>
    <xf numFmtId="3" fontId="11" fillId="0" borderId="94" xfId="0" applyNumberFormat="1" applyFont="1" applyBorder="1" applyAlignment="1">
      <alignment vertical="center"/>
    </xf>
    <xf numFmtId="1" fontId="11" fillId="0" borderId="96" xfId="0" applyNumberFormat="1" applyFont="1" applyBorder="1" applyAlignment="1">
      <alignment vertical="center"/>
    </xf>
    <xf numFmtId="3" fontId="13" fillId="0" borderId="27" xfId="0" applyNumberFormat="1" applyFont="1" applyBorder="1" applyAlignment="1">
      <alignment vertical="center"/>
    </xf>
    <xf numFmtId="164" fontId="19" fillId="0" borderId="56" xfId="19" applyNumberFormat="1" applyFont="1" applyFill="1" applyBorder="1" applyAlignment="1" applyProtection="1">
      <alignment vertical="center" wrapText="1"/>
      <protection locked="0"/>
    </xf>
    <xf numFmtId="3" fontId="19" fillId="0" borderId="106" xfId="0" applyNumberFormat="1" applyFont="1" applyBorder="1" applyAlignment="1">
      <alignment vertical="center"/>
    </xf>
    <xf numFmtId="170" fontId="19" fillId="0" borderId="110" xfId="0" applyNumberFormat="1" applyFont="1" applyBorder="1" applyAlignment="1">
      <alignment vertical="center"/>
    </xf>
    <xf numFmtId="1" fontId="11" fillId="0" borderId="104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56" xfId="19" applyNumberFormat="1" applyFont="1" applyFill="1" applyBorder="1" applyAlignment="1" applyProtection="1">
      <alignment horizontal="left" vertical="center" wrapText="1"/>
      <protection locked="0"/>
    </xf>
    <xf numFmtId="3" fontId="11" fillId="0" borderId="110" xfId="0" applyNumberFormat="1" applyFont="1" applyBorder="1" applyAlignment="1">
      <alignment vertical="center"/>
    </xf>
    <xf numFmtId="170" fontId="11" fillId="0" borderId="56" xfId="0" applyNumberFormat="1" applyFont="1" applyBorder="1" applyAlignment="1">
      <alignment vertical="center"/>
    </xf>
    <xf numFmtId="170" fontId="11" fillId="0" borderId="110" xfId="0" applyNumberFormat="1" applyFont="1" applyBorder="1" applyAlignment="1">
      <alignment vertical="center"/>
    </xf>
    <xf numFmtId="1" fontId="60" fillId="0" borderId="104" xfId="0" applyNumberFormat="1" applyFont="1" applyFill="1" applyBorder="1" applyAlignment="1" applyProtection="1">
      <alignment horizontal="centerContinuous" vertical="center"/>
      <protection locked="0"/>
    </xf>
    <xf numFmtId="164" fontId="60" fillId="0" borderId="56" xfId="19" applyNumberFormat="1" applyFont="1" applyFill="1" applyBorder="1" applyAlignment="1" applyProtection="1">
      <alignment vertical="center" wrapText="1"/>
      <protection locked="0"/>
    </xf>
    <xf numFmtId="3" fontId="60" fillId="0" borderId="56" xfId="0" applyNumberFormat="1" applyFont="1" applyBorder="1" applyAlignment="1">
      <alignment vertical="center"/>
    </xf>
    <xf numFmtId="3" fontId="60" fillId="0" borderId="106" xfId="0" applyNumberFormat="1" applyFont="1" applyBorder="1" applyAlignment="1">
      <alignment vertical="center"/>
    </xf>
    <xf numFmtId="2" fontId="69" fillId="0" borderId="105" xfId="0" applyNumberFormat="1" applyFont="1" applyBorder="1" applyAlignment="1">
      <alignment vertical="center"/>
    </xf>
    <xf numFmtId="3" fontId="60" fillId="0" borderId="104" xfId="0" applyNumberFormat="1" applyFont="1" applyBorder="1" applyAlignment="1">
      <alignment vertical="center"/>
    </xf>
    <xf numFmtId="3" fontId="60" fillId="0" borderId="105" xfId="0" applyNumberFormat="1" applyFont="1" applyBorder="1" applyAlignment="1">
      <alignment vertical="center"/>
    </xf>
    <xf numFmtId="1" fontId="60" fillId="0" borderId="36" xfId="0" applyNumberFormat="1" applyFont="1" applyBorder="1" applyAlignment="1">
      <alignment vertical="center"/>
    </xf>
    <xf numFmtId="170" fontId="17" fillId="0" borderId="27" xfId="0" applyNumberFormat="1" applyFont="1" applyBorder="1" applyAlignment="1">
      <alignment vertical="center"/>
    </xf>
    <xf numFmtId="2" fontId="69" fillId="0" borderId="30" xfId="0" applyNumberFormat="1" applyFont="1" applyBorder="1" applyAlignment="1">
      <alignment vertical="center"/>
    </xf>
    <xf numFmtId="170" fontId="11" fillId="0" borderId="21" xfId="0" applyNumberFormat="1" applyFont="1" applyBorder="1" applyAlignment="1">
      <alignment vertical="center"/>
    </xf>
    <xf numFmtId="170" fontId="11" fillId="0" borderId="24" xfId="0" applyNumberFormat="1" applyFont="1" applyBorder="1" applyAlignment="1">
      <alignment vertical="center"/>
    </xf>
    <xf numFmtId="2" fontId="19" fillId="0" borderId="26" xfId="0" applyNumberFormat="1" applyFont="1" applyBorder="1" applyAlignment="1">
      <alignment vertical="center"/>
    </xf>
    <xf numFmtId="2" fontId="11" fillId="0" borderId="26" xfId="0" applyNumberFormat="1" applyFont="1" applyBorder="1" applyAlignment="1">
      <alignment vertical="center"/>
    </xf>
    <xf numFmtId="3" fontId="19" fillId="0" borderId="104" xfId="0" applyNumberFormat="1" applyFont="1" applyBorder="1" applyAlignment="1">
      <alignment vertical="center" wrapText="1"/>
    </xf>
    <xf numFmtId="3" fontId="19" fillId="0" borderId="56" xfId="0" applyNumberFormat="1" applyFont="1" applyBorder="1" applyAlignment="1">
      <alignment vertical="center" wrapText="1"/>
    </xf>
    <xf numFmtId="3" fontId="45" fillId="0" borderId="0" xfId="0" applyNumberFormat="1" applyFont="1" applyAlignment="1">
      <alignment vertical="center"/>
    </xf>
    <xf numFmtId="170" fontId="60" fillId="0" borderId="56" xfId="0" applyNumberFormat="1" applyFont="1" applyBorder="1" applyAlignment="1">
      <alignment vertical="center"/>
    </xf>
    <xf numFmtId="3" fontId="60" fillId="0" borderId="104" xfId="0" applyNumberFormat="1" applyFont="1" applyBorder="1" applyAlignment="1">
      <alignment vertical="center" wrapText="1"/>
    </xf>
    <xf numFmtId="3" fontId="60" fillId="0" borderId="56" xfId="0" applyNumberFormat="1" applyFont="1" applyBorder="1" applyAlignment="1">
      <alignment vertical="center" wrapText="1"/>
    </xf>
    <xf numFmtId="3" fontId="68" fillId="0" borderId="0" xfId="0" applyNumberFormat="1" applyFont="1" applyAlignment="1">
      <alignment vertical="center"/>
    </xf>
    <xf numFmtId="0" fontId="60" fillId="0" borderId="56" xfId="0" applyFont="1" applyBorder="1" applyAlignment="1">
      <alignment horizontal="left" vertical="center" wrapText="1"/>
    </xf>
    <xf numFmtId="3" fontId="60" fillId="0" borderId="108" xfId="0" applyNumberFormat="1" applyFont="1" applyBorder="1" applyAlignment="1">
      <alignment vertical="center"/>
    </xf>
    <xf numFmtId="3" fontId="60" fillId="0" borderId="82" xfId="0" applyNumberFormat="1" applyFont="1" applyBorder="1" applyAlignment="1">
      <alignment vertical="center"/>
    </xf>
    <xf numFmtId="0" fontId="11" fillId="0" borderId="56" xfId="0" applyFont="1" applyBorder="1" applyAlignment="1">
      <alignment horizontal="left" vertical="center" wrapText="1"/>
    </xf>
    <xf numFmtId="0" fontId="19" fillId="0" borderId="56" xfId="0" applyFont="1" applyBorder="1" applyAlignment="1">
      <alignment horizontal="left" vertical="center" wrapText="1"/>
    </xf>
    <xf numFmtId="3" fontId="11" fillId="0" borderId="56" xfId="19" applyNumberFormat="1" applyFont="1" applyFill="1" applyBorder="1" applyAlignment="1" applyProtection="1">
      <alignment vertical="center" wrapText="1"/>
      <protection locked="0"/>
    </xf>
    <xf numFmtId="2" fontId="19" fillId="0" borderId="105" xfId="0" applyNumberFormat="1" applyFont="1" applyBorder="1" applyAlignment="1">
      <alignment vertical="center"/>
    </xf>
    <xf numFmtId="3" fontId="19" fillId="0" borderId="110" xfId="0" applyNumberFormat="1" applyFont="1" applyBorder="1" applyAlignment="1">
      <alignment vertical="center"/>
    </xf>
    <xf numFmtId="164" fontId="11" fillId="0" borderId="56" xfId="19" applyNumberFormat="1" applyFont="1" applyFill="1" applyBorder="1" applyAlignment="1" applyProtection="1">
      <alignment vertical="center" wrapText="1"/>
      <protection locked="0"/>
    </xf>
    <xf numFmtId="1" fontId="19" fillId="0" borderId="104" xfId="0" applyNumberFormat="1" applyFont="1" applyFill="1" applyBorder="1" applyAlignment="1" applyProtection="1">
      <alignment horizontal="center" vertical="center"/>
      <protection locked="0"/>
    </xf>
    <xf numFmtId="170" fontId="7" fillId="0" borderId="68" xfId="0" applyNumberFormat="1" applyFont="1" applyBorder="1" applyAlignment="1">
      <alignment vertical="center"/>
    </xf>
    <xf numFmtId="2" fontId="11" fillId="0" borderId="8" xfId="0" applyNumberFormat="1" applyFont="1" applyBorder="1" applyAlignment="1">
      <alignment vertical="center"/>
    </xf>
    <xf numFmtId="3" fontId="11" fillId="0" borderId="33" xfId="0" applyNumberFormat="1" applyFont="1" applyBorder="1" applyAlignment="1">
      <alignment vertical="center"/>
    </xf>
    <xf numFmtId="3" fontId="11" fillId="0" borderId="121" xfId="0" applyNumberFormat="1" applyFont="1" applyBorder="1" applyAlignment="1">
      <alignment vertical="center"/>
    </xf>
    <xf numFmtId="3" fontId="11" fillId="0" borderId="106" xfId="0" applyNumberFormat="1" applyFont="1" applyBorder="1" applyAlignment="1">
      <alignment vertical="center"/>
    </xf>
    <xf numFmtId="170" fontId="13" fillId="0" borderId="20" xfId="0" applyNumberFormat="1" applyFont="1" applyBorder="1" applyAlignment="1">
      <alignment vertical="center"/>
    </xf>
    <xf numFmtId="1" fontId="11" fillId="0" borderId="18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21" xfId="19" applyNumberFormat="1" applyFont="1" applyFill="1" applyBorder="1" applyAlignment="1" applyProtection="1">
      <alignment vertical="center" wrapText="1"/>
      <protection locked="0"/>
    </xf>
    <xf numFmtId="3" fontId="11" fillId="0" borderId="107" xfId="0" applyNumberFormat="1" applyFont="1" applyBorder="1" applyAlignment="1">
      <alignment vertical="center"/>
    </xf>
    <xf numFmtId="3" fontId="11" fillId="0" borderId="20" xfId="0" applyNumberFormat="1" applyFont="1" applyBorder="1" applyAlignment="1">
      <alignment vertical="center"/>
    </xf>
    <xf numFmtId="3" fontId="11" fillId="0" borderId="21" xfId="0" applyNumberFormat="1" applyFont="1" applyBorder="1" applyAlignment="1">
      <alignment vertical="center"/>
    </xf>
    <xf numFmtId="1" fontId="11" fillId="0" borderId="0" xfId="0" applyNumberFormat="1" applyFont="1" applyBorder="1" applyAlignment="1">
      <alignment vertical="center"/>
    </xf>
    <xf numFmtId="3" fontId="11" fillId="0" borderId="18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3" fontId="19" fillId="0" borderId="121" xfId="0" applyNumberFormat="1" applyFont="1" applyBorder="1" applyAlignment="1">
      <alignment vertical="center"/>
    </xf>
    <xf numFmtId="3" fontId="19" fillId="0" borderId="80" xfId="0" applyNumberFormat="1" applyFont="1" applyBorder="1" applyAlignment="1">
      <alignment vertical="center"/>
    </xf>
    <xf numFmtId="3" fontId="19" fillId="0" borderId="119" xfId="0" applyNumberFormat="1" applyFont="1" applyBorder="1" applyAlignment="1">
      <alignment vertical="center"/>
    </xf>
    <xf numFmtId="2" fontId="11" fillId="0" borderId="112" xfId="0" applyNumberFormat="1" applyFont="1" applyBorder="1" applyAlignment="1">
      <alignment vertical="center"/>
    </xf>
    <xf numFmtId="3" fontId="19" fillId="0" borderId="122" xfId="0" applyNumberFormat="1" applyFont="1" applyBorder="1" applyAlignment="1">
      <alignment vertical="center"/>
    </xf>
    <xf numFmtId="1" fontId="19" fillId="0" borderId="123" xfId="0" applyNumberFormat="1" applyFont="1" applyBorder="1" applyAlignment="1">
      <alignment vertical="center"/>
    </xf>
    <xf numFmtId="3" fontId="19" fillId="0" borderId="115" xfId="0" applyNumberFormat="1" applyFont="1" applyBorder="1" applyAlignment="1">
      <alignment vertical="center"/>
    </xf>
    <xf numFmtId="3" fontId="19" fillId="0" borderId="116" xfId="0" applyNumberFormat="1" applyFont="1" applyBorder="1" applyAlignment="1">
      <alignment vertical="center"/>
    </xf>
    <xf numFmtId="3" fontId="11" fillId="0" borderId="99" xfId="0" applyNumberFormat="1" applyFont="1" applyBorder="1" applyAlignment="1">
      <alignment vertical="center"/>
    </xf>
    <xf numFmtId="3" fontId="11" fillId="0" borderId="96" xfId="0" applyNumberFormat="1" applyFont="1" applyBorder="1" applyAlignment="1">
      <alignment vertical="center"/>
    </xf>
    <xf numFmtId="3" fontId="60" fillId="0" borderId="110" xfId="0" applyNumberFormat="1" applyFont="1" applyBorder="1" applyAlignment="1">
      <alignment vertical="center"/>
    </xf>
    <xf numFmtId="1" fontId="69" fillId="0" borderId="106" xfId="0" applyNumberFormat="1" applyFont="1" applyBorder="1" applyAlignment="1">
      <alignment vertical="center"/>
    </xf>
    <xf numFmtId="170" fontId="17" fillId="0" borderId="20" xfId="0" applyNumberFormat="1" applyFont="1" applyBorder="1" applyAlignment="1">
      <alignment vertical="center"/>
    </xf>
    <xf numFmtId="1" fontId="60" fillId="0" borderId="106" xfId="0" applyNumberFormat="1" applyFont="1" applyBorder="1" applyAlignment="1">
      <alignment vertical="center"/>
    </xf>
    <xf numFmtId="3" fontId="11" fillId="0" borderId="124" xfId="0" applyNumberFormat="1" applyFont="1" applyBorder="1" applyAlignment="1">
      <alignment vertical="center"/>
    </xf>
    <xf numFmtId="2" fontId="19" fillId="0" borderId="30" xfId="0" applyNumberFormat="1" applyFont="1" applyBorder="1" applyAlignment="1">
      <alignment vertical="center"/>
    </xf>
    <xf numFmtId="170" fontId="11" fillId="0" borderId="82" xfId="0" applyNumberFormat="1" applyFont="1" applyBorder="1" applyAlignment="1">
      <alignment vertical="center"/>
    </xf>
    <xf numFmtId="1" fontId="60" fillId="0" borderId="97" xfId="0" applyNumberFormat="1" applyFont="1" applyFill="1" applyBorder="1" applyAlignment="1" applyProtection="1">
      <alignment horizontal="centerContinuous" vertical="center"/>
      <protection locked="0"/>
    </xf>
    <xf numFmtId="164" fontId="60" fillId="0" borderId="46" xfId="19" applyNumberFormat="1" applyFont="1" applyFill="1" applyBorder="1" applyAlignment="1" applyProtection="1">
      <alignment vertical="center" wrapText="1"/>
      <protection locked="0"/>
    </xf>
    <xf numFmtId="3" fontId="60" fillId="0" borderId="46" xfId="0" applyNumberFormat="1" applyFont="1" applyBorder="1" applyAlignment="1">
      <alignment vertical="center"/>
    </xf>
    <xf numFmtId="3" fontId="60" fillId="0" borderId="103" xfId="0" applyNumberFormat="1" applyFont="1" applyBorder="1" applyAlignment="1">
      <alignment vertical="center"/>
    </xf>
    <xf numFmtId="3" fontId="60" fillId="0" borderId="97" xfId="0" applyNumberFormat="1" applyFont="1" applyBorder="1" applyAlignment="1">
      <alignment vertical="center"/>
    </xf>
    <xf numFmtId="3" fontId="60" fillId="0" borderId="102" xfId="0" applyNumberFormat="1" applyFont="1" applyBorder="1" applyAlignment="1">
      <alignment vertical="center"/>
    </xf>
    <xf numFmtId="3" fontId="11" fillId="0" borderId="32" xfId="0" applyNumberFormat="1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0" fontId="45" fillId="0" borderId="110" xfId="0" applyFont="1" applyBorder="1" applyAlignment="1">
      <alignment/>
    </xf>
    <xf numFmtId="3" fontId="45" fillId="0" borderId="106" xfId="0" applyNumberFormat="1" applyFont="1" applyBorder="1" applyAlignment="1">
      <alignment/>
    </xf>
    <xf numFmtId="170" fontId="13" fillId="0" borderId="114" xfId="0" applyNumberFormat="1" applyFont="1" applyBorder="1" applyAlignment="1">
      <alignment vertical="center"/>
    </xf>
    <xf numFmtId="170" fontId="13" fillId="0" borderId="15" xfId="0" applyNumberFormat="1" applyFont="1" applyBorder="1" applyAlignment="1">
      <alignment vertical="center"/>
    </xf>
    <xf numFmtId="3" fontId="19" fillId="0" borderId="67" xfId="0" applyNumberFormat="1" applyFont="1" applyBorder="1" applyAlignment="1">
      <alignment vertical="center"/>
    </xf>
    <xf numFmtId="3" fontId="11" fillId="0" borderId="46" xfId="0" applyNumberFormat="1" applyFont="1" applyBorder="1" applyAlignment="1">
      <alignment vertical="center"/>
    </xf>
    <xf numFmtId="3" fontId="11" fillId="0" borderId="102" xfId="0" applyNumberFormat="1" applyFont="1" applyBorder="1" applyAlignment="1">
      <alignment vertical="center"/>
    </xf>
    <xf numFmtId="1" fontId="19" fillId="0" borderId="115" xfId="0" applyNumberFormat="1" applyFont="1" applyFill="1" applyBorder="1" applyAlignment="1" applyProtection="1">
      <alignment horizontal="centerContinuous" vertical="center"/>
      <protection locked="0"/>
    </xf>
    <xf numFmtId="3" fontId="19" fillId="0" borderId="123" xfId="0" applyNumberFormat="1" applyFont="1" applyBorder="1" applyAlignment="1">
      <alignment vertical="center"/>
    </xf>
    <xf numFmtId="3" fontId="11" fillId="0" borderId="36" xfId="0" applyNumberFormat="1" applyFont="1" applyBorder="1" applyAlignment="1">
      <alignment vertical="center"/>
    </xf>
    <xf numFmtId="170" fontId="11" fillId="0" borderId="74" xfId="0" applyNumberFormat="1" applyFont="1" applyBorder="1" applyAlignment="1">
      <alignment vertical="center"/>
    </xf>
    <xf numFmtId="170" fontId="11" fillId="0" borderId="16" xfId="0" applyNumberFormat="1" applyFont="1" applyBorder="1" applyAlignment="1">
      <alignment vertical="center"/>
    </xf>
    <xf numFmtId="170" fontId="11" fillId="0" borderId="31" xfId="0" applyNumberFormat="1" applyFont="1" applyBorder="1" applyAlignment="1">
      <alignment vertical="center"/>
    </xf>
    <xf numFmtId="0" fontId="23" fillId="0" borderId="104" xfId="0" applyFont="1" applyBorder="1" applyAlignment="1">
      <alignment horizontal="center" vertical="center"/>
    </xf>
    <xf numFmtId="164" fontId="11" fillId="0" borderId="56" xfId="0" applyNumberFormat="1" applyFont="1" applyBorder="1" applyAlignment="1">
      <alignment vertical="center" wrapText="1"/>
    </xf>
    <xf numFmtId="3" fontId="13" fillId="0" borderId="82" xfId="0" applyNumberFormat="1" applyFont="1" applyBorder="1" applyAlignment="1">
      <alignment vertical="center"/>
    </xf>
    <xf numFmtId="3" fontId="19" fillId="0" borderId="36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170" fontId="19" fillId="0" borderId="21" xfId="0" applyNumberFormat="1" applyFont="1" applyBorder="1" applyAlignment="1">
      <alignment vertical="center"/>
    </xf>
    <xf numFmtId="170" fontId="19" fillId="0" borderId="24" xfId="0" applyNumberFormat="1" applyFont="1" applyBorder="1" applyAlignment="1">
      <alignment vertical="center"/>
    </xf>
    <xf numFmtId="1" fontId="11" fillId="0" borderId="104" xfId="0" applyNumberFormat="1" applyFont="1" applyBorder="1" applyAlignment="1">
      <alignment horizontal="centerContinuous" vertical="center"/>
    </xf>
    <xf numFmtId="1" fontId="19" fillId="0" borderId="104" xfId="0" applyNumberFormat="1" applyFont="1" applyBorder="1" applyAlignment="1">
      <alignment horizontal="centerContinuous" vertical="center"/>
    </xf>
    <xf numFmtId="0" fontId="45" fillId="0" borderId="107" xfId="0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3" xfId="0" applyFont="1" applyBorder="1" applyAlignment="1">
      <alignment/>
    </xf>
    <xf numFmtId="2" fontId="45" fillId="0" borderId="24" xfId="0" applyNumberFormat="1" applyFont="1" applyBorder="1" applyAlignment="1">
      <alignment/>
    </xf>
    <xf numFmtId="0" fontId="70" fillId="0" borderId="0" xfId="0" applyFont="1" applyAlignment="1">
      <alignment/>
    </xf>
    <xf numFmtId="0" fontId="0" fillId="0" borderId="10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0" xfId="0" applyFont="1" applyAlignment="1">
      <alignment/>
    </xf>
    <xf numFmtId="0" fontId="0" fillId="0" borderId="107" xfId="0" applyBorder="1" applyAlignment="1">
      <alignment/>
    </xf>
    <xf numFmtId="3" fontId="0" fillId="0" borderId="0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2" fontId="45" fillId="0" borderId="24" xfId="0" applyNumberFormat="1" applyFont="1" applyBorder="1" applyAlignment="1">
      <alignment vertical="center"/>
    </xf>
    <xf numFmtId="3" fontId="0" fillId="0" borderId="107" xfId="0" applyNumberFormat="1" applyBorder="1" applyAlignment="1">
      <alignment vertical="center"/>
    </xf>
    <xf numFmtId="170" fontId="1" fillId="0" borderId="0" xfId="0" applyNumberFormat="1" applyFont="1" applyAlignment="1">
      <alignment vertical="center"/>
    </xf>
    <xf numFmtId="0" fontId="11" fillId="0" borderId="104" xfId="0" applyFont="1" applyBorder="1" applyAlignment="1">
      <alignment horizontal="center"/>
    </xf>
    <xf numFmtId="0" fontId="11" fillId="0" borderId="56" xfId="0" applyFont="1" applyBorder="1" applyAlignment="1">
      <alignment/>
    </xf>
    <xf numFmtId="0" fontId="19" fillId="0" borderId="25" xfId="0" applyFont="1" applyBorder="1" applyAlignment="1">
      <alignment horizontal="center" vertical="center"/>
    </xf>
    <xf numFmtId="0" fontId="19" fillId="0" borderId="28" xfId="0" applyFont="1" applyBorder="1" applyAlignment="1">
      <alignment wrapText="1"/>
    </xf>
    <xf numFmtId="3" fontId="19" fillId="0" borderId="28" xfId="0" applyNumberFormat="1" applyFont="1" applyBorder="1" applyAlignment="1">
      <alignment vertical="center"/>
    </xf>
    <xf numFmtId="3" fontId="19" fillId="0" borderId="29" xfId="0" applyNumberFormat="1" applyFont="1" applyBorder="1" applyAlignment="1">
      <alignment vertical="center"/>
    </xf>
    <xf numFmtId="3" fontId="19" fillId="0" borderId="27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0" fontId="19" fillId="0" borderId="25" xfId="0" applyFont="1" applyBorder="1" applyAlignment="1">
      <alignment horizontal="center"/>
    </xf>
    <xf numFmtId="0" fontId="11" fillId="0" borderId="25" xfId="0" applyFont="1" applyBorder="1" applyAlignment="1">
      <alignment horizontal="center" vertical="center"/>
    </xf>
    <xf numFmtId="0" fontId="11" fillId="0" borderId="28" xfId="0" applyFont="1" applyBorder="1" applyAlignment="1">
      <alignment vertical="center" wrapText="1"/>
    </xf>
    <xf numFmtId="3" fontId="9" fillId="0" borderId="28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3" fontId="19" fillId="0" borderId="25" xfId="0" applyNumberFormat="1" applyFont="1" applyBorder="1" applyAlignment="1">
      <alignment vertical="center"/>
    </xf>
    <xf numFmtId="3" fontId="19" fillId="0" borderId="26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1" fontId="19" fillId="0" borderId="18" xfId="0" applyNumberFormat="1" applyFont="1" applyFill="1" applyBorder="1" applyAlignment="1" applyProtection="1">
      <alignment horizontal="centerContinuous" vertical="center"/>
      <protection locked="0"/>
    </xf>
    <xf numFmtId="1" fontId="11" fillId="0" borderId="13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16" xfId="19" applyNumberFormat="1" applyFont="1" applyFill="1" applyBorder="1" applyAlignment="1" applyProtection="1">
      <alignment vertical="center" wrapText="1"/>
      <protection locked="0"/>
    </xf>
    <xf numFmtId="3" fontId="11" fillId="0" borderId="16" xfId="0" applyNumberFormat="1" applyFont="1" applyBorder="1" applyAlignment="1">
      <alignment vertical="center"/>
    </xf>
    <xf numFmtId="3" fontId="11" fillId="0" borderId="31" xfId="0" applyNumberFormat="1" applyFont="1" applyBorder="1" applyAlignment="1">
      <alignment vertical="center"/>
    </xf>
    <xf numFmtId="2" fontId="11" fillId="0" borderId="31" xfId="0" applyNumberFormat="1" applyFon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1" fontId="11" fillId="0" borderId="38" xfId="0" applyNumberFormat="1" applyFont="1" applyBorder="1" applyAlignment="1">
      <alignment vertical="center"/>
    </xf>
    <xf numFmtId="3" fontId="11" fillId="0" borderId="30" xfId="0" applyNumberFormat="1" applyFont="1" applyBorder="1" applyAlignment="1">
      <alignment vertical="center"/>
    </xf>
    <xf numFmtId="3" fontId="19" fillId="0" borderId="66" xfId="0" applyNumberFormat="1" applyFont="1" applyBorder="1" applyAlignment="1">
      <alignment vertical="center"/>
    </xf>
    <xf numFmtId="1" fontId="19" fillId="0" borderId="25" xfId="0" applyNumberFormat="1" applyFont="1" applyFill="1" applyBorder="1" applyAlignment="1" applyProtection="1">
      <alignment horizontal="centerContinuous" vertical="center"/>
      <protection locked="0"/>
    </xf>
    <xf numFmtId="164" fontId="19" fillId="0" borderId="28" xfId="19" applyNumberFormat="1" applyFont="1" applyFill="1" applyBorder="1" applyAlignment="1" applyProtection="1">
      <alignment vertical="center" wrapText="1"/>
      <protection locked="0"/>
    </xf>
    <xf numFmtId="3" fontId="19" fillId="0" borderId="30" xfId="0" applyNumberFormat="1" applyFont="1" applyBorder="1" applyAlignment="1">
      <alignment vertical="center"/>
    </xf>
    <xf numFmtId="1" fontId="19" fillId="0" borderId="29" xfId="0" applyNumberFormat="1" applyFont="1" applyBorder="1" applyAlignment="1">
      <alignment vertical="center"/>
    </xf>
    <xf numFmtId="1" fontId="19" fillId="0" borderId="108" xfId="0" applyNumberFormat="1" applyFont="1" applyBorder="1" applyAlignment="1">
      <alignment vertical="center"/>
    </xf>
    <xf numFmtId="1" fontId="11" fillId="0" borderId="108" xfId="0" applyNumberFormat="1" applyFont="1" applyBorder="1" applyAlignment="1">
      <alignment vertical="center"/>
    </xf>
    <xf numFmtId="1" fontId="19" fillId="0" borderId="0" xfId="0" applyNumberFormat="1" applyFont="1" applyBorder="1" applyAlignment="1">
      <alignment vertical="center"/>
    </xf>
    <xf numFmtId="164" fontId="19" fillId="0" borderId="21" xfId="19" applyNumberFormat="1" applyFont="1" applyFill="1" applyBorder="1" applyAlignment="1" applyProtection="1">
      <alignment horizontal="left" vertical="center" wrapText="1"/>
      <protection locked="0"/>
    </xf>
    <xf numFmtId="3" fontId="19" fillId="0" borderId="21" xfId="0" applyNumberFormat="1" applyFont="1" applyBorder="1" applyAlignment="1">
      <alignment vertical="center"/>
    </xf>
    <xf numFmtId="3" fontId="19" fillId="0" borderId="23" xfId="0" applyNumberFormat="1" applyFont="1" applyBorder="1" applyAlignment="1">
      <alignment vertical="center"/>
    </xf>
    <xf numFmtId="3" fontId="19" fillId="0" borderId="20" xfId="0" applyNumberFormat="1" applyFont="1" applyBorder="1" applyAlignment="1">
      <alignment vertical="center"/>
    </xf>
    <xf numFmtId="3" fontId="19" fillId="0" borderId="18" xfId="0" applyNumberFormat="1" applyFont="1" applyBorder="1" applyAlignment="1">
      <alignment vertical="center"/>
    </xf>
    <xf numFmtId="3" fontId="19" fillId="0" borderId="19" xfId="0" applyNumberFormat="1" applyFont="1" applyBorder="1" applyAlignment="1">
      <alignment vertical="center"/>
    </xf>
    <xf numFmtId="164" fontId="11" fillId="0" borderId="10" xfId="19" applyNumberFormat="1" applyFont="1" applyFill="1" applyBorder="1" applyAlignment="1" applyProtection="1">
      <alignment horizontal="left" vertical="center" wrapText="1"/>
      <protection locked="0"/>
    </xf>
    <xf numFmtId="0" fontId="45" fillId="0" borderId="106" xfId="0" applyFont="1" applyBorder="1" applyAlignment="1">
      <alignment/>
    </xf>
    <xf numFmtId="0" fontId="45" fillId="0" borderId="82" xfId="0" applyFont="1" applyBorder="1" applyAlignment="1">
      <alignment/>
    </xf>
    <xf numFmtId="2" fontId="11" fillId="0" borderId="100" xfId="0" applyNumberFormat="1" applyFont="1" applyBorder="1" applyAlignment="1">
      <alignment vertical="center"/>
    </xf>
    <xf numFmtId="3" fontId="45" fillId="0" borderId="0" xfId="0" applyNumberFormat="1" applyFont="1" applyAlignment="1">
      <alignment/>
    </xf>
    <xf numFmtId="0" fontId="45" fillId="0" borderId="67" xfId="0" applyFont="1" applyBorder="1" applyAlignment="1">
      <alignment/>
    </xf>
    <xf numFmtId="164" fontId="19" fillId="0" borderId="80" xfId="19" applyNumberFormat="1" applyFont="1" applyFill="1" applyBorder="1" applyAlignment="1" applyProtection="1">
      <alignment vertical="center" wrapText="1"/>
      <protection locked="0"/>
    </xf>
    <xf numFmtId="3" fontId="19" fillId="0" borderId="81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vertical="center"/>
    </xf>
    <xf numFmtId="2" fontId="11" fillId="0" borderId="116" xfId="0" applyNumberFormat="1" applyFont="1" applyBorder="1" applyAlignment="1">
      <alignment vertical="center"/>
    </xf>
    <xf numFmtId="0" fontId="19" fillId="0" borderId="104" xfId="0" applyNumberFormat="1" applyFont="1" applyFill="1" applyBorder="1" applyAlignment="1" applyProtection="1">
      <alignment horizontal="centerContinuous" vertical="center"/>
      <protection locked="0"/>
    </xf>
    <xf numFmtId="0" fontId="60" fillId="0" borderId="104" xfId="0" applyNumberFormat="1" applyFont="1" applyFill="1" applyBorder="1" applyAlignment="1" applyProtection="1">
      <alignment horizontal="centerContinuous" vertical="center"/>
      <protection locked="0"/>
    </xf>
    <xf numFmtId="1" fontId="11" fillId="0" borderId="104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>
      <alignment/>
    </xf>
    <xf numFmtId="3" fontId="45" fillId="0" borderId="0" xfId="0" applyNumberFormat="1" applyFont="1" applyAlignment="1">
      <alignment horizontal="right"/>
    </xf>
    <xf numFmtId="1" fontId="7" fillId="0" borderId="36" xfId="0" applyNumberFormat="1" applyFont="1" applyBorder="1" applyAlignment="1">
      <alignment vertical="center"/>
    </xf>
    <xf numFmtId="3" fontId="19" fillId="0" borderId="124" xfId="0" applyNumberFormat="1" applyFont="1" applyBorder="1" applyAlignment="1">
      <alignment vertical="center"/>
    </xf>
    <xf numFmtId="2" fontId="11" fillId="0" borderId="14" xfId="0" applyNumberFormat="1" applyFont="1" applyBorder="1" applyAlignment="1">
      <alignment vertical="center"/>
    </xf>
    <xf numFmtId="3" fontId="11" fillId="0" borderId="39" xfId="0" applyNumberFormat="1" applyFont="1" applyBorder="1" applyAlignment="1">
      <alignment vertical="center"/>
    </xf>
    <xf numFmtId="3" fontId="11" fillId="0" borderId="41" xfId="0" applyNumberFormat="1" applyFont="1" applyBorder="1" applyAlignment="1">
      <alignment vertical="center"/>
    </xf>
    <xf numFmtId="3" fontId="11" fillId="0" borderId="71" xfId="0" applyNumberFormat="1" applyFont="1" applyBorder="1" applyAlignment="1">
      <alignment vertical="center"/>
    </xf>
    <xf numFmtId="2" fontId="11" fillId="0" borderId="22" xfId="0" applyNumberFormat="1" applyFont="1" applyBorder="1" applyAlignment="1">
      <alignment vertical="center"/>
    </xf>
    <xf numFmtId="3" fontId="11" fillId="0" borderId="40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4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2" fontId="69" fillId="0" borderId="110" xfId="0" applyNumberFormat="1" applyFont="1" applyBorder="1" applyAlignment="1">
      <alignment vertical="center"/>
    </xf>
    <xf numFmtId="170" fontId="17" fillId="0" borderId="82" xfId="0" applyNumberFormat="1" applyFont="1" applyBorder="1" applyAlignment="1">
      <alignment vertical="center"/>
    </xf>
    <xf numFmtId="2" fontId="69" fillId="0" borderId="66" xfId="0" applyNumberFormat="1" applyFont="1" applyBorder="1" applyAlignment="1">
      <alignment vertical="center"/>
    </xf>
    <xf numFmtId="1" fontId="60" fillId="0" borderId="67" xfId="0" applyNumberFormat="1" applyFont="1" applyBorder="1" applyAlignment="1">
      <alignment vertical="center"/>
    </xf>
    <xf numFmtId="170" fontId="17" fillId="0" borderId="68" xfId="0" applyNumberFormat="1" applyFont="1" applyBorder="1" applyAlignment="1">
      <alignment vertical="center"/>
    </xf>
    <xf numFmtId="1" fontId="18" fillId="0" borderId="32" xfId="0" applyNumberFormat="1" applyFont="1" applyBorder="1" applyAlignment="1">
      <alignment vertical="center"/>
    </xf>
    <xf numFmtId="170" fontId="18" fillId="0" borderId="27" xfId="0" applyNumberFormat="1" applyFont="1" applyBorder="1" applyAlignment="1">
      <alignment vertical="center"/>
    </xf>
    <xf numFmtId="0" fontId="11" fillId="0" borderId="104" xfId="0" applyFont="1" applyBorder="1" applyAlignment="1">
      <alignment/>
    </xf>
    <xf numFmtId="0" fontId="11" fillId="0" borderId="105" xfId="0" applyFont="1" applyBorder="1" applyAlignment="1">
      <alignment/>
    </xf>
    <xf numFmtId="0" fontId="11" fillId="0" borderId="106" xfId="0" applyFont="1" applyBorder="1" applyAlignment="1">
      <alignment/>
    </xf>
    <xf numFmtId="2" fontId="11" fillId="0" borderId="110" xfId="0" applyNumberFormat="1" applyFont="1" applyBorder="1" applyAlignment="1">
      <alignment/>
    </xf>
    <xf numFmtId="1" fontId="11" fillId="0" borderId="106" xfId="0" applyNumberFormat="1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19" fillId="0" borderId="104" xfId="0" applyFont="1" applyBorder="1" applyAlignment="1">
      <alignment/>
    </xf>
    <xf numFmtId="0" fontId="19" fillId="0" borderId="56" xfId="0" applyFont="1" applyBorder="1" applyAlignment="1">
      <alignment/>
    </xf>
    <xf numFmtId="170" fontId="19" fillId="0" borderId="0" xfId="0" applyNumberFormat="1" applyFont="1" applyAlignment="1">
      <alignment vertical="center"/>
    </xf>
    <xf numFmtId="0" fontId="19" fillId="0" borderId="0" xfId="0" applyFont="1" applyAlignment="1">
      <alignment/>
    </xf>
    <xf numFmtId="170" fontId="11" fillId="0" borderId="28" xfId="0" applyNumberFormat="1" applyFont="1" applyBorder="1" applyAlignment="1">
      <alignment vertical="center"/>
    </xf>
    <xf numFmtId="2" fontId="13" fillId="0" borderId="30" xfId="0" applyNumberFormat="1" applyFont="1" applyBorder="1" applyAlignment="1">
      <alignment vertical="center"/>
    </xf>
    <xf numFmtId="170" fontId="19" fillId="0" borderId="16" xfId="0" applyNumberFormat="1" applyFont="1" applyBorder="1" applyAlignment="1">
      <alignment vertical="center"/>
    </xf>
    <xf numFmtId="170" fontId="19" fillId="0" borderId="31" xfId="0" applyNumberFormat="1" applyFont="1" applyBorder="1" applyAlignment="1">
      <alignment vertical="center"/>
    </xf>
    <xf numFmtId="164" fontId="19" fillId="0" borderId="21" xfId="19" applyNumberFormat="1" applyFont="1" applyFill="1" applyBorder="1" applyAlignment="1" applyProtection="1">
      <alignment vertical="center" wrapText="1"/>
      <protection locked="0"/>
    </xf>
    <xf numFmtId="1" fontId="11" fillId="0" borderId="7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>
      <alignment vertical="center"/>
    </xf>
    <xf numFmtId="1" fontId="45" fillId="0" borderId="0" xfId="0" applyNumberFormat="1" applyFont="1" applyBorder="1" applyAlignment="1">
      <alignment/>
    </xf>
    <xf numFmtId="170" fontId="19" fillId="0" borderId="82" xfId="0" applyNumberFormat="1" applyFont="1" applyBorder="1" applyAlignment="1">
      <alignment vertical="center"/>
    </xf>
    <xf numFmtId="1" fontId="69" fillId="0" borderId="36" xfId="0" applyNumberFormat="1" applyFont="1" applyBorder="1" applyAlignment="1">
      <alignment vertical="center"/>
    </xf>
    <xf numFmtId="170" fontId="16" fillId="0" borderId="27" xfId="0" applyNumberFormat="1" applyFont="1" applyBorder="1" applyAlignment="1">
      <alignment vertical="center"/>
    </xf>
    <xf numFmtId="164" fontId="60" fillId="0" borderId="104" xfId="19" applyNumberFormat="1" applyFont="1" applyFill="1" applyBorder="1" applyAlignment="1" applyProtection="1">
      <alignment vertical="center" wrapText="1"/>
      <protection locked="0"/>
    </xf>
    <xf numFmtId="0" fontId="19" fillId="0" borderId="56" xfId="0" applyFont="1" applyBorder="1" applyAlignment="1">
      <alignment horizontal="left" vertical="center"/>
    </xf>
    <xf numFmtId="0" fontId="19" fillId="0" borderId="56" xfId="0" applyFont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170" fontId="11" fillId="0" borderId="46" xfId="0" applyNumberFormat="1" applyFont="1" applyBorder="1" applyAlignment="1">
      <alignment vertical="center"/>
    </xf>
    <xf numFmtId="1" fontId="60" fillId="0" borderId="18" xfId="0" applyNumberFormat="1" applyFont="1" applyFill="1" applyBorder="1" applyAlignment="1" applyProtection="1">
      <alignment horizontal="centerContinuous" vertical="center"/>
      <protection locked="0"/>
    </xf>
    <xf numFmtId="164" fontId="60" fillId="0" borderId="21" xfId="19" applyNumberFormat="1" applyFont="1" applyFill="1" applyBorder="1" applyAlignment="1" applyProtection="1">
      <alignment vertical="center" wrapText="1"/>
      <protection locked="0"/>
    </xf>
    <xf numFmtId="3" fontId="60" fillId="0" borderId="21" xfId="0" applyNumberFormat="1" applyFont="1" applyBorder="1" applyAlignment="1">
      <alignment vertical="center"/>
    </xf>
    <xf numFmtId="3" fontId="60" fillId="0" borderId="24" xfId="0" applyNumberFormat="1" applyFont="1" applyBorder="1" applyAlignment="1">
      <alignment vertical="center"/>
    </xf>
    <xf numFmtId="170" fontId="60" fillId="0" borderId="21" xfId="0" applyNumberFormat="1" applyFont="1" applyBorder="1" applyAlignment="1">
      <alignment vertical="center"/>
    </xf>
    <xf numFmtId="2" fontId="69" fillId="0" borderId="24" xfId="0" applyNumberFormat="1" applyFont="1" applyBorder="1" applyAlignment="1">
      <alignment vertical="center"/>
    </xf>
    <xf numFmtId="3" fontId="60" fillId="0" borderId="18" xfId="0" applyNumberFormat="1" applyFont="1" applyBorder="1" applyAlignment="1">
      <alignment vertical="center"/>
    </xf>
    <xf numFmtId="3" fontId="60" fillId="0" borderId="19" xfId="0" applyNumberFormat="1" applyFont="1" applyBorder="1" applyAlignment="1">
      <alignment vertical="center"/>
    </xf>
    <xf numFmtId="1" fontId="60" fillId="0" borderId="0" xfId="0" applyNumberFormat="1" applyFont="1" applyBorder="1" applyAlignment="1">
      <alignment vertical="center"/>
    </xf>
    <xf numFmtId="3" fontId="19" fillId="0" borderId="16" xfId="0" applyNumberFormat="1" applyFont="1" applyBorder="1" applyAlignment="1">
      <alignment vertical="center"/>
    </xf>
    <xf numFmtId="3" fontId="60" fillId="0" borderId="31" xfId="0" applyNumberFormat="1" applyFont="1" applyBorder="1" applyAlignment="1">
      <alignment vertical="center"/>
    </xf>
    <xf numFmtId="170" fontId="60" fillId="0" borderId="16" xfId="0" applyNumberFormat="1" applyFont="1" applyBorder="1" applyAlignment="1">
      <alignment vertical="center"/>
    </xf>
    <xf numFmtId="3" fontId="60" fillId="0" borderId="14" xfId="0" applyNumberFormat="1" applyFont="1" applyBorder="1" applyAlignment="1">
      <alignment vertical="center"/>
    </xf>
    <xf numFmtId="3" fontId="0" fillId="0" borderId="56" xfId="0" applyNumberFormat="1" applyBorder="1" applyAlignment="1">
      <alignment vertical="center"/>
    </xf>
    <xf numFmtId="1" fontId="11" fillId="0" borderId="27" xfId="0" applyNumberFormat="1" applyFont="1" applyBorder="1" applyAlignment="1">
      <alignment vertical="center"/>
    </xf>
    <xf numFmtId="1" fontId="9" fillId="0" borderId="99" xfId="0" applyNumberFormat="1" applyFont="1" applyFill="1" applyBorder="1" applyAlignment="1" applyProtection="1">
      <alignment horizontal="centerContinuous" vertical="center"/>
      <protection locked="0"/>
    </xf>
    <xf numFmtId="1" fontId="9" fillId="0" borderId="9" xfId="0" applyNumberFormat="1" applyFont="1" applyFill="1" applyBorder="1" applyAlignment="1" applyProtection="1">
      <alignment horizontal="left" vertical="center" wrapText="1"/>
      <protection locked="0"/>
    </xf>
    <xf numFmtId="3" fontId="9" fillId="0" borderId="10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3" fontId="9" fillId="0" borderId="7" xfId="0" applyNumberFormat="1" applyFont="1" applyBorder="1" applyAlignment="1">
      <alignment vertical="center"/>
    </xf>
    <xf numFmtId="3" fontId="9" fillId="0" borderId="8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0" borderId="125" xfId="0" applyNumberFormat="1" applyFont="1" applyBorder="1" applyAlignment="1">
      <alignment/>
    </xf>
    <xf numFmtId="3" fontId="63" fillId="0" borderId="34" xfId="0" applyNumberFormat="1" applyFont="1" applyFill="1" applyBorder="1" applyAlignment="1" applyProtection="1">
      <alignment vertical="center"/>
      <protection locked="0"/>
    </xf>
    <xf numFmtId="3" fontId="63" fillId="0" borderId="34" xfId="0" applyNumberFormat="1" applyFont="1" applyFill="1" applyBorder="1" applyAlignment="1" applyProtection="1">
      <alignment wrapText="1"/>
      <protection locked="0"/>
    </xf>
    <xf numFmtId="3" fontId="2" fillId="0" borderId="34" xfId="0" applyNumberFormat="1" applyFont="1" applyBorder="1" applyAlignment="1">
      <alignment vertical="center"/>
    </xf>
    <xf numFmtId="1" fontId="2" fillId="0" borderId="34" xfId="0" applyNumberFormat="1" applyFont="1" applyBorder="1" applyAlignment="1">
      <alignment vertical="center"/>
    </xf>
    <xf numFmtId="170" fontId="7" fillId="0" borderId="34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27" fillId="0" borderId="0" xfId="0" applyFont="1" applyAlignment="1">
      <alignment/>
    </xf>
    <xf numFmtId="0" fontId="71" fillId="0" borderId="0" xfId="0" applyFont="1" applyAlignment="1">
      <alignment/>
    </xf>
    <xf numFmtId="171" fontId="33" fillId="0" borderId="0" xfId="0" applyNumberFormat="1" applyFont="1" applyAlignment="1">
      <alignment/>
    </xf>
    <xf numFmtId="164" fontId="7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fill" wrapText="1"/>
    </xf>
    <xf numFmtId="0" fontId="9" fillId="0" borderId="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18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Continuous" vertical="top" wrapText="1"/>
    </xf>
    <xf numFmtId="0" fontId="57" fillId="0" borderId="97" xfId="0" applyFont="1" applyBorder="1" applyAlignment="1">
      <alignment horizontal="center" vertical="center"/>
    </xf>
    <xf numFmtId="0" fontId="56" fillId="0" borderId="102" xfId="0" applyFont="1" applyBorder="1" applyAlignment="1">
      <alignment vertical="center"/>
    </xf>
    <xf numFmtId="3" fontId="2" fillId="0" borderId="46" xfId="0" applyNumberFormat="1" applyFont="1" applyBorder="1" applyAlignment="1">
      <alignment vertical="center"/>
    </xf>
    <xf numFmtId="3" fontId="9" fillId="0" borderId="46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3" fontId="2" fillId="0" borderId="68" xfId="0" applyNumberFormat="1" applyFont="1" applyBorder="1" applyAlignment="1">
      <alignment vertical="center"/>
    </xf>
    <xf numFmtId="164" fontId="2" fillId="0" borderId="102" xfId="0" applyNumberFormat="1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vertical="center"/>
    </xf>
    <xf numFmtId="0" fontId="31" fillId="0" borderId="3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3" fontId="17" fillId="0" borderId="21" xfId="0" applyNumberFormat="1" applyFont="1" applyBorder="1" applyAlignment="1">
      <alignment vertical="center"/>
    </xf>
    <xf numFmtId="164" fontId="17" fillId="0" borderId="19" xfId="0" applyNumberFormat="1" applyFont="1" applyBorder="1" applyAlignment="1">
      <alignment vertical="center"/>
    </xf>
    <xf numFmtId="3" fontId="17" fillId="0" borderId="20" xfId="0" applyNumberFormat="1" applyFont="1" applyBorder="1" applyAlignment="1">
      <alignment vertical="center"/>
    </xf>
    <xf numFmtId="0" fontId="72" fillId="0" borderId="0" xfId="0" applyFont="1" applyAlignment="1">
      <alignment/>
    </xf>
    <xf numFmtId="0" fontId="72" fillId="0" borderId="0" xfId="0" applyFont="1" applyBorder="1" applyAlignment="1">
      <alignment/>
    </xf>
    <xf numFmtId="0" fontId="57" fillId="0" borderId="1" xfId="0" applyFont="1" applyBorder="1" applyAlignment="1">
      <alignment horizontal="center" vertical="center"/>
    </xf>
    <xf numFmtId="0" fontId="56" fillId="0" borderId="22" xfId="0" applyFont="1" applyBorder="1" applyAlignment="1">
      <alignment vertical="center" wrapText="1"/>
    </xf>
    <xf numFmtId="3" fontId="2" fillId="0" borderId="71" xfId="0" applyNumberFormat="1" applyFont="1" applyBorder="1" applyAlignment="1">
      <alignment vertical="center"/>
    </xf>
    <xf numFmtId="3" fontId="9" fillId="0" borderId="71" xfId="0" applyNumberFormat="1" applyFont="1" applyBorder="1" applyAlignment="1">
      <alignment vertical="center"/>
    </xf>
    <xf numFmtId="164" fontId="2" fillId="0" borderId="22" xfId="0" applyNumberFormat="1" applyFont="1" applyBorder="1" applyAlignment="1">
      <alignment vertical="center"/>
    </xf>
    <xf numFmtId="3" fontId="2" fillId="0" borderId="114" xfId="0" applyNumberFormat="1" applyFont="1" applyBorder="1" applyAlignment="1">
      <alignment vertical="center"/>
    </xf>
    <xf numFmtId="0" fontId="56" fillId="0" borderId="22" xfId="0" applyFont="1" applyBorder="1" applyAlignment="1">
      <alignment vertical="center"/>
    </xf>
    <xf numFmtId="164" fontId="17" fillId="0" borderId="21" xfId="0" applyNumberFormat="1" applyFont="1" applyBorder="1" applyAlignment="1">
      <alignment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vertical="center"/>
    </xf>
    <xf numFmtId="3" fontId="17" fillId="0" borderId="28" xfId="0" applyNumberFormat="1" applyFont="1" applyBorder="1" applyAlignment="1">
      <alignment vertical="center"/>
    </xf>
    <xf numFmtId="3" fontId="17" fillId="0" borderId="27" xfId="0" applyNumberFormat="1" applyFont="1" applyBorder="1" applyAlignment="1">
      <alignment vertical="center"/>
    </xf>
    <xf numFmtId="164" fontId="17" fillId="0" borderId="28" xfId="0" applyNumberFormat="1" applyFont="1" applyBorder="1" applyAlignment="1">
      <alignment vertical="center"/>
    </xf>
    <xf numFmtId="164" fontId="17" fillId="0" borderId="26" xfId="0" applyNumberFormat="1" applyFont="1" applyBorder="1" applyAlignment="1">
      <alignment vertical="center"/>
    </xf>
    <xf numFmtId="0" fontId="6" fillId="0" borderId="99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164" fontId="9" fillId="0" borderId="8" xfId="0" applyNumberFormat="1" applyFont="1" applyBorder="1" applyAlignment="1">
      <alignment vertical="center"/>
    </xf>
    <xf numFmtId="4" fontId="9" fillId="0" borderId="8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Continuous"/>
      <protection/>
    </xf>
    <xf numFmtId="0" fontId="5" fillId="0" borderId="0" xfId="0" applyNumberFormat="1" applyFont="1" applyFill="1" applyBorder="1" applyAlignment="1" applyProtection="1">
      <alignment horizontal="centerContinuous"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0" xfId="0" applyNumberFormat="1" applyFont="1" applyFill="1" applyBorder="1" applyAlignment="1" applyProtection="1">
      <alignment horizontal="centerContinuous" wrapText="1"/>
      <protection/>
    </xf>
    <xf numFmtId="0" fontId="9" fillId="0" borderId="0" xfId="0" applyNumberFormat="1" applyFont="1" applyFill="1" applyBorder="1" applyAlignment="1" applyProtection="1">
      <alignment horizontal="centerContinuous" wrapText="1"/>
      <protection/>
    </xf>
    <xf numFmtId="0" fontId="13" fillId="0" borderId="126" xfId="0" applyNumberFormat="1" applyFont="1" applyFill="1" applyBorder="1" applyAlignment="1" applyProtection="1">
      <alignment horizontal="center" vertical="center"/>
      <protection/>
    </xf>
    <xf numFmtId="0" fontId="13" fillId="0" borderId="127" xfId="0" applyNumberFormat="1" applyFont="1" applyFill="1" applyBorder="1" applyAlignment="1" applyProtection="1">
      <alignment horizontal="center" vertical="center"/>
      <protection/>
    </xf>
    <xf numFmtId="0" fontId="10" fillId="0" borderId="128" xfId="0" applyNumberFormat="1" applyFont="1" applyFill="1" applyBorder="1" applyAlignment="1" applyProtection="1">
      <alignment horizontal="center" vertical="center" wrapText="1"/>
      <protection/>
    </xf>
    <xf numFmtId="0" fontId="13" fillId="0" borderId="128" xfId="0" applyNumberFormat="1" applyFont="1" applyFill="1" applyBorder="1" applyAlignment="1" applyProtection="1">
      <alignment horizontal="center" vertical="center" wrapText="1"/>
      <protection/>
    </xf>
    <xf numFmtId="0" fontId="13" fillId="0" borderId="127" xfId="0" applyNumberFormat="1" applyFont="1" applyFill="1" applyBorder="1" applyAlignment="1" applyProtection="1">
      <alignment horizontal="center" vertical="center" wrapText="1"/>
      <protection/>
    </xf>
    <xf numFmtId="0" fontId="13" fillId="0" borderId="43" xfId="0" applyNumberFormat="1" applyFont="1" applyFill="1" applyBorder="1" applyAlignment="1" applyProtection="1">
      <alignment horizontal="center" vertical="center"/>
      <protection/>
    </xf>
    <xf numFmtId="0" fontId="13" fillId="0" borderId="129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7" fillId="0" borderId="130" xfId="0" applyNumberFormat="1" applyFont="1" applyFill="1" applyBorder="1" applyAlignment="1" applyProtection="1">
      <alignment horizontal="center" vertical="center"/>
      <protection/>
    </xf>
    <xf numFmtId="0" fontId="7" fillId="0" borderId="131" xfId="0" applyNumberFormat="1" applyFont="1" applyFill="1" applyBorder="1" applyAlignment="1" applyProtection="1">
      <alignment horizontal="center" vertical="center"/>
      <protection/>
    </xf>
    <xf numFmtId="0" fontId="7" fillId="0" borderId="132" xfId="0" applyNumberFormat="1" applyFont="1" applyFill="1" applyBorder="1" applyAlignment="1" applyProtection="1">
      <alignment horizontal="center"/>
      <protection/>
    </xf>
    <xf numFmtId="0" fontId="7" fillId="0" borderId="131" xfId="0" applyNumberFormat="1" applyFont="1" applyFill="1" applyBorder="1" applyAlignment="1" applyProtection="1">
      <alignment horizontal="center"/>
      <protection/>
    </xf>
    <xf numFmtId="0" fontId="7" fillId="0" borderId="133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0" xfId="0" applyNumberFormat="1" applyFont="1" applyFill="1" applyBorder="1" applyAlignment="1" applyProtection="1">
      <alignment horizontal="center" vertical="center"/>
      <protection/>
    </xf>
    <xf numFmtId="0" fontId="9" fillId="0" borderId="28" xfId="0" applyNumberFormat="1" applyFont="1" applyFill="1" applyBorder="1" applyAlignment="1" applyProtection="1">
      <alignment horizontal="left" vertical="center"/>
      <protection/>
    </xf>
    <xf numFmtId="164" fontId="2" fillId="0" borderId="28" xfId="0" applyNumberFormat="1" applyFont="1" applyFill="1" applyBorder="1" applyAlignment="1" applyProtection="1">
      <alignment/>
      <protection/>
    </xf>
    <xf numFmtId="0" fontId="2" fillId="0" borderId="28" xfId="0" applyNumberFormat="1" applyFont="1" applyFill="1" applyBorder="1" applyAlignment="1" applyProtection="1">
      <alignment/>
      <protection/>
    </xf>
    <xf numFmtId="0" fontId="2" fillId="0" borderId="30" xfId="0" applyNumberFormat="1" applyFont="1" applyFill="1" applyBorder="1" applyAlignment="1" applyProtection="1">
      <alignment/>
      <protection/>
    </xf>
    <xf numFmtId="0" fontId="2" fillId="0" borderId="53" xfId="0" applyNumberFormat="1" applyFont="1" applyFill="1" applyBorder="1" applyAlignment="1" applyProtection="1">
      <alignment/>
      <protection/>
    </xf>
    <xf numFmtId="0" fontId="13" fillId="0" borderId="52" xfId="0" applyNumberFormat="1" applyFont="1" applyFill="1" applyBorder="1" applyAlignment="1" applyProtection="1">
      <alignment horizontal="center" vertical="center"/>
      <protection/>
    </xf>
    <xf numFmtId="0" fontId="13" fillId="0" borderId="21" xfId="0" applyNumberFormat="1" applyFont="1" applyFill="1" applyBorder="1" applyAlignment="1" applyProtection="1">
      <alignment vertical="center" wrapText="1"/>
      <protection/>
    </xf>
    <xf numFmtId="164" fontId="9" fillId="0" borderId="21" xfId="0" applyNumberFormat="1" applyFont="1" applyFill="1" applyBorder="1" applyAlignment="1" applyProtection="1">
      <alignment vertical="center"/>
      <protection/>
    </xf>
    <xf numFmtId="164" fontId="9" fillId="0" borderId="46" xfId="0" applyNumberFormat="1" applyFont="1" applyFill="1" applyBorder="1" applyAlignment="1" applyProtection="1">
      <alignment vertical="center"/>
      <protection/>
    </xf>
    <xf numFmtId="170" fontId="9" fillId="0" borderId="46" xfId="0" applyNumberFormat="1" applyFont="1" applyFill="1" applyBorder="1" applyAlignment="1" applyProtection="1">
      <alignment horizontal="right" vertical="center"/>
      <protection/>
    </xf>
    <xf numFmtId="170" fontId="9" fillId="0" borderId="66" xfId="0" applyNumberFormat="1" applyFont="1" applyFill="1" applyBorder="1" applyAlignment="1" applyProtection="1">
      <alignment horizontal="right" vertical="center"/>
      <protection/>
    </xf>
    <xf numFmtId="170" fontId="9" fillId="0" borderId="47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60" fillId="0" borderId="50" xfId="0" applyNumberFormat="1" applyFont="1" applyFill="1" applyBorder="1" applyAlignment="1" applyProtection="1">
      <alignment horizontal="center" vertical="center"/>
      <protection/>
    </xf>
    <xf numFmtId="0" fontId="60" fillId="0" borderId="28" xfId="0" applyNumberFormat="1" applyFont="1" applyFill="1" applyBorder="1" applyAlignment="1" applyProtection="1">
      <alignment vertical="center" wrapText="1"/>
      <protection/>
    </xf>
    <xf numFmtId="4" fontId="60" fillId="0" borderId="28" xfId="0" applyNumberFormat="1" applyFont="1" applyFill="1" applyBorder="1" applyAlignment="1" applyProtection="1">
      <alignment vertical="center"/>
      <protection/>
    </xf>
    <xf numFmtId="164" fontId="60" fillId="0" borderId="28" xfId="0" applyNumberFormat="1" applyFont="1" applyFill="1" applyBorder="1" applyAlignment="1" applyProtection="1">
      <alignment vertical="center"/>
      <protection/>
    </xf>
    <xf numFmtId="170" fontId="60" fillId="0" borderId="28" xfId="0" applyNumberFormat="1" applyFont="1" applyFill="1" applyBorder="1" applyAlignment="1" applyProtection="1">
      <alignment horizontal="right"/>
      <protection/>
    </xf>
    <xf numFmtId="170" fontId="60" fillId="0" borderId="30" xfId="0" applyNumberFormat="1" applyFont="1" applyFill="1" applyBorder="1" applyAlignment="1" applyProtection="1">
      <alignment horizontal="right"/>
      <protection/>
    </xf>
    <xf numFmtId="170" fontId="60" fillId="0" borderId="53" xfId="0" applyNumberFormat="1" applyFont="1" applyFill="1" applyBorder="1" applyAlignment="1" applyProtection="1">
      <alignment horizontal="right"/>
      <protection/>
    </xf>
    <xf numFmtId="0" fontId="60" fillId="0" borderId="0" xfId="0" applyNumberFormat="1" applyFont="1" applyFill="1" applyBorder="1" applyAlignment="1" applyProtection="1">
      <alignment/>
      <protection/>
    </xf>
    <xf numFmtId="0" fontId="9" fillId="0" borderId="21" xfId="0" applyNumberFormat="1" applyFont="1" applyFill="1" applyBorder="1" applyAlignment="1" applyProtection="1">
      <alignment/>
      <protection/>
    </xf>
    <xf numFmtId="0" fontId="9" fillId="0" borderId="24" xfId="0" applyNumberFormat="1" applyFont="1" applyFill="1" applyBorder="1" applyAlignment="1" applyProtection="1">
      <alignment/>
      <protection/>
    </xf>
    <xf numFmtId="0" fontId="9" fillId="0" borderId="54" xfId="0" applyNumberFormat="1" applyFont="1" applyFill="1" applyBorder="1" applyAlignment="1" applyProtection="1">
      <alignment/>
      <protection/>
    </xf>
    <xf numFmtId="0" fontId="60" fillId="0" borderId="52" xfId="0" applyNumberFormat="1" applyFont="1" applyFill="1" applyBorder="1" applyAlignment="1" applyProtection="1">
      <alignment horizontal="center" vertical="center"/>
      <protection/>
    </xf>
    <xf numFmtId="0" fontId="60" fillId="0" borderId="21" xfId="0" applyNumberFormat="1" applyFont="1" applyFill="1" applyBorder="1" applyAlignment="1" applyProtection="1">
      <alignment vertical="center" wrapText="1"/>
      <protection/>
    </xf>
    <xf numFmtId="164" fontId="60" fillId="0" borderId="21" xfId="0" applyNumberFormat="1" applyFont="1" applyFill="1" applyBorder="1" applyAlignment="1" applyProtection="1">
      <alignment vertical="center"/>
      <protection/>
    </xf>
    <xf numFmtId="0" fontId="60" fillId="0" borderId="21" xfId="0" applyNumberFormat="1" applyFont="1" applyFill="1" applyBorder="1" applyAlignment="1" applyProtection="1">
      <alignment/>
      <protection/>
    </xf>
    <xf numFmtId="0" fontId="60" fillId="0" borderId="24" xfId="0" applyNumberFormat="1" applyFont="1" applyFill="1" applyBorder="1" applyAlignment="1" applyProtection="1">
      <alignment/>
      <protection/>
    </xf>
    <xf numFmtId="0" fontId="60" fillId="0" borderId="54" xfId="0" applyNumberFormat="1" applyFont="1" applyFill="1" applyBorder="1" applyAlignment="1" applyProtection="1">
      <alignment/>
      <protection/>
    </xf>
    <xf numFmtId="0" fontId="9" fillId="0" borderId="55" xfId="0" applyNumberFormat="1" applyFont="1" applyFill="1" applyBorder="1" applyAlignment="1" applyProtection="1">
      <alignment horizontal="center" vertical="center"/>
      <protection/>
    </xf>
    <xf numFmtId="0" fontId="9" fillId="0" borderId="56" xfId="0" applyNumberFormat="1" applyFont="1" applyFill="1" applyBorder="1" applyAlignment="1" applyProtection="1">
      <alignment horizontal="left" vertical="center"/>
      <protection/>
    </xf>
    <xf numFmtId="164" fontId="9" fillId="0" borderId="56" xfId="0" applyNumberFormat="1" applyFont="1" applyFill="1" applyBorder="1" applyAlignment="1" applyProtection="1">
      <alignment vertical="center"/>
      <protection/>
    </xf>
    <xf numFmtId="0" fontId="9" fillId="0" borderId="56" xfId="0" applyNumberFormat="1" applyFont="1" applyFill="1" applyBorder="1" applyAlignment="1" applyProtection="1">
      <alignment vertical="center"/>
      <protection/>
    </xf>
    <xf numFmtId="0" fontId="9" fillId="0" borderId="110" xfId="0" applyNumberFormat="1" applyFont="1" applyFill="1" applyBorder="1" applyAlignment="1" applyProtection="1">
      <alignment vertical="center"/>
      <protection/>
    </xf>
    <xf numFmtId="0" fontId="9" fillId="0" borderId="51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9" fillId="0" borderId="66" xfId="0" applyNumberFormat="1" applyFont="1" applyFill="1" applyBorder="1" applyAlignment="1" applyProtection="1">
      <alignment vertical="center"/>
      <protection/>
    </xf>
    <xf numFmtId="0" fontId="9" fillId="0" borderId="47" xfId="0" applyNumberFormat="1" applyFont="1" applyFill="1" applyBorder="1" applyAlignment="1" applyProtection="1">
      <alignment vertical="center"/>
      <protection/>
    </xf>
    <xf numFmtId="0" fontId="60" fillId="0" borderId="24" xfId="0" applyNumberFormat="1" applyFont="1" applyFill="1" applyBorder="1" applyAlignment="1" applyProtection="1">
      <alignment vertical="center"/>
      <protection/>
    </xf>
    <xf numFmtId="0" fontId="60" fillId="0" borderId="54" xfId="0" applyNumberFormat="1" applyFont="1" applyFill="1" applyBorder="1" applyAlignment="1" applyProtection="1">
      <alignment vertical="center"/>
      <protection/>
    </xf>
    <xf numFmtId="0" fontId="60" fillId="0" borderId="0" xfId="0" applyFont="1" applyBorder="1" applyAlignment="1">
      <alignment/>
    </xf>
    <xf numFmtId="0" fontId="13" fillId="0" borderId="45" xfId="0" applyNumberFormat="1" applyFont="1" applyFill="1" applyBorder="1" applyAlignment="1" applyProtection="1">
      <alignment horizontal="center" vertical="center"/>
      <protection/>
    </xf>
    <xf numFmtId="0" fontId="13" fillId="0" borderId="46" xfId="0" applyNumberFormat="1" applyFont="1" applyFill="1" applyBorder="1" applyAlignment="1" applyProtection="1">
      <alignment vertical="center" wrapText="1"/>
      <protection/>
    </xf>
    <xf numFmtId="0" fontId="9" fillId="0" borderId="46" xfId="0" applyNumberFormat="1" applyFont="1" applyFill="1" applyBorder="1" applyAlignment="1" applyProtection="1">
      <alignment/>
      <protection/>
    </xf>
    <xf numFmtId="0" fontId="9" fillId="0" borderId="66" xfId="0" applyNumberFormat="1" applyFont="1" applyFill="1" applyBorder="1" applyAlignment="1" applyProtection="1">
      <alignment/>
      <protection/>
    </xf>
    <xf numFmtId="0" fontId="9" fillId="0" borderId="47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0" fillId="0" borderId="28" xfId="0" applyNumberFormat="1" applyFont="1" applyFill="1" applyBorder="1" applyAlignment="1" applyProtection="1">
      <alignment/>
      <protection/>
    </xf>
    <xf numFmtId="0" fontId="60" fillId="0" borderId="30" xfId="0" applyNumberFormat="1" applyFont="1" applyFill="1" applyBorder="1" applyAlignment="1" applyProtection="1">
      <alignment/>
      <protection/>
    </xf>
    <xf numFmtId="0" fontId="60" fillId="0" borderId="53" xfId="0" applyNumberFormat="1" applyFont="1" applyFill="1" applyBorder="1" applyAlignment="1" applyProtection="1">
      <alignment/>
      <protection/>
    </xf>
    <xf numFmtId="0" fontId="17" fillId="0" borderId="0" xfId="0" applyFont="1" applyBorder="1" applyAlignment="1">
      <alignment/>
    </xf>
    <xf numFmtId="0" fontId="41" fillId="0" borderId="21" xfId="0" applyNumberFormat="1" applyFont="1" applyFill="1" applyBorder="1" applyAlignment="1" applyProtection="1">
      <alignment/>
      <protection/>
    </xf>
    <xf numFmtId="0" fontId="41" fillId="0" borderId="24" xfId="0" applyNumberFormat="1" applyFont="1" applyFill="1" applyBorder="1" applyAlignment="1" applyProtection="1">
      <alignment/>
      <protection/>
    </xf>
    <xf numFmtId="0" fontId="41" fillId="0" borderId="54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1" fillId="0" borderId="50" xfId="0" applyNumberFormat="1" applyFont="1" applyFill="1" applyBorder="1" applyAlignment="1" applyProtection="1">
      <alignment horizontal="center" vertical="center"/>
      <protection/>
    </xf>
    <xf numFmtId="0" fontId="11" fillId="0" borderId="52" xfId="0" applyNumberFormat="1" applyFont="1" applyFill="1" applyBorder="1" applyAlignment="1" applyProtection="1">
      <alignment horizontal="center" vertical="center"/>
      <protection/>
    </xf>
    <xf numFmtId="0" fontId="60" fillId="0" borderId="0" xfId="0" applyFont="1" applyAlignment="1">
      <alignment/>
    </xf>
    <xf numFmtId="0" fontId="11" fillId="0" borderId="45" xfId="0" applyNumberFormat="1" applyFont="1" applyFill="1" applyBorder="1" applyAlignment="1" applyProtection="1">
      <alignment horizontal="center" vertical="center"/>
      <protection/>
    </xf>
    <xf numFmtId="170" fontId="9" fillId="0" borderId="46" xfId="0" applyNumberFormat="1" applyFont="1" applyFill="1" applyBorder="1" applyAlignment="1" applyProtection="1">
      <alignment vertical="center"/>
      <protection/>
    </xf>
    <xf numFmtId="170" fontId="9" fillId="0" borderId="66" xfId="0" applyNumberFormat="1" applyFont="1" applyFill="1" applyBorder="1" applyAlignment="1" applyProtection="1">
      <alignment horizontal="center" vertical="center"/>
      <protection/>
    </xf>
    <xf numFmtId="170" fontId="9" fillId="0" borderId="47" xfId="0" applyNumberFormat="1" applyFont="1" applyFill="1" applyBorder="1" applyAlignment="1" applyProtection="1">
      <alignment horizontal="center" vertical="center"/>
      <protection/>
    </xf>
    <xf numFmtId="170" fontId="60" fillId="0" borderId="28" xfId="0" applyNumberFormat="1" applyFont="1" applyFill="1" applyBorder="1" applyAlignment="1" applyProtection="1">
      <alignment/>
      <protection/>
    </xf>
    <xf numFmtId="0" fontId="60" fillId="0" borderId="30" xfId="0" applyNumberFormat="1" applyFont="1" applyFill="1" applyBorder="1" applyAlignment="1" applyProtection="1">
      <alignment horizontal="center" vertical="center"/>
      <protection/>
    </xf>
    <xf numFmtId="0" fontId="60" fillId="0" borderId="53" xfId="0" applyNumberFormat="1" applyFont="1" applyFill="1" applyBorder="1" applyAlignment="1" applyProtection="1">
      <alignment horizontal="center" vertical="center"/>
      <protection/>
    </xf>
    <xf numFmtId="0" fontId="11" fillId="0" borderId="65" xfId="0" applyNumberFormat="1" applyFont="1" applyFill="1" applyBorder="1" applyAlignment="1" applyProtection="1">
      <alignment horizontal="center" vertical="center"/>
      <protection/>
    </xf>
    <xf numFmtId="0" fontId="11" fillId="0" borderId="46" xfId="0" applyNumberFormat="1" applyFont="1" applyFill="1" applyBorder="1" applyAlignment="1" applyProtection="1">
      <alignment vertical="center" wrapText="1"/>
      <protection/>
    </xf>
    <xf numFmtId="0" fontId="9" fillId="0" borderId="46" xfId="0" applyNumberFormat="1" applyFont="1" applyFill="1" applyBorder="1" applyAlignment="1" applyProtection="1">
      <alignment vertical="center"/>
      <protection/>
    </xf>
    <xf numFmtId="0" fontId="57" fillId="0" borderId="46" xfId="0" applyNumberFormat="1" applyFont="1" applyFill="1" applyBorder="1" applyAlignment="1" applyProtection="1">
      <alignment/>
      <protection/>
    </xf>
    <xf numFmtId="0" fontId="57" fillId="0" borderId="66" xfId="0" applyNumberFormat="1" applyFont="1" applyFill="1" applyBorder="1" applyAlignment="1" applyProtection="1">
      <alignment horizontal="center" vertical="center"/>
      <protection/>
    </xf>
    <xf numFmtId="0" fontId="57" fillId="0" borderId="47" xfId="0" applyNumberFormat="1" applyFont="1" applyFill="1" applyBorder="1" applyAlignment="1" applyProtection="1">
      <alignment horizontal="center" vertical="center"/>
      <protection/>
    </xf>
    <xf numFmtId="0" fontId="57" fillId="0" borderId="65" xfId="0" applyNumberFormat="1" applyFont="1" applyFill="1" applyBorder="1" applyAlignment="1" applyProtection="1">
      <alignment horizontal="center" vertical="center"/>
      <protection/>
    </xf>
    <xf numFmtId="0" fontId="57" fillId="0" borderId="28" xfId="0" applyNumberFormat="1" applyFont="1" applyFill="1" applyBorder="1" applyAlignment="1" applyProtection="1">
      <alignment vertical="center"/>
      <protection/>
    </xf>
    <xf numFmtId="0" fontId="60" fillId="0" borderId="28" xfId="0" applyNumberFormat="1" applyFont="1" applyFill="1" applyBorder="1" applyAlignment="1" applyProtection="1">
      <alignment vertical="center"/>
      <protection/>
    </xf>
    <xf numFmtId="0" fontId="57" fillId="0" borderId="30" xfId="0" applyNumberFormat="1" applyFont="1" applyFill="1" applyBorder="1" applyAlignment="1" applyProtection="1">
      <alignment horizontal="center" vertical="center"/>
      <protection/>
    </xf>
    <xf numFmtId="0" fontId="57" fillId="0" borderId="53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164" fontId="9" fillId="0" borderId="28" xfId="0" applyNumberFormat="1" applyFont="1" applyFill="1" applyBorder="1" applyAlignment="1" applyProtection="1">
      <alignment vertical="center"/>
      <protection/>
    </xf>
    <xf numFmtId="0" fontId="9" fillId="0" borderId="28" xfId="0" applyNumberFormat="1" applyFont="1" applyFill="1" applyBorder="1" applyAlignment="1" applyProtection="1">
      <alignment/>
      <protection/>
    </xf>
    <xf numFmtId="0" fontId="9" fillId="0" borderId="30" xfId="0" applyNumberFormat="1" applyFont="1" applyFill="1" applyBorder="1" applyAlignment="1" applyProtection="1">
      <alignment/>
      <protection/>
    </xf>
    <xf numFmtId="0" fontId="9" fillId="0" borderId="53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7" fillId="0" borderId="50" xfId="0" applyNumberFormat="1" applyFont="1" applyFill="1" applyBorder="1" applyAlignment="1" applyProtection="1">
      <alignment horizontal="center" vertical="center"/>
      <protection/>
    </xf>
    <xf numFmtId="0" fontId="17" fillId="0" borderId="28" xfId="0" applyNumberFormat="1" applyFont="1" applyFill="1" applyBorder="1" applyAlignment="1" applyProtection="1">
      <alignment vertical="center"/>
      <protection/>
    </xf>
    <xf numFmtId="164" fontId="41" fillId="0" borderId="28" xfId="0" applyNumberFormat="1" applyFont="1" applyFill="1" applyBorder="1" applyAlignment="1" applyProtection="1">
      <alignment vertical="center"/>
      <protection/>
    </xf>
    <xf numFmtId="0" fontId="41" fillId="0" borderId="28" xfId="0" applyNumberFormat="1" applyFont="1" applyFill="1" applyBorder="1" applyAlignment="1" applyProtection="1">
      <alignment/>
      <protection/>
    </xf>
    <xf numFmtId="0" fontId="41" fillId="0" borderId="30" xfId="0" applyNumberFormat="1" applyFont="1" applyFill="1" applyBorder="1" applyAlignment="1" applyProtection="1">
      <alignment/>
      <protection/>
    </xf>
    <xf numFmtId="0" fontId="41" fillId="0" borderId="53" xfId="0" applyNumberFormat="1" applyFont="1" applyFill="1" applyBorder="1" applyAlignment="1" applyProtection="1">
      <alignment/>
      <protection/>
    </xf>
    <xf numFmtId="0" fontId="9" fillId="0" borderId="56" xfId="0" applyNumberFormat="1" applyFont="1" applyFill="1" applyBorder="1" applyAlignment="1" applyProtection="1">
      <alignment/>
      <protection/>
    </xf>
    <xf numFmtId="0" fontId="9" fillId="0" borderId="110" xfId="0" applyNumberFormat="1" applyFont="1" applyFill="1" applyBorder="1" applyAlignment="1" applyProtection="1">
      <alignment/>
      <protection/>
    </xf>
    <xf numFmtId="0" fontId="9" fillId="0" borderId="51" xfId="0" applyNumberFormat="1" applyFont="1" applyFill="1" applyBorder="1" applyAlignment="1" applyProtection="1">
      <alignment/>
      <protection/>
    </xf>
    <xf numFmtId="0" fontId="17" fillId="0" borderId="28" xfId="0" applyNumberFormat="1" applyFont="1" applyFill="1" applyBorder="1" applyAlignment="1" applyProtection="1">
      <alignment vertical="center" wrapText="1"/>
      <protection/>
    </xf>
    <xf numFmtId="0" fontId="2" fillId="0" borderId="46" xfId="0" applyNumberFormat="1" applyFont="1" applyFill="1" applyBorder="1" applyAlignment="1" applyProtection="1">
      <alignment/>
      <protection/>
    </xf>
    <xf numFmtId="0" fontId="2" fillId="0" borderId="66" xfId="0" applyNumberFormat="1" applyFont="1" applyFill="1" applyBorder="1" applyAlignment="1" applyProtection="1">
      <alignment/>
      <protection/>
    </xf>
    <xf numFmtId="0" fontId="2" fillId="0" borderId="4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86" xfId="0" applyNumberFormat="1" applyFont="1" applyFill="1" applyBorder="1" applyAlignment="1" applyProtection="1">
      <alignment horizontal="center" vertical="center"/>
      <protection/>
    </xf>
    <xf numFmtId="0" fontId="9" fillId="0" borderId="52" xfId="0" applyNumberFormat="1" applyFont="1" applyFill="1" applyBorder="1" applyAlignment="1" applyProtection="1">
      <alignment horizontal="center" vertical="center"/>
      <protection/>
    </xf>
    <xf numFmtId="0" fontId="17" fillId="0" borderId="45" xfId="0" applyNumberFormat="1" applyFont="1" applyFill="1" applyBorder="1" applyAlignment="1" applyProtection="1">
      <alignment horizontal="center" vertical="center"/>
      <protection/>
    </xf>
    <xf numFmtId="0" fontId="17" fillId="0" borderId="46" xfId="0" applyNumberFormat="1" applyFont="1" applyFill="1" applyBorder="1" applyAlignment="1" applyProtection="1">
      <alignment vertical="center" wrapText="1"/>
      <protection/>
    </xf>
    <xf numFmtId="164" fontId="41" fillId="0" borderId="46" xfId="0" applyNumberFormat="1" applyFont="1" applyFill="1" applyBorder="1" applyAlignment="1" applyProtection="1">
      <alignment vertical="center"/>
      <protection/>
    </xf>
    <xf numFmtId="0" fontId="41" fillId="0" borderId="46" xfId="0" applyNumberFormat="1" applyFont="1" applyFill="1" applyBorder="1" applyAlignment="1" applyProtection="1">
      <alignment/>
      <protection/>
    </xf>
    <xf numFmtId="0" fontId="41" fillId="0" borderId="66" xfId="0" applyNumberFormat="1" applyFont="1" applyFill="1" applyBorder="1" applyAlignment="1" applyProtection="1">
      <alignment/>
      <protection/>
    </xf>
    <xf numFmtId="0" fontId="41" fillId="0" borderId="47" xfId="0" applyNumberFormat="1" applyFont="1" applyFill="1" applyBorder="1" applyAlignment="1" applyProtection="1">
      <alignment/>
      <protection/>
    </xf>
    <xf numFmtId="0" fontId="17" fillId="0" borderId="52" xfId="0" applyNumberFormat="1" applyFont="1" applyFill="1" applyBorder="1" applyAlignment="1" applyProtection="1">
      <alignment horizontal="center" vertical="center"/>
      <protection/>
    </xf>
    <xf numFmtId="0" fontId="17" fillId="0" borderId="21" xfId="0" applyNumberFormat="1" applyFont="1" applyFill="1" applyBorder="1" applyAlignment="1" applyProtection="1">
      <alignment vertical="center" wrapText="1"/>
      <protection/>
    </xf>
    <xf numFmtId="164" fontId="41" fillId="0" borderId="21" xfId="0" applyNumberFormat="1" applyFont="1" applyFill="1" applyBorder="1" applyAlignment="1" applyProtection="1">
      <alignment vertical="center"/>
      <protection/>
    </xf>
    <xf numFmtId="164" fontId="9" fillId="0" borderId="66" xfId="0" applyNumberFormat="1" applyFont="1" applyFill="1" applyBorder="1" applyAlignment="1" applyProtection="1">
      <alignment horizontal="center" vertical="center"/>
      <protection/>
    </xf>
    <xf numFmtId="164" fontId="9" fillId="0" borderId="47" xfId="0" applyNumberFormat="1" applyFont="1" applyFill="1" applyBorder="1" applyAlignment="1" applyProtection="1">
      <alignment horizontal="center" vertical="center"/>
      <protection/>
    </xf>
    <xf numFmtId="164" fontId="9" fillId="0" borderId="24" xfId="0" applyNumberFormat="1" applyFont="1" applyFill="1" applyBorder="1" applyAlignment="1" applyProtection="1">
      <alignment horizontal="right" vertical="center"/>
      <protection/>
    </xf>
    <xf numFmtId="164" fontId="9" fillId="0" borderId="54" xfId="0" applyNumberFormat="1" applyFont="1" applyFill="1" applyBorder="1" applyAlignment="1" applyProtection="1">
      <alignment horizontal="right" vertical="center"/>
      <protection/>
    </xf>
    <xf numFmtId="0" fontId="9" fillId="0" borderId="56" xfId="0" applyNumberFormat="1" applyFont="1" applyFill="1" applyBorder="1" applyAlignment="1" applyProtection="1">
      <alignment vertical="center" wrapText="1"/>
      <protection/>
    </xf>
    <xf numFmtId="0" fontId="9" fillId="0" borderId="21" xfId="0" applyNumberFormat="1" applyFont="1" applyFill="1" applyBorder="1" applyAlignment="1" applyProtection="1">
      <alignment vertical="center"/>
      <protection/>
    </xf>
    <xf numFmtId="170" fontId="41" fillId="0" borderId="28" xfId="0" applyNumberFormat="1" applyFont="1" applyFill="1" applyBorder="1" applyAlignment="1" applyProtection="1">
      <alignment/>
      <protection/>
    </xf>
    <xf numFmtId="0" fontId="60" fillId="0" borderId="86" xfId="0" applyNumberFormat="1" applyFont="1" applyFill="1" applyBorder="1" applyAlignment="1" applyProtection="1">
      <alignment horizontal="center" vertical="center"/>
      <protection/>
    </xf>
    <xf numFmtId="0" fontId="73" fillId="0" borderId="36" xfId="0" applyNumberFormat="1" applyFont="1" applyFill="1" applyBorder="1" applyAlignment="1" applyProtection="1">
      <alignment vertical="center"/>
      <protection/>
    </xf>
    <xf numFmtId="164" fontId="60" fillId="0" borderId="36" xfId="0" applyNumberFormat="1" applyFont="1" applyFill="1" applyBorder="1" applyAlignment="1" applyProtection="1">
      <alignment vertical="center"/>
      <protection/>
    </xf>
    <xf numFmtId="0" fontId="60" fillId="0" borderId="36" xfId="0" applyNumberFormat="1" applyFont="1" applyFill="1" applyBorder="1" applyAlignment="1" applyProtection="1">
      <alignment vertical="center"/>
      <protection/>
    </xf>
    <xf numFmtId="0" fontId="60" fillId="0" borderId="53" xfId="0" applyNumberFormat="1" applyFont="1" applyFill="1" applyBorder="1" applyAlignment="1" applyProtection="1">
      <alignment vertical="center"/>
      <protection/>
    </xf>
    <xf numFmtId="0" fontId="60" fillId="0" borderId="0" xfId="0" applyNumberFormat="1" applyFont="1" applyFill="1" applyBorder="1" applyAlignment="1" applyProtection="1">
      <alignment vertical="center"/>
      <protection/>
    </xf>
    <xf numFmtId="0" fontId="60" fillId="0" borderId="0" xfId="0" applyFont="1" applyBorder="1" applyAlignment="1">
      <alignment vertical="center"/>
    </xf>
    <xf numFmtId="0" fontId="11" fillId="0" borderId="86" xfId="0" applyNumberFormat="1" applyFont="1" applyFill="1" applyBorder="1" applyAlignment="1" applyProtection="1">
      <alignment horizontal="center" vertical="center"/>
      <protection/>
    </xf>
    <xf numFmtId="0" fontId="60" fillId="0" borderId="36" xfId="0" applyNumberFormat="1" applyFont="1" applyFill="1" applyBorder="1" applyAlignment="1" applyProtection="1">
      <alignment vertical="center" wrapText="1"/>
      <protection/>
    </xf>
    <xf numFmtId="0" fontId="60" fillId="0" borderId="36" xfId="0" applyNumberFormat="1" applyFont="1" applyFill="1" applyBorder="1" applyAlignment="1" applyProtection="1">
      <alignment/>
      <protection/>
    </xf>
    <xf numFmtId="170" fontId="60" fillId="0" borderId="36" xfId="0" applyNumberFormat="1" applyFont="1" applyFill="1" applyBorder="1" applyAlignment="1" applyProtection="1">
      <alignment/>
      <protection/>
    </xf>
    <xf numFmtId="0" fontId="60" fillId="0" borderId="36" xfId="0" applyNumberFormat="1" applyFont="1" applyFill="1" applyBorder="1" applyAlignment="1" applyProtection="1">
      <alignment horizontal="center" vertical="center"/>
      <protection/>
    </xf>
    <xf numFmtId="0" fontId="60" fillId="0" borderId="46" xfId="0" applyNumberFormat="1" applyFont="1" applyFill="1" applyBorder="1" applyAlignment="1" applyProtection="1">
      <alignment/>
      <protection/>
    </xf>
    <xf numFmtId="164" fontId="9" fillId="0" borderId="20" xfId="0" applyNumberFormat="1" applyFont="1" applyFill="1" applyBorder="1" applyAlignment="1" applyProtection="1">
      <alignment vertical="center"/>
      <protection/>
    </xf>
    <xf numFmtId="164" fontId="9" fillId="0" borderId="24" xfId="0" applyNumberFormat="1" applyFont="1" applyFill="1" applyBorder="1" applyAlignment="1" applyProtection="1">
      <alignment vertical="center"/>
      <protection/>
    </xf>
    <xf numFmtId="164" fontId="9" fillId="0" borderId="54" xfId="0" applyNumberFormat="1" applyFont="1" applyFill="1" applyBorder="1" applyAlignment="1" applyProtection="1">
      <alignment vertical="center"/>
      <protection/>
    </xf>
    <xf numFmtId="164" fontId="41" fillId="0" borderId="30" xfId="0" applyNumberFormat="1" applyFont="1" applyFill="1" applyBorder="1" applyAlignment="1" applyProtection="1">
      <alignment vertical="center"/>
      <protection/>
    </xf>
    <xf numFmtId="164" fontId="60" fillId="0" borderId="27" xfId="0" applyNumberFormat="1" applyFont="1" applyFill="1" applyBorder="1" applyAlignment="1" applyProtection="1">
      <alignment vertical="center"/>
      <protection/>
    </xf>
    <xf numFmtId="0" fontId="73" fillId="0" borderId="134" xfId="0" applyNumberFormat="1" applyFont="1" applyFill="1" applyBorder="1" applyAlignment="1" applyProtection="1">
      <alignment horizontal="center" vertical="center"/>
      <protection/>
    </xf>
    <xf numFmtId="0" fontId="73" fillId="0" borderId="106" xfId="0" applyFont="1" applyBorder="1" applyAlignment="1">
      <alignment vertical="center"/>
    </xf>
    <xf numFmtId="164" fontId="73" fillId="0" borderId="106" xfId="0" applyNumberFormat="1" applyFont="1" applyFill="1" applyBorder="1" applyAlignment="1" applyProtection="1">
      <alignment vertical="center"/>
      <protection/>
    </xf>
    <xf numFmtId="164" fontId="73" fillId="0" borderId="110" xfId="0" applyNumberFormat="1" applyFont="1" applyFill="1" applyBorder="1" applyAlignment="1" applyProtection="1">
      <alignment vertical="center"/>
      <protection/>
    </xf>
    <xf numFmtId="164" fontId="73" fillId="0" borderId="36" xfId="0" applyNumberFormat="1" applyFont="1" applyFill="1" applyBorder="1" applyAlignment="1" applyProtection="1">
      <alignment vertical="center"/>
      <protection/>
    </xf>
    <xf numFmtId="0" fontId="73" fillId="0" borderId="53" xfId="0" applyNumberFormat="1" applyFont="1" applyFill="1" applyBorder="1" applyAlignment="1" applyProtection="1">
      <alignment vertical="center"/>
      <protection/>
    </xf>
    <xf numFmtId="0" fontId="73" fillId="0" borderId="0" xfId="0" applyNumberFormat="1" applyFont="1" applyFill="1" applyBorder="1" applyAlignment="1" applyProtection="1">
      <alignment vertical="center"/>
      <protection/>
    </xf>
    <xf numFmtId="0" fontId="73" fillId="0" borderId="0" xfId="0" applyFont="1" applyAlignment="1">
      <alignment vertical="center"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60" fillId="0" borderId="30" xfId="0" applyNumberFormat="1" applyFont="1" applyFill="1" applyBorder="1" applyAlignment="1" applyProtection="1">
      <alignment vertical="center"/>
      <protection/>
    </xf>
    <xf numFmtId="0" fontId="13" fillId="0" borderId="135" xfId="0" applyNumberFormat="1" applyFont="1" applyFill="1" applyBorder="1" applyAlignment="1" applyProtection="1">
      <alignment horizontal="center" vertical="center"/>
      <protection/>
    </xf>
    <xf numFmtId="0" fontId="9" fillId="0" borderId="136" xfId="0" applyNumberFormat="1" applyFont="1" applyFill="1" applyBorder="1" applyAlignment="1" applyProtection="1">
      <alignment vertical="center" wrapText="1"/>
      <protection/>
    </xf>
    <xf numFmtId="164" fontId="9" fillId="0" borderId="136" xfId="0" applyNumberFormat="1" applyFont="1" applyFill="1" applyBorder="1" applyAlignment="1" applyProtection="1">
      <alignment vertical="center"/>
      <protection/>
    </xf>
    <xf numFmtId="164" fontId="9" fillId="0" borderId="128" xfId="0" applyNumberFormat="1" applyFont="1" applyFill="1" applyBorder="1" applyAlignment="1" applyProtection="1">
      <alignment vertical="center"/>
      <protection/>
    </xf>
    <xf numFmtId="164" fontId="41" fillId="0" borderId="53" xfId="0" applyNumberFormat="1" applyFont="1" applyFill="1" applyBorder="1" applyAlignment="1" applyProtection="1">
      <alignment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7" fillId="0" borderId="21" xfId="0" applyNumberFormat="1" applyFont="1" applyFill="1" applyBorder="1" applyAlignment="1" applyProtection="1">
      <alignment vertical="center"/>
      <protection/>
    </xf>
    <xf numFmtId="164" fontId="41" fillId="0" borderId="24" xfId="0" applyNumberFormat="1" applyFont="1" applyFill="1" applyBorder="1" applyAlignment="1" applyProtection="1">
      <alignment vertical="center"/>
      <protection/>
    </xf>
    <xf numFmtId="164" fontId="41" fillId="0" borderId="54" xfId="0" applyNumberFormat="1" applyFont="1" applyFill="1" applyBorder="1" applyAlignment="1" applyProtection="1">
      <alignment vertical="center"/>
      <protection/>
    </xf>
    <xf numFmtId="0" fontId="13" fillId="0" borderId="137" xfId="0" applyNumberFormat="1" applyFont="1" applyFill="1" applyBorder="1" applyAlignment="1" applyProtection="1">
      <alignment horizontal="center" vertical="center"/>
      <protection/>
    </xf>
    <xf numFmtId="0" fontId="5" fillId="0" borderId="138" xfId="0" applyNumberFormat="1" applyFont="1" applyFill="1" applyBorder="1" applyAlignment="1" applyProtection="1">
      <alignment horizontal="left" vertical="center"/>
      <protection/>
    </xf>
    <xf numFmtId="164" fontId="9" fillId="0" borderId="138" xfId="0" applyNumberFormat="1" applyFont="1" applyFill="1" applyBorder="1" applyAlignment="1" applyProtection="1">
      <alignment vertical="center"/>
      <protection/>
    </xf>
    <xf numFmtId="164" fontId="9" fillId="0" borderId="139" xfId="0" applyNumberFormat="1" applyFont="1" applyFill="1" applyBorder="1" applyAlignment="1" applyProtection="1">
      <alignment vertical="center"/>
      <protection/>
    </xf>
    <xf numFmtId="164" fontId="9" fillId="0" borderId="14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horizontal="left"/>
    </xf>
    <xf numFmtId="164" fontId="9" fillId="0" borderId="0" xfId="0" applyNumberFormat="1" applyFont="1" applyFill="1" applyBorder="1" applyAlignment="1" applyProtection="1">
      <alignment vertical="center"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vertical="top"/>
    </xf>
    <xf numFmtId="0" fontId="49" fillId="0" borderId="0" xfId="0" applyFont="1" applyAlignment="1">
      <alignment horizontal="centerContinuous" vertical="center" wrapText="1"/>
    </xf>
    <xf numFmtId="0" fontId="74" fillId="0" borderId="0" xfId="0" applyFont="1" applyAlignment="1">
      <alignment horizontal="centerContinuous" vertical="center" wrapText="1"/>
    </xf>
    <xf numFmtId="0" fontId="74" fillId="0" borderId="0" xfId="0" applyFont="1" applyAlignment="1">
      <alignment vertical="center"/>
    </xf>
    <xf numFmtId="0" fontId="8" fillId="0" borderId="38" xfId="0" applyFont="1" applyBorder="1" applyAlignment="1">
      <alignment horizontal="centerContinuous" vertical="top" wrapText="1"/>
    </xf>
    <xf numFmtId="0" fontId="5" fillId="0" borderId="38" xfId="0" applyFont="1" applyBorder="1" applyAlignment="1">
      <alignment horizontal="centerContinuous" vertical="center" wrapText="1"/>
    </xf>
    <xf numFmtId="0" fontId="5" fillId="0" borderId="38" xfId="0" applyNumberFormat="1" applyFont="1" applyBorder="1" applyAlignment="1">
      <alignment horizontal="centerContinuous" vertical="center" wrapText="1"/>
    </xf>
    <xf numFmtId="0" fontId="2" fillId="0" borderId="38" xfId="0" applyFont="1" applyBorder="1" applyAlignment="1">
      <alignment horizontal="centerContinuous" vertical="top" wrapText="1"/>
    </xf>
    <xf numFmtId="0" fontId="57" fillId="0" borderId="117" xfId="0" applyFont="1" applyBorder="1" applyAlignment="1">
      <alignment/>
    </xf>
    <xf numFmtId="0" fontId="57" fillId="0" borderId="40" xfId="0" applyFont="1" applyFill="1" applyBorder="1" applyAlignment="1" applyProtection="1">
      <alignment horizontal="centerContinuous"/>
      <protection hidden="1" locked="0"/>
    </xf>
    <xf numFmtId="0" fontId="9" fillId="0" borderId="22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Continuous" vertical="center" wrapText="1"/>
    </xf>
    <xf numFmtId="0" fontId="9" fillId="0" borderId="12" xfId="0" applyFont="1" applyBorder="1" applyAlignment="1">
      <alignment horizontal="centerContinuous" vertical="center" wrapText="1"/>
    </xf>
    <xf numFmtId="0" fontId="8" fillId="0" borderId="12" xfId="0" applyFont="1" applyBorder="1" applyAlignment="1">
      <alignment horizontal="centerContinuous" vertical="center" wrapText="1"/>
    </xf>
    <xf numFmtId="0" fontId="9" fillId="0" borderId="8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11" fillId="0" borderId="118" xfId="0" applyFont="1" applyBorder="1" applyAlignment="1">
      <alignment horizontal="center" vertical="top"/>
    </xf>
    <xf numFmtId="0" fontId="6" fillId="0" borderId="39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Continuous" vertical="center" wrapText="1"/>
    </xf>
    <xf numFmtId="0" fontId="7" fillId="0" borderId="9" xfId="0" applyFont="1" applyBorder="1" applyAlignment="1">
      <alignment horizontal="centerContinuous" vertical="center" wrapText="1"/>
    </xf>
    <xf numFmtId="0" fontId="13" fillId="0" borderId="71" xfId="0" applyFont="1" applyBorder="1" applyAlignment="1">
      <alignment horizontal="centerContinuous" vertical="center" wrapText="1"/>
    </xf>
    <xf numFmtId="0" fontId="7" fillId="0" borderId="12" xfId="0" applyFont="1" applyBorder="1" applyAlignment="1">
      <alignment horizontal="centerContinuous" vertical="center" wrapText="1"/>
    </xf>
    <xf numFmtId="0" fontId="56" fillId="0" borderId="0" xfId="0" applyFont="1" applyAlignment="1">
      <alignment/>
    </xf>
    <xf numFmtId="0" fontId="75" fillId="0" borderId="99" xfId="0" applyFont="1" applyBorder="1" applyAlignment="1">
      <alignment horizontal="center" vertical="center"/>
    </xf>
    <xf numFmtId="0" fontId="75" fillId="0" borderId="33" xfId="0" applyFont="1" applyBorder="1" applyAlignment="1">
      <alignment horizontal="center" vertical="center"/>
    </xf>
    <xf numFmtId="0" fontId="75" fillId="0" borderId="7" xfId="0" applyFont="1" applyBorder="1" applyAlignment="1">
      <alignment horizontal="center" vertical="center"/>
    </xf>
    <xf numFmtId="0" fontId="75" fillId="0" borderId="8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" fillId="0" borderId="121" xfId="0" applyFont="1" applyBorder="1" applyAlignment="1">
      <alignment horizontal="center" vertical="center"/>
    </xf>
    <xf numFmtId="0" fontId="7" fillId="0" borderId="124" xfId="0" applyFont="1" applyBorder="1" applyAlignment="1">
      <alignment horizontal="left" vertical="center" wrapText="1"/>
    </xf>
    <xf numFmtId="170" fontId="7" fillId="0" borderId="104" xfId="0" applyNumberFormat="1" applyFont="1" applyBorder="1" applyAlignment="1">
      <alignment horizontal="center" vertical="center"/>
    </xf>
    <xf numFmtId="1" fontId="7" fillId="0" borderId="105" xfId="0" applyNumberFormat="1" applyFont="1" applyBorder="1" applyAlignment="1">
      <alignment horizontal="center" vertical="center"/>
    </xf>
    <xf numFmtId="3" fontId="7" fillId="0" borderId="46" xfId="0" applyNumberFormat="1" applyFont="1" applyBorder="1" applyAlignment="1">
      <alignment horizontal="center" vertical="center"/>
    </xf>
    <xf numFmtId="164" fontId="7" fillId="0" borderId="82" xfId="0" applyNumberFormat="1" applyFont="1" applyBorder="1" applyAlignment="1">
      <alignment horizontal="centerContinuous" vertical="center"/>
    </xf>
    <xf numFmtId="3" fontId="7" fillId="0" borderId="104" xfId="0" applyNumberFormat="1" applyFont="1" applyBorder="1" applyAlignment="1">
      <alignment vertical="center"/>
    </xf>
    <xf numFmtId="3" fontId="7" fillId="0" borderId="56" xfId="0" applyNumberFormat="1" applyFont="1" applyBorder="1" applyAlignment="1">
      <alignment vertical="center"/>
    </xf>
    <xf numFmtId="164" fontId="7" fillId="0" borderId="108" xfId="0" applyNumberFormat="1" applyFont="1" applyBorder="1" applyAlignment="1">
      <alignment horizontal="centerContinuous" vertical="center"/>
    </xf>
    <xf numFmtId="0" fontId="56" fillId="0" borderId="0" xfId="0" applyFont="1" applyAlignment="1">
      <alignment vertical="center"/>
    </xf>
    <xf numFmtId="0" fontId="7" fillId="0" borderId="141" xfId="0" applyFont="1" applyBorder="1" applyAlignment="1">
      <alignment horizontal="center" vertical="center"/>
    </xf>
    <xf numFmtId="0" fontId="7" fillId="0" borderId="98" xfId="0" applyFont="1" applyBorder="1" applyAlignment="1">
      <alignment horizontal="left" vertical="center" wrapText="1"/>
    </xf>
    <xf numFmtId="170" fontId="7" fillId="0" borderId="97" xfId="0" applyNumberFormat="1" applyFont="1" applyBorder="1" applyAlignment="1">
      <alignment horizontal="center" vertical="center"/>
    </xf>
    <xf numFmtId="170" fontId="7" fillId="0" borderId="102" xfId="0" applyNumberFormat="1" applyFont="1" applyBorder="1" applyAlignment="1">
      <alignment horizontal="center" vertical="center"/>
    </xf>
    <xf numFmtId="3" fontId="7" fillId="0" borderId="97" xfId="0" applyNumberFormat="1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1" fontId="7" fillId="0" borderId="104" xfId="0" applyNumberFormat="1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 wrapText="1"/>
    </xf>
    <xf numFmtId="170" fontId="7" fillId="0" borderId="105" xfId="0" applyNumberFormat="1" applyFont="1" applyBorder="1" applyAlignment="1">
      <alignment horizontal="center" vertical="center"/>
    </xf>
    <xf numFmtId="0" fontId="7" fillId="0" borderId="124" xfId="0" applyFont="1" applyBorder="1" applyAlignment="1">
      <alignment horizontal="center" vertical="center"/>
    </xf>
    <xf numFmtId="164" fontId="7" fillId="0" borderId="105" xfId="0" applyNumberFormat="1" applyFont="1" applyBorder="1" applyAlignment="1">
      <alignment horizontal="center" vertical="center"/>
    </xf>
    <xf numFmtId="3" fontId="7" fillId="0" borderId="105" xfId="0" applyNumberFormat="1" applyFont="1" applyBorder="1" applyAlignment="1">
      <alignment horizontal="center" vertical="center"/>
    </xf>
    <xf numFmtId="0" fontId="6" fillId="0" borderId="99" xfId="0" applyFont="1" applyBorder="1" applyAlignment="1">
      <alignment horizontal="right" vertical="center"/>
    </xf>
    <xf numFmtId="0" fontId="8" fillId="0" borderId="33" xfId="0" applyFont="1" applyBorder="1" applyAlignment="1">
      <alignment horizontal="center" vertical="center" wrapText="1"/>
    </xf>
    <xf numFmtId="164" fontId="9" fillId="0" borderId="99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Continuous" vertical="center"/>
    </xf>
    <xf numFmtId="0" fontId="5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3" fontId="8" fillId="0" borderId="32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99" xfId="0" applyNumberFormat="1" applyFont="1" applyBorder="1" applyAlignment="1">
      <alignment horizontal="center" vertical="center" wrapText="1"/>
    </xf>
    <xf numFmtId="3" fontId="8" fillId="0" borderId="99" xfId="0" applyNumberFormat="1" applyFont="1" applyBorder="1" applyAlignment="1">
      <alignment horizontal="center" vertical="center" wrapText="1"/>
    </xf>
    <xf numFmtId="3" fontId="8" fillId="0" borderId="32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0" fontId="23" fillId="0" borderId="36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 wrapText="1"/>
    </xf>
    <xf numFmtId="168" fontId="22" fillId="0" borderId="32" xfId="0" applyNumberFormat="1" applyFont="1" applyBorder="1" applyAlignment="1">
      <alignment horizontal="left" vertical="center"/>
    </xf>
    <xf numFmtId="168" fontId="22" fillId="0" borderId="12" xfId="0" applyNumberFormat="1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36" xfId="0" applyBorder="1" applyAlignment="1">
      <alignment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32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168" fontId="20" fillId="0" borderId="11" xfId="0" applyNumberFormat="1" applyFont="1" applyBorder="1" applyAlignment="1">
      <alignment horizontal="left" vertical="center" wrapText="1"/>
    </xf>
    <xf numFmtId="168" fontId="20" fillId="0" borderId="32" xfId="0" applyNumberFormat="1" applyFont="1" applyBorder="1" applyAlignment="1">
      <alignment horizontal="left" vertical="center" wrapText="1"/>
    </xf>
    <xf numFmtId="168" fontId="20" fillId="0" borderId="12" xfId="0" applyNumberFormat="1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31" fillId="0" borderId="112" xfId="0" applyFont="1" applyBorder="1" applyAlignment="1">
      <alignment horizontal="left" vertical="center"/>
    </xf>
    <xf numFmtId="0" fontId="31" fillId="0" borderId="123" xfId="0" applyFont="1" applyBorder="1" applyAlignment="1">
      <alignment horizontal="left" vertical="center"/>
    </xf>
    <xf numFmtId="0" fontId="31" fillId="0" borderId="119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32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1" fillId="0" borderId="47" xfId="0" applyFont="1" applyBorder="1" applyAlignment="1">
      <alignment horizontal="left" vertical="center" wrapText="1"/>
    </xf>
    <xf numFmtId="0" fontId="41" fillId="0" borderId="54" xfId="0" applyFont="1" applyBorder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1" fillId="0" borderId="84" xfId="0" applyFont="1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8" fillId="0" borderId="3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ny_ARK2WYD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workbookViewId="0" topLeftCell="A1">
      <selection activeCell="B11" sqref="B11"/>
    </sheetView>
  </sheetViews>
  <sheetFormatPr defaultColWidth="9.00390625" defaultRowHeight="12.75"/>
  <cols>
    <col min="1" max="1" width="3.375" style="5" customWidth="1"/>
    <col min="2" max="2" width="39.625" style="5" customWidth="1"/>
    <col min="3" max="3" width="10.00390625" style="6" customWidth="1"/>
    <col min="4" max="4" width="10.75390625" style="6" customWidth="1"/>
    <col min="5" max="5" width="6.75390625" style="6" customWidth="1"/>
    <col min="6" max="6" width="6.00390625" style="5" customWidth="1"/>
    <col min="7" max="7" width="11.00390625" style="6" customWidth="1"/>
    <col min="8" max="8" width="10.75390625" style="6" customWidth="1"/>
    <col min="9" max="9" width="6.625" style="6" customWidth="1"/>
    <col min="10" max="10" width="6.00390625" style="5" customWidth="1"/>
    <col min="11" max="11" width="11.125" style="6" customWidth="1"/>
    <col min="12" max="12" width="10.875" style="6" customWidth="1"/>
    <col min="13" max="13" width="6.75390625" style="6" customWidth="1"/>
    <col min="14" max="14" width="5.625" style="5" customWidth="1"/>
    <col min="15" max="16384" width="9.125" style="5" customWidth="1"/>
  </cols>
  <sheetData>
    <row r="1" spans="1:14" ht="11.2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3"/>
      <c r="N1" s="4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/>
      <c r="M2" s="7" t="s">
        <v>1308</v>
      </c>
      <c r="N2" s="8" t="s">
        <v>1309</v>
      </c>
    </row>
    <row r="3" spans="1:14" ht="12.75">
      <c r="A3" s="1"/>
      <c r="B3" s="1"/>
      <c r="C3" s="9"/>
      <c r="D3" s="9"/>
      <c r="E3" s="9"/>
      <c r="F3" s="1"/>
      <c r="G3" s="9"/>
      <c r="H3" s="9"/>
      <c r="I3" s="9"/>
      <c r="J3" s="1"/>
      <c r="K3" s="9"/>
      <c r="L3" s="9"/>
      <c r="M3" s="9"/>
      <c r="N3" s="1"/>
    </row>
    <row r="4" spans="1:14" ht="18.75">
      <c r="A4" s="10"/>
      <c r="B4" s="2072" t="s">
        <v>1310</v>
      </c>
      <c r="C4" s="2072"/>
      <c r="D4" s="2072"/>
      <c r="E4" s="2072"/>
      <c r="F4" s="2072"/>
      <c r="G4" s="2072"/>
      <c r="H4" s="2072"/>
      <c r="I4" s="2072"/>
      <c r="J4" s="2072"/>
      <c r="K4" s="2072"/>
      <c r="L4" s="2072"/>
      <c r="M4" s="2072"/>
      <c r="N4" s="11"/>
    </row>
    <row r="5" spans="1:14" ht="18.75">
      <c r="A5" s="10"/>
      <c r="B5" s="2072"/>
      <c r="C5" s="2072"/>
      <c r="D5" s="2072"/>
      <c r="E5" s="2072"/>
      <c r="F5" s="2072"/>
      <c r="G5" s="2072"/>
      <c r="H5" s="2072"/>
      <c r="I5" s="2072"/>
      <c r="J5" s="2072"/>
      <c r="K5" s="2072"/>
      <c r="L5" s="2072"/>
      <c r="M5" s="2072"/>
      <c r="N5" s="11"/>
    </row>
    <row r="6" spans="1:13" ht="15" customHeight="1" thickBot="1">
      <c r="A6" s="12"/>
      <c r="B6" s="12"/>
      <c r="C6" s="13"/>
      <c r="D6" s="13"/>
      <c r="E6" s="13"/>
      <c r="F6" s="14"/>
      <c r="G6" s="13"/>
      <c r="H6" s="13"/>
      <c r="I6" s="13"/>
      <c r="J6" s="14"/>
      <c r="M6" s="15" t="s">
        <v>1311</v>
      </c>
    </row>
    <row r="7" spans="1:14" s="18" customFormat="1" ht="20.25" customHeight="1" thickBot="1" thickTop="1">
      <c r="A7" s="16"/>
      <c r="B7" s="17"/>
      <c r="C7" s="2073" t="s">
        <v>1312</v>
      </c>
      <c r="D7" s="2073"/>
      <c r="E7" s="2073"/>
      <c r="F7" s="2074"/>
      <c r="G7" s="2075" t="s">
        <v>1313</v>
      </c>
      <c r="H7" s="2073"/>
      <c r="I7" s="2073"/>
      <c r="J7" s="2074"/>
      <c r="K7" s="2076" t="s">
        <v>1314</v>
      </c>
      <c r="L7" s="2077"/>
      <c r="M7" s="2077"/>
      <c r="N7" s="2078"/>
    </row>
    <row r="8" spans="1:14" s="25" customFormat="1" ht="33" customHeight="1" thickBot="1" thickTop="1">
      <c r="A8" s="19" t="s">
        <v>1315</v>
      </c>
      <c r="B8" s="20" t="s">
        <v>1316</v>
      </c>
      <c r="C8" s="21" t="s">
        <v>1317</v>
      </c>
      <c r="D8" s="22" t="s">
        <v>1318</v>
      </c>
      <c r="E8" s="23" t="s">
        <v>1319</v>
      </c>
      <c r="F8" s="24" t="s">
        <v>1320</v>
      </c>
      <c r="G8" s="21" t="s">
        <v>1317</v>
      </c>
      <c r="H8" s="22" t="s">
        <v>1318</v>
      </c>
      <c r="I8" s="23" t="s">
        <v>1321</v>
      </c>
      <c r="J8" s="24" t="s">
        <v>1320</v>
      </c>
      <c r="K8" s="21" t="s">
        <v>1317</v>
      </c>
      <c r="L8" s="22" t="s">
        <v>1318</v>
      </c>
      <c r="M8" s="23" t="s">
        <v>1322</v>
      </c>
      <c r="N8" s="24" t="s">
        <v>1320</v>
      </c>
    </row>
    <row r="9" spans="1:14" s="33" customFormat="1" ht="8.25" customHeight="1" thickBot="1" thickTop="1">
      <c r="A9" s="26">
        <v>1</v>
      </c>
      <c r="B9" s="27">
        <v>2</v>
      </c>
      <c r="C9" s="28">
        <v>3</v>
      </c>
      <c r="D9" s="29">
        <v>4</v>
      </c>
      <c r="E9" s="30">
        <v>5</v>
      </c>
      <c r="F9" s="31">
        <v>6</v>
      </c>
      <c r="G9" s="32">
        <v>7</v>
      </c>
      <c r="H9" s="32">
        <v>8</v>
      </c>
      <c r="I9" s="30">
        <v>9</v>
      </c>
      <c r="J9" s="31">
        <v>10</v>
      </c>
      <c r="K9" s="29">
        <v>11</v>
      </c>
      <c r="L9" s="32">
        <v>12</v>
      </c>
      <c r="M9" s="32">
        <v>13</v>
      </c>
      <c r="N9" s="31">
        <v>14</v>
      </c>
    </row>
    <row r="10" spans="1:14" s="40" customFormat="1" ht="17.25" customHeight="1" thickBot="1" thickTop="1">
      <c r="A10" s="34" t="s">
        <v>1323</v>
      </c>
      <c r="B10" s="35" t="s">
        <v>1324</v>
      </c>
      <c r="C10" s="36">
        <f>C11+C17+C24+C29+C47+C50</f>
        <v>143883071</v>
      </c>
      <c r="D10" s="36">
        <f>D11+D17+D24+D29+D47+D50</f>
        <v>137220732</v>
      </c>
      <c r="E10" s="37">
        <f aca="true" t="shared" si="0" ref="E10:E45">D10/C10*100</f>
        <v>95.36961579031073</v>
      </c>
      <c r="F10" s="38">
        <f>D10/$D$95*100</f>
        <v>51.38802886863847</v>
      </c>
      <c r="G10" s="36">
        <f>G11+G17+G24+G29+G47+G50</f>
        <v>124585001</v>
      </c>
      <c r="H10" s="36">
        <f>H11+H17+H24+H29+H47+H50</f>
        <v>118022157</v>
      </c>
      <c r="I10" s="39">
        <f aca="true" t="shared" si="1" ref="I10:I71">H10/G10*100</f>
        <v>94.73223586521462</v>
      </c>
      <c r="J10" s="38">
        <f>H10/$D$95*100</f>
        <v>44.198321366300405</v>
      </c>
      <c r="K10" s="36">
        <f>K11+K17+K24+K29+K47+K50</f>
        <v>19298070</v>
      </c>
      <c r="L10" s="36">
        <f>L11+L17+L24+L29+L47+L50</f>
        <v>19198575</v>
      </c>
      <c r="M10" s="39">
        <f>L10/K10*100</f>
        <v>99.48443030831581</v>
      </c>
      <c r="N10" s="38">
        <f>L10/$D$95*100</f>
        <v>7.189707502338064</v>
      </c>
    </row>
    <row r="11" spans="1:14" s="40" customFormat="1" ht="21" customHeight="1" thickBot="1" thickTop="1">
      <c r="A11" s="41" t="s">
        <v>1325</v>
      </c>
      <c r="B11" s="42" t="s">
        <v>1326</v>
      </c>
      <c r="C11" s="43">
        <f>SUM(C12:C16)</f>
        <v>25575000</v>
      </c>
      <c r="D11" s="44">
        <f>SUM(D12:D16)</f>
        <v>25955820</v>
      </c>
      <c r="E11" s="45">
        <f t="shared" si="0"/>
        <v>101.48903225806451</v>
      </c>
      <c r="F11" s="46">
        <f>D11/$D$95*100</f>
        <v>9.720239850266823</v>
      </c>
      <c r="G11" s="44">
        <f>SUM(G12:G16)</f>
        <v>25575000</v>
      </c>
      <c r="H11" s="44">
        <f>SUM(H12:H16)</f>
        <v>25955820</v>
      </c>
      <c r="I11" s="47">
        <f t="shared" si="1"/>
        <v>101.48903225806451</v>
      </c>
      <c r="J11" s="46">
        <f>H11/$D$95*100</f>
        <v>9.720239850266823</v>
      </c>
      <c r="K11" s="44"/>
      <c r="L11" s="44"/>
      <c r="M11" s="47"/>
      <c r="N11" s="46"/>
    </row>
    <row r="12" spans="1:14" s="57" customFormat="1" ht="14.25" customHeight="1" thickTop="1">
      <c r="A12" s="48">
        <v>1</v>
      </c>
      <c r="B12" s="49" t="s">
        <v>1327</v>
      </c>
      <c r="C12" s="50">
        <f>G12+K12</f>
        <v>24096700</v>
      </c>
      <c r="D12" s="51">
        <f>H12+L12</f>
        <v>24453000</v>
      </c>
      <c r="E12" s="52">
        <f>D12/C12*100</f>
        <v>101.47862570393455</v>
      </c>
      <c r="F12" s="53"/>
      <c r="G12" s="51">
        <v>24096700</v>
      </c>
      <c r="H12" s="51">
        <v>24453000</v>
      </c>
      <c r="I12" s="54">
        <f t="shared" si="1"/>
        <v>101.47862570393455</v>
      </c>
      <c r="J12" s="55"/>
      <c r="K12" s="51"/>
      <c r="L12" s="51"/>
      <c r="M12" s="54"/>
      <c r="N12" s="56"/>
    </row>
    <row r="13" spans="1:14" s="57" customFormat="1" ht="12.75" customHeight="1">
      <c r="A13" s="48">
        <v>2</v>
      </c>
      <c r="B13" s="49" t="s">
        <v>1328</v>
      </c>
      <c r="C13" s="50">
        <f aca="true" t="shared" si="2" ref="C13:D16">G13+K13</f>
        <v>16400</v>
      </c>
      <c r="D13" s="51">
        <f t="shared" si="2"/>
        <v>17390</v>
      </c>
      <c r="E13" s="52">
        <f t="shared" si="0"/>
        <v>106.03658536585365</v>
      </c>
      <c r="F13" s="56"/>
      <c r="G13" s="51">
        <v>16400</v>
      </c>
      <c r="H13" s="51">
        <v>17390</v>
      </c>
      <c r="I13" s="54">
        <f t="shared" si="1"/>
        <v>106.03658536585365</v>
      </c>
      <c r="J13" s="55"/>
      <c r="K13" s="51"/>
      <c r="L13" s="51"/>
      <c r="M13" s="54"/>
      <c r="N13" s="56"/>
    </row>
    <row r="14" spans="1:14" s="57" customFormat="1" ht="12.75" customHeight="1">
      <c r="A14" s="48">
        <v>3</v>
      </c>
      <c r="B14" s="49" t="s">
        <v>1329</v>
      </c>
      <c r="C14" s="50">
        <f t="shared" si="2"/>
        <v>31000</v>
      </c>
      <c r="D14" s="51">
        <f t="shared" si="2"/>
        <v>35430</v>
      </c>
      <c r="E14" s="52">
        <f t="shared" si="0"/>
        <v>114.29032258064515</v>
      </c>
      <c r="F14" s="55"/>
      <c r="G14" s="51">
        <v>31000</v>
      </c>
      <c r="H14" s="51">
        <v>35430</v>
      </c>
      <c r="I14" s="54">
        <f t="shared" si="1"/>
        <v>114.29032258064515</v>
      </c>
      <c r="J14" s="55"/>
      <c r="K14" s="51"/>
      <c r="L14" s="51"/>
      <c r="M14" s="54"/>
      <c r="N14" s="56"/>
    </row>
    <row r="15" spans="1:14" s="57" customFormat="1" ht="12.75" customHeight="1">
      <c r="A15" s="58">
        <v>4</v>
      </c>
      <c r="B15" s="49" t="s">
        <v>1330</v>
      </c>
      <c r="C15" s="50">
        <f t="shared" si="2"/>
        <v>910900</v>
      </c>
      <c r="D15" s="51">
        <f t="shared" si="2"/>
        <v>930000</v>
      </c>
      <c r="E15" s="52">
        <f t="shared" si="0"/>
        <v>102.09682731364585</v>
      </c>
      <c r="F15" s="55"/>
      <c r="G15" s="51">
        <v>910900</v>
      </c>
      <c r="H15" s="51">
        <v>930000</v>
      </c>
      <c r="I15" s="54">
        <f t="shared" si="1"/>
        <v>102.09682731364585</v>
      </c>
      <c r="J15" s="55"/>
      <c r="K15" s="51"/>
      <c r="L15" s="51"/>
      <c r="M15" s="54"/>
      <c r="N15" s="56"/>
    </row>
    <row r="16" spans="1:14" s="57" customFormat="1" ht="12.75" customHeight="1" thickBot="1">
      <c r="A16" s="48">
        <v>5</v>
      </c>
      <c r="B16" s="49" t="s">
        <v>1331</v>
      </c>
      <c r="C16" s="50">
        <f t="shared" si="2"/>
        <v>520000</v>
      </c>
      <c r="D16" s="51">
        <f t="shared" si="2"/>
        <v>520000</v>
      </c>
      <c r="E16" s="52">
        <f t="shared" si="0"/>
        <v>100</v>
      </c>
      <c r="F16" s="55"/>
      <c r="G16" s="51">
        <v>520000</v>
      </c>
      <c r="H16" s="51">
        <v>520000</v>
      </c>
      <c r="I16" s="54">
        <f t="shared" si="1"/>
        <v>100</v>
      </c>
      <c r="J16" s="55"/>
      <c r="K16" s="51"/>
      <c r="L16" s="51"/>
      <c r="M16" s="54"/>
      <c r="N16" s="56"/>
    </row>
    <row r="17" spans="1:14" s="40" customFormat="1" ht="18.75" customHeight="1" thickBot="1" thickTop="1">
      <c r="A17" s="59" t="s">
        <v>1309</v>
      </c>
      <c r="B17" s="60" t="s">
        <v>1332</v>
      </c>
      <c r="C17" s="36">
        <f>SUM(C18:C23)</f>
        <v>7711500</v>
      </c>
      <c r="D17" s="36">
        <f>SUM(D18:D23)</f>
        <v>8036700</v>
      </c>
      <c r="E17" s="37">
        <f t="shared" si="0"/>
        <v>104.2170783894184</v>
      </c>
      <c r="F17" s="61">
        <f>D17/$D$95*100</f>
        <v>3.0096776601409387</v>
      </c>
      <c r="G17" s="36">
        <f>SUM(G18:G23)</f>
        <v>7711500</v>
      </c>
      <c r="H17" s="36">
        <f>SUM(H18:H23)</f>
        <v>8036700</v>
      </c>
      <c r="I17" s="39">
        <f t="shared" si="1"/>
        <v>104.2170783894184</v>
      </c>
      <c r="J17" s="61">
        <f>H17/$D$95*100</f>
        <v>3.0096776601409387</v>
      </c>
      <c r="K17" s="36"/>
      <c r="L17" s="36"/>
      <c r="M17" s="39"/>
      <c r="N17" s="61"/>
    </row>
    <row r="18" spans="1:14" s="57" customFormat="1" ht="15" customHeight="1" thickTop="1">
      <c r="A18" s="48">
        <v>1</v>
      </c>
      <c r="B18" s="49" t="s">
        <v>1327</v>
      </c>
      <c r="C18" s="50">
        <f aca="true" t="shared" si="3" ref="C18:D23">G18+K18</f>
        <v>6347100</v>
      </c>
      <c r="D18" s="51">
        <f t="shared" si="3"/>
        <v>6679100</v>
      </c>
      <c r="E18" s="52">
        <f t="shared" si="0"/>
        <v>105.23073529643459</v>
      </c>
      <c r="F18" s="53"/>
      <c r="G18" s="51">
        <v>6347100</v>
      </c>
      <c r="H18" s="51">
        <v>6679100</v>
      </c>
      <c r="I18" s="54">
        <f t="shared" si="1"/>
        <v>105.23073529643459</v>
      </c>
      <c r="J18" s="55"/>
      <c r="K18" s="51"/>
      <c r="L18" s="51"/>
      <c r="M18" s="54"/>
      <c r="N18" s="56"/>
    </row>
    <row r="19" spans="1:14" s="57" customFormat="1" ht="13.5" customHeight="1">
      <c r="A19" s="48">
        <v>2</v>
      </c>
      <c r="B19" s="49" t="s">
        <v>1328</v>
      </c>
      <c r="C19" s="50">
        <f t="shared" si="3"/>
        <v>413200</v>
      </c>
      <c r="D19" s="51">
        <f t="shared" si="3"/>
        <v>427360</v>
      </c>
      <c r="E19" s="52">
        <f t="shared" si="0"/>
        <v>103.42691190706678</v>
      </c>
      <c r="F19" s="56"/>
      <c r="G19" s="51">
        <v>413200</v>
      </c>
      <c r="H19" s="51">
        <v>427360</v>
      </c>
      <c r="I19" s="54">
        <f t="shared" si="1"/>
        <v>103.42691190706678</v>
      </c>
      <c r="J19" s="55"/>
      <c r="K19" s="51"/>
      <c r="L19" s="51"/>
      <c r="M19" s="54"/>
      <c r="N19" s="56"/>
    </row>
    <row r="20" spans="1:14" s="57" customFormat="1" ht="11.25">
      <c r="A20" s="48">
        <v>3</v>
      </c>
      <c r="B20" s="49" t="s">
        <v>1329</v>
      </c>
      <c r="C20" s="50">
        <f t="shared" si="3"/>
        <v>200</v>
      </c>
      <c r="D20" s="51">
        <f t="shared" si="3"/>
        <v>240</v>
      </c>
      <c r="E20" s="52">
        <f t="shared" si="0"/>
        <v>120</v>
      </c>
      <c r="F20" s="55"/>
      <c r="G20" s="51">
        <v>200</v>
      </c>
      <c r="H20" s="51">
        <v>240</v>
      </c>
      <c r="I20" s="54">
        <f t="shared" si="1"/>
        <v>120</v>
      </c>
      <c r="J20" s="55"/>
      <c r="K20" s="51"/>
      <c r="L20" s="51"/>
      <c r="M20" s="54"/>
      <c r="N20" s="56"/>
    </row>
    <row r="21" spans="1:14" s="57" customFormat="1" ht="11.25">
      <c r="A21" s="58">
        <v>4</v>
      </c>
      <c r="B21" s="49" t="s">
        <v>1330</v>
      </c>
      <c r="C21" s="50">
        <f t="shared" si="3"/>
        <v>601000</v>
      </c>
      <c r="D21" s="51">
        <f t="shared" si="3"/>
        <v>610000</v>
      </c>
      <c r="E21" s="52">
        <f t="shared" si="0"/>
        <v>101.49750415973378</v>
      </c>
      <c r="F21" s="55"/>
      <c r="G21" s="51">
        <v>601000</v>
      </c>
      <c r="H21" s="51">
        <v>610000</v>
      </c>
      <c r="I21" s="54">
        <f t="shared" si="1"/>
        <v>101.49750415973378</v>
      </c>
      <c r="J21" s="55"/>
      <c r="K21" s="51"/>
      <c r="L21" s="51"/>
      <c r="M21" s="54"/>
      <c r="N21" s="56"/>
    </row>
    <row r="22" spans="1:14" s="57" customFormat="1" ht="11.25">
      <c r="A22" s="48">
        <v>5</v>
      </c>
      <c r="B22" s="49" t="s">
        <v>1331</v>
      </c>
      <c r="C22" s="50">
        <f t="shared" si="3"/>
        <v>230000</v>
      </c>
      <c r="D22" s="51">
        <f t="shared" si="3"/>
        <v>200000</v>
      </c>
      <c r="E22" s="52">
        <f t="shared" si="0"/>
        <v>86.95652173913044</v>
      </c>
      <c r="F22" s="55"/>
      <c r="G22" s="51">
        <v>230000</v>
      </c>
      <c r="H22" s="51">
        <v>200000</v>
      </c>
      <c r="I22" s="54">
        <f t="shared" si="1"/>
        <v>86.95652173913044</v>
      </c>
      <c r="J22" s="55"/>
      <c r="K22" s="51"/>
      <c r="L22" s="51"/>
      <c r="M22" s="54"/>
      <c r="N22" s="56"/>
    </row>
    <row r="23" spans="1:14" s="57" customFormat="1" ht="15" customHeight="1" thickBot="1">
      <c r="A23" s="48">
        <v>6</v>
      </c>
      <c r="B23" s="49" t="s">
        <v>1333</v>
      </c>
      <c r="C23" s="50">
        <f t="shared" si="3"/>
        <v>120000</v>
      </c>
      <c r="D23" s="51">
        <f t="shared" si="3"/>
        <v>120000</v>
      </c>
      <c r="E23" s="52">
        <f t="shared" si="0"/>
        <v>100</v>
      </c>
      <c r="F23" s="55"/>
      <c r="G23" s="51">
        <v>120000</v>
      </c>
      <c r="H23" s="51">
        <v>120000</v>
      </c>
      <c r="I23" s="54">
        <f t="shared" si="1"/>
        <v>100</v>
      </c>
      <c r="J23" s="55"/>
      <c r="K23" s="51"/>
      <c r="L23" s="51"/>
      <c r="M23" s="54"/>
      <c r="N23" s="56"/>
    </row>
    <row r="24" spans="1:14" s="40" customFormat="1" ht="22.5" thickBot="1" thickTop="1">
      <c r="A24" s="59" t="s">
        <v>1334</v>
      </c>
      <c r="B24" s="62" t="s">
        <v>1335</v>
      </c>
      <c r="C24" s="63">
        <f>SUM(C25:C28)</f>
        <v>3340000</v>
      </c>
      <c r="D24" s="36">
        <f>SUM(D25:D28)</f>
        <v>3720000</v>
      </c>
      <c r="E24" s="37">
        <f t="shared" si="0"/>
        <v>111.37724550898203</v>
      </c>
      <c r="F24" s="61">
        <f>D24/$D$95*100</f>
        <v>1.3931092234031746</v>
      </c>
      <c r="G24" s="36">
        <f>SUM(G25:G28)</f>
        <v>3340000</v>
      </c>
      <c r="H24" s="36">
        <f>SUM(H25:H28)</f>
        <v>3720000</v>
      </c>
      <c r="I24" s="64">
        <f t="shared" si="1"/>
        <v>111.37724550898203</v>
      </c>
      <c r="J24" s="61">
        <f>H24/$D$95*100</f>
        <v>1.3931092234031746</v>
      </c>
      <c r="K24" s="36"/>
      <c r="L24" s="36"/>
      <c r="M24" s="39"/>
      <c r="N24" s="65"/>
    </row>
    <row r="25" spans="1:14" s="57" customFormat="1" ht="15" customHeight="1" thickTop="1">
      <c r="A25" s="58">
        <v>1</v>
      </c>
      <c r="B25" s="49" t="s">
        <v>1336</v>
      </c>
      <c r="C25" s="50">
        <f aca="true" t="shared" si="4" ref="C25:D28">G25+K25</f>
        <v>420000</v>
      </c>
      <c r="D25" s="51">
        <f t="shared" si="4"/>
        <v>620000</v>
      </c>
      <c r="E25" s="52">
        <f t="shared" si="0"/>
        <v>147.61904761904762</v>
      </c>
      <c r="F25" s="55"/>
      <c r="G25" s="51">
        <v>420000</v>
      </c>
      <c r="H25" s="51">
        <v>620000</v>
      </c>
      <c r="I25" s="66">
        <f t="shared" si="1"/>
        <v>147.61904761904762</v>
      </c>
      <c r="J25" s="56"/>
      <c r="K25" s="51"/>
      <c r="L25" s="51"/>
      <c r="M25" s="54"/>
      <c r="N25" s="56"/>
    </row>
    <row r="26" spans="1:14" s="57" customFormat="1" ht="14.25" customHeight="1">
      <c r="A26" s="58">
        <v>2</v>
      </c>
      <c r="B26" s="49" t="s">
        <v>1337</v>
      </c>
      <c r="C26" s="50">
        <f t="shared" si="4"/>
        <v>350000</v>
      </c>
      <c r="D26" s="51">
        <f t="shared" si="4"/>
        <v>350000</v>
      </c>
      <c r="E26" s="52">
        <f t="shared" si="0"/>
        <v>100</v>
      </c>
      <c r="F26" s="55"/>
      <c r="G26" s="51">
        <v>350000</v>
      </c>
      <c r="H26" s="51">
        <v>350000</v>
      </c>
      <c r="I26" s="66">
        <f t="shared" si="1"/>
        <v>100</v>
      </c>
      <c r="J26" s="56"/>
      <c r="K26" s="51"/>
      <c r="L26" s="51"/>
      <c r="M26" s="54"/>
      <c r="N26" s="56"/>
    </row>
    <row r="27" spans="1:14" s="57" customFormat="1" ht="10.5" customHeight="1">
      <c r="A27" s="58">
        <v>3</v>
      </c>
      <c r="B27" s="49" t="s">
        <v>1338</v>
      </c>
      <c r="C27" s="50">
        <f t="shared" si="4"/>
        <v>220000</v>
      </c>
      <c r="D27" s="51">
        <f t="shared" si="4"/>
        <v>250000</v>
      </c>
      <c r="E27" s="52">
        <f t="shared" si="0"/>
        <v>113.63636363636364</v>
      </c>
      <c r="F27" s="55"/>
      <c r="G27" s="51">
        <v>220000</v>
      </c>
      <c r="H27" s="51">
        <v>250000</v>
      </c>
      <c r="I27" s="66">
        <f t="shared" si="1"/>
        <v>113.63636363636364</v>
      </c>
      <c r="J27" s="56"/>
      <c r="K27" s="51"/>
      <c r="L27" s="51"/>
      <c r="M27" s="54"/>
      <c r="N27" s="56"/>
    </row>
    <row r="28" spans="1:14" s="57" customFormat="1" ht="15" customHeight="1" thickBot="1">
      <c r="A28" s="58">
        <v>4</v>
      </c>
      <c r="B28" s="49" t="s">
        <v>1339</v>
      </c>
      <c r="C28" s="50">
        <f t="shared" si="4"/>
        <v>2350000</v>
      </c>
      <c r="D28" s="51">
        <f t="shared" si="4"/>
        <v>2500000</v>
      </c>
      <c r="E28" s="52">
        <f t="shared" si="0"/>
        <v>106.38297872340425</v>
      </c>
      <c r="F28" s="55"/>
      <c r="G28" s="51">
        <v>2350000</v>
      </c>
      <c r="H28" s="51">
        <v>2500000</v>
      </c>
      <c r="I28" s="66">
        <f t="shared" si="1"/>
        <v>106.38297872340425</v>
      </c>
      <c r="J28" s="56"/>
      <c r="K28" s="51"/>
      <c r="L28" s="51"/>
      <c r="M28" s="54"/>
      <c r="N28" s="56"/>
    </row>
    <row r="29" spans="1:14" s="72" customFormat="1" ht="21" customHeight="1" thickBot="1" thickTop="1">
      <c r="A29" s="67" t="s">
        <v>1340</v>
      </c>
      <c r="B29" s="68" t="s">
        <v>1341</v>
      </c>
      <c r="C29" s="69">
        <f>C30+C38+C40+C41+C42+C43+C44+C45+C46</f>
        <v>26128300</v>
      </c>
      <c r="D29" s="69">
        <f>D30+D38+D40+D41+D42+D43+D44+D45+D46</f>
        <v>15887000</v>
      </c>
      <c r="E29" s="37">
        <f t="shared" si="0"/>
        <v>60.80380277323821</v>
      </c>
      <c r="F29" s="61">
        <f>D29/$D$95*100</f>
        <v>5.9495500624210305</v>
      </c>
      <c r="G29" s="69">
        <f>G30+G38+G40+G41+G42+G43+G44+G45+G46</f>
        <v>26128300</v>
      </c>
      <c r="H29" s="69">
        <f>H30+H38+H40+H41+H42+H43+H44+H45+H46</f>
        <v>15887000</v>
      </c>
      <c r="I29" s="70">
        <f t="shared" si="1"/>
        <v>60.80380277323821</v>
      </c>
      <c r="J29" s="38">
        <f>H29/$D$95*100</f>
        <v>5.9495500624210305</v>
      </c>
      <c r="K29" s="69"/>
      <c r="L29" s="69"/>
      <c r="M29" s="71"/>
      <c r="N29" s="38"/>
    </row>
    <row r="30" spans="1:14" s="75" customFormat="1" ht="23.25" thickTop="1">
      <c r="A30" s="73">
        <v>1</v>
      </c>
      <c r="B30" s="74" t="s">
        <v>1342</v>
      </c>
      <c r="C30" s="50">
        <f aca="true" t="shared" si="5" ref="C30:D46">G30+K30</f>
        <v>5577000</v>
      </c>
      <c r="D30" s="51">
        <f t="shared" si="5"/>
        <v>4677000</v>
      </c>
      <c r="E30" s="52">
        <f t="shared" si="0"/>
        <v>83.86229155459924</v>
      </c>
      <c r="F30" s="55"/>
      <c r="G30" s="51">
        <f>G31+G37</f>
        <v>5577000</v>
      </c>
      <c r="H30" s="51">
        <f>H31+H37</f>
        <v>4677000</v>
      </c>
      <c r="I30" s="66">
        <f t="shared" si="1"/>
        <v>83.86229155459924</v>
      </c>
      <c r="J30" s="56"/>
      <c r="K30" s="51"/>
      <c r="L30" s="51"/>
      <c r="M30" s="54"/>
      <c r="N30" s="56"/>
    </row>
    <row r="31" spans="1:14" s="75" customFormat="1" ht="13.5" customHeight="1">
      <c r="A31" s="48" t="s">
        <v>1343</v>
      </c>
      <c r="B31" s="74" t="s">
        <v>1344</v>
      </c>
      <c r="C31" s="76">
        <f t="shared" si="5"/>
        <v>5277000</v>
      </c>
      <c r="D31" s="51">
        <f t="shared" si="5"/>
        <v>4377000</v>
      </c>
      <c r="E31" s="52">
        <f t="shared" si="0"/>
        <v>82.94485503126776</v>
      </c>
      <c r="F31" s="55"/>
      <c r="G31" s="51">
        <v>5277000</v>
      </c>
      <c r="H31" s="51">
        <v>4377000</v>
      </c>
      <c r="I31" s="66">
        <f t="shared" si="1"/>
        <v>82.94485503126776</v>
      </c>
      <c r="J31" s="56"/>
      <c r="K31" s="51"/>
      <c r="L31" s="51"/>
      <c r="M31" s="54"/>
      <c r="N31" s="56"/>
    </row>
    <row r="32" spans="1:14" s="87" customFormat="1" ht="14.25" customHeight="1">
      <c r="A32" s="77"/>
      <c r="B32" s="78" t="s">
        <v>1345</v>
      </c>
      <c r="C32" s="79">
        <f t="shared" si="5"/>
        <v>377000</v>
      </c>
      <c r="D32" s="80">
        <f t="shared" si="5"/>
        <v>377000</v>
      </c>
      <c r="E32" s="81">
        <f t="shared" si="0"/>
        <v>100</v>
      </c>
      <c r="F32" s="82"/>
      <c r="G32" s="83">
        <f>SUM(G33:G36)</f>
        <v>377000</v>
      </c>
      <c r="H32" s="83">
        <f>SUM(H33:H36)</f>
        <v>377000</v>
      </c>
      <c r="I32" s="84">
        <f t="shared" si="1"/>
        <v>100</v>
      </c>
      <c r="J32" s="85"/>
      <c r="K32" s="83"/>
      <c r="L32" s="83"/>
      <c r="M32" s="86"/>
      <c r="N32" s="85"/>
    </row>
    <row r="33" spans="1:14" s="90" customFormat="1" ht="11.25">
      <c r="A33" s="88"/>
      <c r="B33" s="89" t="s">
        <v>1346</v>
      </c>
      <c r="C33" s="50">
        <f t="shared" si="5"/>
        <v>100000</v>
      </c>
      <c r="D33" s="51">
        <f t="shared" si="5"/>
        <v>100000</v>
      </c>
      <c r="E33" s="52">
        <f t="shared" si="0"/>
        <v>100</v>
      </c>
      <c r="F33" s="55"/>
      <c r="G33" s="51">
        <v>100000</v>
      </c>
      <c r="H33" s="51">
        <v>100000</v>
      </c>
      <c r="I33" s="66">
        <f t="shared" si="1"/>
        <v>100</v>
      </c>
      <c r="J33" s="56"/>
      <c r="K33" s="51"/>
      <c r="L33" s="51"/>
      <c r="M33" s="54"/>
      <c r="N33" s="56"/>
    </row>
    <row r="34" spans="1:14" s="90" customFormat="1" ht="11.25">
      <c r="A34" s="88"/>
      <c r="B34" s="89" t="s">
        <v>1347</v>
      </c>
      <c r="C34" s="50">
        <f t="shared" si="5"/>
        <v>98000</v>
      </c>
      <c r="D34" s="51">
        <f t="shared" si="5"/>
        <v>98000</v>
      </c>
      <c r="E34" s="52">
        <f t="shared" si="0"/>
        <v>100</v>
      </c>
      <c r="F34" s="55"/>
      <c r="G34" s="51">
        <v>98000</v>
      </c>
      <c r="H34" s="51">
        <v>98000</v>
      </c>
      <c r="I34" s="66">
        <f t="shared" si="1"/>
        <v>100</v>
      </c>
      <c r="J34" s="56"/>
      <c r="K34" s="51"/>
      <c r="L34" s="51"/>
      <c r="M34" s="54"/>
      <c r="N34" s="56"/>
    </row>
    <row r="35" spans="1:14" s="90" customFormat="1" ht="11.25">
      <c r="A35" s="88"/>
      <c r="B35" s="89" t="s">
        <v>1348</v>
      </c>
      <c r="C35" s="50">
        <f t="shared" si="5"/>
        <v>122000</v>
      </c>
      <c r="D35" s="51">
        <f t="shared" si="5"/>
        <v>122000</v>
      </c>
      <c r="E35" s="52">
        <f t="shared" si="0"/>
        <v>100</v>
      </c>
      <c r="F35" s="55"/>
      <c r="G35" s="51">
        <v>122000</v>
      </c>
      <c r="H35" s="51">
        <v>122000</v>
      </c>
      <c r="I35" s="66">
        <f t="shared" si="1"/>
        <v>100</v>
      </c>
      <c r="J35" s="56"/>
      <c r="K35" s="51"/>
      <c r="L35" s="51"/>
      <c r="M35" s="54"/>
      <c r="N35" s="56"/>
    </row>
    <row r="36" spans="1:14" s="57" customFormat="1" ht="11.25">
      <c r="A36" s="58"/>
      <c r="B36" s="49" t="s">
        <v>1349</v>
      </c>
      <c r="C36" s="50">
        <f t="shared" si="5"/>
        <v>57000</v>
      </c>
      <c r="D36" s="51">
        <f t="shared" si="5"/>
        <v>57000</v>
      </c>
      <c r="E36" s="52">
        <f t="shared" si="0"/>
        <v>100</v>
      </c>
      <c r="F36" s="55"/>
      <c r="G36" s="51">
        <v>57000</v>
      </c>
      <c r="H36" s="51">
        <v>57000</v>
      </c>
      <c r="I36" s="66">
        <f t="shared" si="1"/>
        <v>100</v>
      </c>
      <c r="J36" s="56"/>
      <c r="K36" s="51"/>
      <c r="L36" s="51"/>
      <c r="M36" s="54"/>
      <c r="N36" s="56"/>
    </row>
    <row r="37" spans="1:14" s="75" customFormat="1" ht="9.75" customHeight="1">
      <c r="A37" s="48" t="s">
        <v>1350</v>
      </c>
      <c r="B37" s="74" t="s">
        <v>1351</v>
      </c>
      <c r="C37" s="50">
        <f t="shared" si="5"/>
        <v>300000</v>
      </c>
      <c r="D37" s="51">
        <f t="shared" si="5"/>
        <v>300000</v>
      </c>
      <c r="E37" s="52">
        <f t="shared" si="0"/>
        <v>100</v>
      </c>
      <c r="F37" s="55"/>
      <c r="G37" s="51">
        <v>300000</v>
      </c>
      <c r="H37" s="51">
        <v>300000</v>
      </c>
      <c r="I37" s="66">
        <f t="shared" si="1"/>
        <v>100</v>
      </c>
      <c r="J37" s="56"/>
      <c r="K37" s="51"/>
      <c r="L37" s="51"/>
      <c r="M37" s="54"/>
      <c r="N37" s="56"/>
    </row>
    <row r="38" spans="1:14" s="90" customFormat="1" ht="14.25" customHeight="1">
      <c r="A38" s="91">
        <v>2</v>
      </c>
      <c r="B38" s="74" t="s">
        <v>1352</v>
      </c>
      <c r="C38" s="50">
        <f t="shared" si="5"/>
        <v>900000</v>
      </c>
      <c r="D38" s="51">
        <f t="shared" si="5"/>
        <v>750000</v>
      </c>
      <c r="E38" s="52">
        <f t="shared" si="0"/>
        <v>83.33333333333334</v>
      </c>
      <c r="F38" s="55"/>
      <c r="G38" s="51">
        <v>900000</v>
      </c>
      <c r="H38" s="51">
        <v>750000</v>
      </c>
      <c r="I38" s="66">
        <f t="shared" si="1"/>
        <v>83.33333333333334</v>
      </c>
      <c r="J38" s="56"/>
      <c r="K38" s="51"/>
      <c r="L38" s="51"/>
      <c r="M38" s="54"/>
      <c r="N38" s="56"/>
    </row>
    <row r="39" spans="1:14" s="102" customFormat="1" ht="14.25" customHeight="1">
      <c r="A39" s="92">
        <v>3</v>
      </c>
      <c r="B39" s="93" t="s">
        <v>1353</v>
      </c>
      <c r="C39" s="94">
        <f>G39+K39</f>
        <v>17550000</v>
      </c>
      <c r="D39" s="95">
        <f>H39+L39</f>
        <v>7900000</v>
      </c>
      <c r="E39" s="96">
        <f>D39/C39*100</f>
        <v>45.01424501424501</v>
      </c>
      <c r="F39" s="97"/>
      <c r="G39" s="98">
        <f>SUM(G40:G43)</f>
        <v>17550000</v>
      </c>
      <c r="H39" s="98">
        <f>SUM(H40:H43)</f>
        <v>7900000</v>
      </c>
      <c r="I39" s="99">
        <f>H39/G39*100</f>
        <v>45.01424501424501</v>
      </c>
      <c r="J39" s="100"/>
      <c r="K39" s="98"/>
      <c r="L39" s="98"/>
      <c r="M39" s="101"/>
      <c r="N39" s="100"/>
    </row>
    <row r="40" spans="1:14" s="105" customFormat="1" ht="11.25" customHeight="1">
      <c r="A40" s="58" t="s">
        <v>1343</v>
      </c>
      <c r="B40" s="49" t="s">
        <v>1354</v>
      </c>
      <c r="C40" s="50">
        <f t="shared" si="5"/>
        <v>1250000</v>
      </c>
      <c r="D40" s="51">
        <f t="shared" si="5"/>
        <v>1500000</v>
      </c>
      <c r="E40" s="52">
        <f t="shared" si="0"/>
        <v>120</v>
      </c>
      <c r="F40" s="55"/>
      <c r="G40" s="103">
        <v>1250000</v>
      </c>
      <c r="H40" s="103">
        <v>1500000</v>
      </c>
      <c r="I40" s="66">
        <f t="shared" si="1"/>
        <v>120</v>
      </c>
      <c r="J40" s="56"/>
      <c r="K40" s="103"/>
      <c r="L40" s="103"/>
      <c r="M40" s="104"/>
      <c r="N40" s="56"/>
    </row>
    <row r="41" spans="1:14" s="105" customFormat="1" ht="12" customHeight="1">
      <c r="A41" s="58" t="s">
        <v>1350</v>
      </c>
      <c r="B41" s="49" t="s">
        <v>1355</v>
      </c>
      <c r="C41" s="50">
        <f t="shared" si="5"/>
        <v>2800000</v>
      </c>
      <c r="D41" s="51">
        <f t="shared" si="5"/>
        <v>1800000</v>
      </c>
      <c r="E41" s="52">
        <f t="shared" si="0"/>
        <v>64.28571428571429</v>
      </c>
      <c r="F41" s="55"/>
      <c r="G41" s="103">
        <v>2800000</v>
      </c>
      <c r="H41" s="103">
        <v>1800000</v>
      </c>
      <c r="I41" s="66">
        <f t="shared" si="1"/>
        <v>64.28571428571429</v>
      </c>
      <c r="J41" s="56"/>
      <c r="K41" s="103"/>
      <c r="L41" s="103"/>
      <c r="M41" s="104"/>
      <c r="N41" s="56"/>
    </row>
    <row r="42" spans="1:14" s="105" customFormat="1" ht="12" customHeight="1">
      <c r="A42" s="58" t="s">
        <v>1356</v>
      </c>
      <c r="B42" s="49" t="s">
        <v>1357</v>
      </c>
      <c r="C42" s="50">
        <f t="shared" si="5"/>
        <v>500000</v>
      </c>
      <c r="D42" s="51">
        <f t="shared" si="5"/>
        <v>1000000</v>
      </c>
      <c r="E42" s="52">
        <f t="shared" si="0"/>
        <v>200</v>
      </c>
      <c r="F42" s="55"/>
      <c r="G42" s="103">
        <v>500000</v>
      </c>
      <c r="H42" s="103">
        <v>1000000</v>
      </c>
      <c r="I42" s="66">
        <f t="shared" si="1"/>
        <v>200</v>
      </c>
      <c r="J42" s="56"/>
      <c r="K42" s="103"/>
      <c r="L42" s="103"/>
      <c r="M42" s="104"/>
      <c r="N42" s="56"/>
    </row>
    <row r="43" spans="1:14" s="105" customFormat="1" ht="12.75" customHeight="1">
      <c r="A43" s="58" t="s">
        <v>1358</v>
      </c>
      <c r="B43" s="49" t="s">
        <v>1359</v>
      </c>
      <c r="C43" s="50">
        <f t="shared" si="5"/>
        <v>13000000</v>
      </c>
      <c r="D43" s="51">
        <f t="shared" si="5"/>
        <v>3600000</v>
      </c>
      <c r="E43" s="52">
        <f t="shared" si="0"/>
        <v>27.692307692307693</v>
      </c>
      <c r="F43" s="55"/>
      <c r="G43" s="103">
        <v>13000000</v>
      </c>
      <c r="H43" s="103">
        <v>3600000</v>
      </c>
      <c r="I43" s="66">
        <f t="shared" si="1"/>
        <v>27.692307692307693</v>
      </c>
      <c r="J43" s="56"/>
      <c r="K43" s="103"/>
      <c r="L43" s="103"/>
      <c r="M43" s="54"/>
      <c r="N43" s="56"/>
    </row>
    <row r="44" spans="1:14" s="106" customFormat="1" ht="22.5">
      <c r="A44" s="92">
        <v>4</v>
      </c>
      <c r="B44" s="49" t="s">
        <v>1360</v>
      </c>
      <c r="C44" s="50">
        <f t="shared" si="5"/>
        <v>1200000</v>
      </c>
      <c r="D44" s="51">
        <f t="shared" si="5"/>
        <v>2000000</v>
      </c>
      <c r="E44" s="52">
        <f t="shared" si="0"/>
        <v>166.66666666666669</v>
      </c>
      <c r="F44" s="55"/>
      <c r="G44" s="103">
        <v>1200000</v>
      </c>
      <c r="H44" s="103">
        <v>2000000</v>
      </c>
      <c r="I44" s="66">
        <f t="shared" si="1"/>
        <v>166.66666666666669</v>
      </c>
      <c r="J44" s="56"/>
      <c r="K44" s="103"/>
      <c r="L44" s="103"/>
      <c r="M44" s="104"/>
      <c r="N44" s="56"/>
    </row>
    <row r="45" spans="1:14" s="106" customFormat="1" ht="13.5" customHeight="1">
      <c r="A45" s="92">
        <v>5</v>
      </c>
      <c r="B45" s="49" t="s">
        <v>1361</v>
      </c>
      <c r="C45" s="50">
        <f t="shared" si="5"/>
        <v>120000</v>
      </c>
      <c r="D45" s="51">
        <f t="shared" si="5"/>
        <v>100000</v>
      </c>
      <c r="E45" s="52">
        <f t="shared" si="0"/>
        <v>83.33333333333334</v>
      </c>
      <c r="F45" s="55"/>
      <c r="G45" s="103">
        <v>120000</v>
      </c>
      <c r="H45" s="103">
        <v>100000</v>
      </c>
      <c r="I45" s="66">
        <f t="shared" si="1"/>
        <v>83.33333333333334</v>
      </c>
      <c r="J45" s="56"/>
      <c r="K45" s="103"/>
      <c r="L45" s="103"/>
      <c r="M45" s="104"/>
      <c r="N45" s="56"/>
    </row>
    <row r="46" spans="1:14" s="106" customFormat="1" ht="35.25" customHeight="1" thickBot="1">
      <c r="A46" s="92">
        <v>6</v>
      </c>
      <c r="B46" s="49" t="s">
        <v>1362</v>
      </c>
      <c r="C46" s="50">
        <f t="shared" si="5"/>
        <v>781300</v>
      </c>
      <c r="D46" s="51">
        <f t="shared" si="5"/>
        <v>460000</v>
      </c>
      <c r="E46" s="52">
        <f>D46/C46*100</f>
        <v>58.87623192115704</v>
      </c>
      <c r="F46" s="55"/>
      <c r="G46" s="103">
        <v>781300</v>
      </c>
      <c r="H46" s="103">
        <v>460000</v>
      </c>
      <c r="I46" s="66">
        <f>H46/G46*100</f>
        <v>58.87623192115704</v>
      </c>
      <c r="J46" s="56"/>
      <c r="K46" s="103"/>
      <c r="L46" s="103"/>
      <c r="M46" s="104"/>
      <c r="N46" s="56"/>
    </row>
    <row r="47" spans="1:14" s="40" customFormat="1" ht="21.75" customHeight="1" thickBot="1" thickTop="1">
      <c r="A47" s="107" t="s">
        <v>1363</v>
      </c>
      <c r="B47" s="108" t="s">
        <v>1364</v>
      </c>
      <c r="C47" s="63">
        <f>SUM(C48:C49)</f>
        <v>67502774</v>
      </c>
      <c r="D47" s="36">
        <f>SUM(D48:D49)</f>
        <v>71745992</v>
      </c>
      <c r="E47" s="37">
        <f aca="true" t="shared" si="6" ref="E47:E69">D47/C47*100</f>
        <v>106.2859905579584</v>
      </c>
      <c r="F47" s="109">
        <f>J47+N47</f>
        <v>26.86828042941139</v>
      </c>
      <c r="G47" s="110">
        <f>SUM(G48:G49)</f>
        <v>52548944</v>
      </c>
      <c r="H47" s="110">
        <f>SUM(H48:H49)</f>
        <v>56007217</v>
      </c>
      <c r="I47" s="111">
        <f>H47/G47*100</f>
        <v>106.58105137184108</v>
      </c>
      <c r="J47" s="109">
        <f>H47/$D$95*100</f>
        <v>20.97423940318362</v>
      </c>
      <c r="K47" s="36">
        <f>SUM(K48:K49)</f>
        <v>14953830</v>
      </c>
      <c r="L47" s="36">
        <f>SUM(L48:L49)</f>
        <v>15738775</v>
      </c>
      <c r="M47" s="112">
        <f>L47/K47*100</f>
        <v>105.24912346870335</v>
      </c>
      <c r="N47" s="109">
        <f>L47/$D$95*100</f>
        <v>5.894041026227768</v>
      </c>
    </row>
    <row r="48" spans="1:14" s="90" customFormat="1" ht="23.25" thickTop="1">
      <c r="A48" s="58">
        <v>1</v>
      </c>
      <c r="B48" s="49" t="s">
        <v>1365</v>
      </c>
      <c r="C48" s="50">
        <f>G48+K48</f>
        <v>64802774</v>
      </c>
      <c r="D48" s="51">
        <f>H48+L48</f>
        <v>68685992</v>
      </c>
      <c r="E48" s="52">
        <f t="shared" si="6"/>
        <v>105.99236384541193</v>
      </c>
      <c r="F48" s="55"/>
      <c r="G48" s="51">
        <v>50318944</v>
      </c>
      <c r="H48" s="51">
        <v>53447217</v>
      </c>
      <c r="I48" s="66">
        <f>H48/G48*100</f>
        <v>106.21688920975767</v>
      </c>
      <c r="J48" s="56"/>
      <c r="K48" s="51">
        <v>14483830</v>
      </c>
      <c r="L48" s="51">
        <v>15238775</v>
      </c>
      <c r="M48" s="52">
        <f>L48/K48*100</f>
        <v>105.21232988788188</v>
      </c>
      <c r="N48" s="56"/>
    </row>
    <row r="49" spans="1:14" s="90" customFormat="1" ht="23.25" thickBot="1">
      <c r="A49" s="58">
        <v>2</v>
      </c>
      <c r="B49" s="49" t="s">
        <v>1366</v>
      </c>
      <c r="C49" s="50">
        <f>G49+K49</f>
        <v>2700000</v>
      </c>
      <c r="D49" s="51">
        <f>H49+L49</f>
        <v>3060000</v>
      </c>
      <c r="E49" s="52">
        <f t="shared" si="6"/>
        <v>113.33333333333333</v>
      </c>
      <c r="F49" s="55"/>
      <c r="G49" s="51">
        <v>2230000</v>
      </c>
      <c r="H49" s="51">
        <v>2560000</v>
      </c>
      <c r="I49" s="66">
        <f>H49/G49*100</f>
        <v>114.79820627802691</v>
      </c>
      <c r="J49" s="56"/>
      <c r="K49" s="51">
        <v>470000</v>
      </c>
      <c r="L49" s="51">
        <v>500000</v>
      </c>
      <c r="M49" s="54">
        <f>L49/K49*100</f>
        <v>106.38297872340425</v>
      </c>
      <c r="N49" s="56"/>
    </row>
    <row r="50" spans="1:14" s="116" customFormat="1" ht="21.75" customHeight="1" thickBot="1" thickTop="1">
      <c r="A50" s="107" t="s">
        <v>1367</v>
      </c>
      <c r="B50" s="113" t="s">
        <v>1368</v>
      </c>
      <c r="C50" s="114">
        <f>SUM(C51:C70)</f>
        <v>13625497</v>
      </c>
      <c r="D50" s="114">
        <f>SUM(D51:D69)</f>
        <v>11875220</v>
      </c>
      <c r="E50" s="37">
        <f t="shared" si="6"/>
        <v>87.15439884504764</v>
      </c>
      <c r="F50" s="61">
        <v>4.5</v>
      </c>
      <c r="G50" s="115">
        <f>SUM(G51:G70)</f>
        <v>9281257</v>
      </c>
      <c r="H50" s="115">
        <f>SUM(H51:H69)</f>
        <v>8415420</v>
      </c>
      <c r="I50" s="111">
        <f t="shared" si="1"/>
        <v>90.6711235342368</v>
      </c>
      <c r="J50" s="109">
        <f>H50/$D$95*100</f>
        <v>3.151505166884823</v>
      </c>
      <c r="K50" s="115">
        <f>SUM(K51:K70)</f>
        <v>4344240</v>
      </c>
      <c r="L50" s="115">
        <f>SUM(L51:L69)</f>
        <v>3459800</v>
      </c>
      <c r="M50" s="37">
        <f>L50/K50*100</f>
        <v>79.64108796935713</v>
      </c>
      <c r="N50" s="109">
        <f>L50/$D$95*100</f>
        <v>1.2956664761102965</v>
      </c>
    </row>
    <row r="51" spans="1:14" s="118" customFormat="1" ht="14.25" customHeight="1" thickTop="1">
      <c r="A51" s="88">
        <v>1</v>
      </c>
      <c r="B51" s="117" t="s">
        <v>1369</v>
      </c>
      <c r="C51" s="50">
        <f aca="true" t="shared" si="7" ref="C51:D66">G51+K51</f>
        <v>160000</v>
      </c>
      <c r="D51" s="51">
        <f t="shared" si="7"/>
        <v>150000</v>
      </c>
      <c r="E51" s="52">
        <f t="shared" si="6"/>
        <v>93.75</v>
      </c>
      <c r="F51" s="55"/>
      <c r="G51" s="51">
        <v>160000</v>
      </c>
      <c r="H51" s="51">
        <v>150000</v>
      </c>
      <c r="I51" s="66">
        <f t="shared" si="1"/>
        <v>93.75</v>
      </c>
      <c r="J51" s="56"/>
      <c r="K51" s="51"/>
      <c r="L51" s="51"/>
      <c r="M51" s="54"/>
      <c r="N51" s="56"/>
    </row>
    <row r="52" spans="1:14" s="118" customFormat="1" ht="22.5">
      <c r="A52" s="88">
        <v>2</v>
      </c>
      <c r="B52" s="117" t="s">
        <v>1370</v>
      </c>
      <c r="C52" s="50">
        <f t="shared" si="7"/>
        <v>145575</v>
      </c>
      <c r="D52" s="51">
        <f t="shared" si="7"/>
        <v>148300</v>
      </c>
      <c r="E52" s="52">
        <f t="shared" si="6"/>
        <v>101.87188734329385</v>
      </c>
      <c r="F52" s="55"/>
      <c r="G52" s="51">
        <v>136495</v>
      </c>
      <c r="H52" s="51">
        <v>148300</v>
      </c>
      <c r="I52" s="66">
        <f t="shared" si="1"/>
        <v>108.64866844939375</v>
      </c>
      <c r="J52" s="56"/>
      <c r="K52" s="51">
        <v>9080</v>
      </c>
      <c r="L52" s="51"/>
      <c r="M52" s="54"/>
      <c r="N52" s="56"/>
    </row>
    <row r="53" spans="1:14" s="118" customFormat="1" ht="13.5" customHeight="1">
      <c r="A53" s="88">
        <v>3</v>
      </c>
      <c r="B53" s="117" t="s">
        <v>1371</v>
      </c>
      <c r="C53" s="50">
        <f t="shared" si="7"/>
        <v>36000</v>
      </c>
      <c r="D53" s="51">
        <f t="shared" si="7"/>
        <v>32020</v>
      </c>
      <c r="E53" s="52">
        <f t="shared" si="6"/>
        <v>88.94444444444444</v>
      </c>
      <c r="F53" s="55"/>
      <c r="G53" s="51">
        <v>11000</v>
      </c>
      <c r="H53" s="51">
        <v>7020</v>
      </c>
      <c r="I53" s="66">
        <f t="shared" si="1"/>
        <v>63.81818181818182</v>
      </c>
      <c r="J53" s="56"/>
      <c r="K53" s="51">
        <v>25000</v>
      </c>
      <c r="L53" s="51">
        <v>25000</v>
      </c>
      <c r="M53" s="54">
        <f>L53/K53*100</f>
        <v>100</v>
      </c>
      <c r="N53" s="56"/>
    </row>
    <row r="54" spans="1:14" s="118" customFormat="1" ht="14.25" customHeight="1">
      <c r="A54" s="88">
        <v>4</v>
      </c>
      <c r="B54" s="117" t="s">
        <v>1372</v>
      </c>
      <c r="C54" s="50">
        <f t="shared" si="7"/>
        <v>1148782</v>
      </c>
      <c r="D54" s="51">
        <f t="shared" si="7"/>
        <v>999150</v>
      </c>
      <c r="E54" s="52">
        <f t="shared" si="6"/>
        <v>86.97472627530723</v>
      </c>
      <c r="F54" s="55"/>
      <c r="G54" s="51">
        <v>535882</v>
      </c>
      <c r="H54" s="51">
        <v>438100</v>
      </c>
      <c r="I54" s="66">
        <f t="shared" si="1"/>
        <v>81.75307250476784</v>
      </c>
      <c r="J54" s="56"/>
      <c r="K54" s="51">
        <v>612900</v>
      </c>
      <c r="L54" s="51">
        <v>561050</v>
      </c>
      <c r="M54" s="54">
        <f>L54/K54*100</f>
        <v>91.54021863272965</v>
      </c>
      <c r="N54" s="56"/>
    </row>
    <row r="55" spans="1:14" s="118" customFormat="1" ht="33.75">
      <c r="A55" s="88">
        <v>5</v>
      </c>
      <c r="B55" s="117" t="s">
        <v>1373</v>
      </c>
      <c r="C55" s="50">
        <f t="shared" si="7"/>
        <v>190000</v>
      </c>
      <c r="D55" s="51">
        <f t="shared" si="7"/>
        <v>172000</v>
      </c>
      <c r="E55" s="52">
        <f t="shared" si="6"/>
        <v>90.52631578947368</v>
      </c>
      <c r="F55" s="55"/>
      <c r="G55" s="51">
        <v>190000</v>
      </c>
      <c r="H55" s="54">
        <v>172000</v>
      </c>
      <c r="I55" s="66">
        <f t="shared" si="1"/>
        <v>90.52631578947368</v>
      </c>
      <c r="J55" s="56"/>
      <c r="K55" s="51"/>
      <c r="L55" s="51"/>
      <c r="M55" s="54"/>
      <c r="N55" s="56"/>
    </row>
    <row r="56" spans="1:14" s="118" customFormat="1" ht="15.75" customHeight="1">
      <c r="A56" s="88">
        <v>6</v>
      </c>
      <c r="B56" s="117" t="s">
        <v>1374</v>
      </c>
      <c r="C56" s="50">
        <f t="shared" si="7"/>
        <v>712000</v>
      </c>
      <c r="D56" s="51">
        <f t="shared" si="7"/>
        <v>713000</v>
      </c>
      <c r="E56" s="52">
        <f t="shared" si="6"/>
        <v>100.14044943820224</v>
      </c>
      <c r="F56" s="55"/>
      <c r="G56" s="51">
        <v>712000</v>
      </c>
      <c r="H56" s="51">
        <v>713000</v>
      </c>
      <c r="I56" s="66">
        <f t="shared" si="1"/>
        <v>100.14044943820224</v>
      </c>
      <c r="J56" s="56"/>
      <c r="K56" s="51"/>
      <c r="L56" s="51"/>
      <c r="M56" s="54"/>
      <c r="N56" s="56"/>
    </row>
    <row r="57" spans="1:14" s="118" customFormat="1" ht="22.5">
      <c r="A57" s="88">
        <v>7</v>
      </c>
      <c r="B57" s="74" t="s">
        <v>1375</v>
      </c>
      <c r="C57" s="50">
        <f t="shared" si="7"/>
        <v>928600</v>
      </c>
      <c r="D57" s="51">
        <f t="shared" si="7"/>
        <v>991450</v>
      </c>
      <c r="E57" s="52">
        <f t="shared" si="6"/>
        <v>106.76825328451432</v>
      </c>
      <c r="F57" s="55"/>
      <c r="G57" s="51">
        <v>869900</v>
      </c>
      <c r="H57" s="51">
        <v>922300</v>
      </c>
      <c r="I57" s="66">
        <f t="shared" si="1"/>
        <v>106.02368088286009</v>
      </c>
      <c r="J57" s="56"/>
      <c r="K57" s="51">
        <v>58700</v>
      </c>
      <c r="L57" s="51">
        <v>69150</v>
      </c>
      <c r="M57" s="54">
        <f>L57/K57*100</f>
        <v>117.8023850085179</v>
      </c>
      <c r="N57" s="56"/>
    </row>
    <row r="58" spans="1:14" s="118" customFormat="1" ht="13.5" customHeight="1">
      <c r="A58" s="119">
        <v>8</v>
      </c>
      <c r="B58" s="120" t="s">
        <v>1376</v>
      </c>
      <c r="C58" s="121">
        <f>G58+K58</f>
        <v>14000</v>
      </c>
      <c r="D58" s="80">
        <f>H58+L58</f>
        <v>3000</v>
      </c>
      <c r="E58" s="81">
        <f t="shared" si="6"/>
        <v>21.428571428571427</v>
      </c>
      <c r="F58" s="82"/>
      <c r="G58" s="80">
        <v>14000</v>
      </c>
      <c r="H58" s="80">
        <v>3000</v>
      </c>
      <c r="I58" s="84">
        <f>H58/G58*100</f>
        <v>21.428571428571427</v>
      </c>
      <c r="J58" s="85"/>
      <c r="K58" s="80"/>
      <c r="L58" s="80"/>
      <c r="M58" s="122"/>
      <c r="N58" s="85"/>
    </row>
    <row r="59" spans="1:14" s="118" customFormat="1" ht="12.75" customHeight="1">
      <c r="A59" s="88">
        <v>9</v>
      </c>
      <c r="B59" s="74" t="s">
        <v>1377</v>
      </c>
      <c r="C59" s="50">
        <f t="shared" si="7"/>
        <v>3145000</v>
      </c>
      <c r="D59" s="51">
        <f t="shared" si="7"/>
        <v>3300000</v>
      </c>
      <c r="E59" s="52">
        <f t="shared" si="6"/>
        <v>104.92845786963434</v>
      </c>
      <c r="F59" s="55"/>
      <c r="G59" s="51">
        <v>3145000</v>
      </c>
      <c r="H59" s="51">
        <v>3300000</v>
      </c>
      <c r="I59" s="66">
        <f t="shared" si="1"/>
        <v>104.92845786963434</v>
      </c>
      <c r="J59" s="56"/>
      <c r="K59" s="51"/>
      <c r="L59" s="51"/>
      <c r="M59" s="54"/>
      <c r="N59" s="56"/>
    </row>
    <row r="60" spans="1:14" s="118" customFormat="1" ht="12.75" customHeight="1">
      <c r="A60" s="88">
        <v>10</v>
      </c>
      <c r="B60" s="74" t="s">
        <v>1378</v>
      </c>
      <c r="C60" s="50">
        <f t="shared" si="7"/>
        <v>1900</v>
      </c>
      <c r="D60" s="51">
        <f t="shared" si="7"/>
        <v>1900</v>
      </c>
      <c r="E60" s="52">
        <f t="shared" si="6"/>
        <v>100</v>
      </c>
      <c r="F60" s="55"/>
      <c r="G60" s="123"/>
      <c r="H60" s="123"/>
      <c r="I60" s="66"/>
      <c r="J60" s="56"/>
      <c r="K60" s="123">
        <v>1900</v>
      </c>
      <c r="L60" s="123">
        <v>1900</v>
      </c>
      <c r="M60" s="52">
        <f>L60/K60*100</f>
        <v>100</v>
      </c>
      <c r="N60" s="56"/>
    </row>
    <row r="61" spans="1:14" s="118" customFormat="1" ht="15.75" customHeight="1">
      <c r="A61" s="88">
        <v>11</v>
      </c>
      <c r="B61" s="74" t="s">
        <v>1379</v>
      </c>
      <c r="C61" s="50">
        <f t="shared" si="7"/>
        <v>1530000</v>
      </c>
      <c r="D61" s="51">
        <f t="shared" si="7"/>
        <v>1400000</v>
      </c>
      <c r="E61" s="52">
        <f t="shared" si="6"/>
        <v>91.50326797385621</v>
      </c>
      <c r="F61" s="55"/>
      <c r="G61" s="123">
        <v>1530000</v>
      </c>
      <c r="H61" s="123">
        <v>1400000</v>
      </c>
      <c r="I61" s="66">
        <f t="shared" si="1"/>
        <v>91.50326797385621</v>
      </c>
      <c r="J61" s="56"/>
      <c r="K61" s="123"/>
      <c r="L61" s="123"/>
      <c r="M61" s="52"/>
      <c r="N61" s="56"/>
    </row>
    <row r="62" spans="1:14" s="118" customFormat="1" ht="22.5">
      <c r="A62" s="88">
        <v>12</v>
      </c>
      <c r="B62" s="117" t="s">
        <v>1380</v>
      </c>
      <c r="C62" s="50">
        <f t="shared" si="7"/>
        <v>179000</v>
      </c>
      <c r="D62" s="51">
        <f t="shared" si="7"/>
        <v>149200</v>
      </c>
      <c r="E62" s="52">
        <f t="shared" si="6"/>
        <v>83.35195530726257</v>
      </c>
      <c r="F62" s="55"/>
      <c r="G62" s="51">
        <v>179000</v>
      </c>
      <c r="H62" s="51">
        <v>149200</v>
      </c>
      <c r="I62" s="66">
        <f t="shared" si="1"/>
        <v>83.35195530726257</v>
      </c>
      <c r="J62" s="56"/>
      <c r="K62" s="51"/>
      <c r="L62" s="51"/>
      <c r="M62" s="54"/>
      <c r="N62" s="56"/>
    </row>
    <row r="63" spans="1:14" s="118" customFormat="1" ht="15" customHeight="1">
      <c r="A63" s="88">
        <v>13</v>
      </c>
      <c r="B63" s="74" t="s">
        <v>1381</v>
      </c>
      <c r="C63" s="50">
        <f t="shared" si="7"/>
        <v>38700</v>
      </c>
      <c r="D63" s="51">
        <f t="shared" si="7"/>
        <v>22000</v>
      </c>
      <c r="E63" s="52">
        <f t="shared" si="6"/>
        <v>56.84754521963824</v>
      </c>
      <c r="F63" s="55"/>
      <c r="G63" s="51">
        <v>8700</v>
      </c>
      <c r="H63" s="51">
        <v>2000</v>
      </c>
      <c r="I63" s="66">
        <f t="shared" si="1"/>
        <v>22.988505747126435</v>
      </c>
      <c r="J63" s="56"/>
      <c r="K63" s="51">
        <v>30000</v>
      </c>
      <c r="L63" s="51">
        <v>20000</v>
      </c>
      <c r="M63" s="52">
        <f>L63/K63*100</f>
        <v>66.66666666666666</v>
      </c>
      <c r="N63" s="56"/>
    </row>
    <row r="64" spans="1:14" s="118" customFormat="1" ht="12.75" customHeight="1">
      <c r="A64" s="88">
        <v>14</v>
      </c>
      <c r="B64" s="117" t="s">
        <v>1382</v>
      </c>
      <c r="C64" s="50">
        <f>G64+K64</f>
        <v>1000</v>
      </c>
      <c r="D64" s="51">
        <f>H64+L64</f>
        <v>500</v>
      </c>
      <c r="E64" s="52">
        <f>D64/C64*100</f>
        <v>50</v>
      </c>
      <c r="F64" s="55"/>
      <c r="G64" s="51">
        <v>1000</v>
      </c>
      <c r="H64" s="51">
        <v>500</v>
      </c>
      <c r="I64" s="66">
        <f>H64/G64*100</f>
        <v>50</v>
      </c>
      <c r="J64" s="56"/>
      <c r="K64" s="51"/>
      <c r="L64" s="51"/>
      <c r="M64" s="54"/>
      <c r="N64" s="56"/>
    </row>
    <row r="65" spans="1:14" s="118" customFormat="1" ht="14.25" customHeight="1">
      <c r="A65" s="88">
        <v>15</v>
      </c>
      <c r="B65" s="117" t="s">
        <v>1383</v>
      </c>
      <c r="C65" s="50">
        <f t="shared" si="7"/>
        <v>1000000</v>
      </c>
      <c r="D65" s="51">
        <f t="shared" si="7"/>
        <v>1010000</v>
      </c>
      <c r="E65" s="52">
        <f t="shared" si="6"/>
        <v>101</v>
      </c>
      <c r="F65" s="55"/>
      <c r="G65" s="51">
        <v>1000000</v>
      </c>
      <c r="H65" s="51">
        <v>1010000</v>
      </c>
      <c r="I65" s="66">
        <f t="shared" si="1"/>
        <v>101</v>
      </c>
      <c r="J65" s="56"/>
      <c r="K65" s="51"/>
      <c r="L65" s="51"/>
      <c r="M65" s="54"/>
      <c r="N65" s="56"/>
    </row>
    <row r="66" spans="1:14" s="118" customFormat="1" ht="13.5" customHeight="1">
      <c r="A66" s="88">
        <v>16</v>
      </c>
      <c r="B66" s="74" t="s">
        <v>1384</v>
      </c>
      <c r="C66" s="50">
        <f t="shared" si="7"/>
        <v>2800000</v>
      </c>
      <c r="D66" s="51">
        <f t="shared" si="7"/>
        <v>2000000</v>
      </c>
      <c r="E66" s="52">
        <f t="shared" si="6"/>
        <v>71.42857142857143</v>
      </c>
      <c r="F66" s="55"/>
      <c r="G66" s="51"/>
      <c r="H66" s="51"/>
      <c r="I66" s="66"/>
      <c r="J66" s="56"/>
      <c r="K66" s="51">
        <v>2800000</v>
      </c>
      <c r="L66" s="51">
        <v>2000000</v>
      </c>
      <c r="M66" s="52">
        <f aca="true" t="shared" si="8" ref="M66:M72">L66/K66*100</f>
        <v>71.42857142857143</v>
      </c>
      <c r="N66" s="56"/>
    </row>
    <row r="67" spans="1:14" s="118" customFormat="1" ht="13.5" customHeight="1">
      <c r="A67" s="88">
        <v>17</v>
      </c>
      <c r="B67" s="74" t="s">
        <v>1385</v>
      </c>
      <c r="C67" s="50">
        <f aca="true" t="shared" si="9" ref="C67:D70">G67+K67</f>
        <v>72600</v>
      </c>
      <c r="D67" s="51">
        <f t="shared" si="9"/>
        <v>67200</v>
      </c>
      <c r="E67" s="52">
        <f t="shared" si="6"/>
        <v>92.56198347107438</v>
      </c>
      <c r="F67" s="55"/>
      <c r="G67" s="51"/>
      <c r="H67" s="51"/>
      <c r="I67" s="66"/>
      <c r="J67" s="56"/>
      <c r="K67" s="51">
        <v>72600</v>
      </c>
      <c r="L67" s="51">
        <v>67200</v>
      </c>
      <c r="M67" s="52">
        <f t="shared" si="8"/>
        <v>92.56198347107438</v>
      </c>
      <c r="N67" s="56"/>
    </row>
    <row r="68" spans="1:14" s="106" customFormat="1" ht="15.75" customHeight="1">
      <c r="A68" s="58">
        <v>18</v>
      </c>
      <c r="B68" s="49" t="s">
        <v>1386</v>
      </c>
      <c r="C68" s="50">
        <f t="shared" si="9"/>
        <v>707100</v>
      </c>
      <c r="D68" s="51">
        <f t="shared" si="9"/>
        <v>700000</v>
      </c>
      <c r="E68" s="52">
        <f t="shared" si="6"/>
        <v>98.99589874133787</v>
      </c>
      <c r="F68" s="55"/>
      <c r="G68" s="103"/>
      <c r="H68" s="103"/>
      <c r="I68" s="66"/>
      <c r="J68" s="56"/>
      <c r="K68" s="103">
        <v>707100</v>
      </c>
      <c r="L68" s="103">
        <v>700000</v>
      </c>
      <c r="M68" s="52">
        <f t="shared" si="8"/>
        <v>98.99589874133787</v>
      </c>
      <c r="N68" s="56"/>
    </row>
    <row r="69" spans="1:14" s="106" customFormat="1" ht="15.75" customHeight="1">
      <c r="A69" s="58">
        <v>19</v>
      </c>
      <c r="B69" s="49" t="s">
        <v>1387</v>
      </c>
      <c r="C69" s="50">
        <f t="shared" si="9"/>
        <v>14000</v>
      </c>
      <c r="D69" s="51">
        <f t="shared" si="9"/>
        <v>15500</v>
      </c>
      <c r="E69" s="52">
        <f t="shared" si="6"/>
        <v>110.71428571428572</v>
      </c>
      <c r="F69" s="55"/>
      <c r="G69" s="103"/>
      <c r="H69" s="103"/>
      <c r="I69" s="66"/>
      <c r="J69" s="56"/>
      <c r="K69" s="103">
        <v>14000</v>
      </c>
      <c r="L69" s="103">
        <v>15500</v>
      </c>
      <c r="M69" s="52">
        <f t="shared" si="8"/>
        <v>110.71428571428572</v>
      </c>
      <c r="N69" s="56"/>
    </row>
    <row r="70" spans="1:14" s="118" customFormat="1" ht="35.25" customHeight="1" thickBot="1">
      <c r="A70" s="88">
        <v>20</v>
      </c>
      <c r="B70" s="117" t="s">
        <v>1388</v>
      </c>
      <c r="C70" s="50">
        <f t="shared" si="9"/>
        <v>801240</v>
      </c>
      <c r="D70" s="51"/>
      <c r="E70" s="52"/>
      <c r="F70" s="55"/>
      <c r="G70" s="51">
        <v>788280</v>
      </c>
      <c r="H70" s="54"/>
      <c r="I70" s="66"/>
      <c r="J70" s="56"/>
      <c r="K70" s="51">
        <v>12960</v>
      </c>
      <c r="L70" s="51"/>
      <c r="M70" s="54"/>
      <c r="N70" s="56"/>
    </row>
    <row r="71" spans="1:14" s="40" customFormat="1" ht="18.75" customHeight="1" thickBot="1" thickTop="1">
      <c r="A71" s="59" t="s">
        <v>1389</v>
      </c>
      <c r="B71" s="124" t="s">
        <v>1390</v>
      </c>
      <c r="C71" s="63">
        <f>SUM(C72:C74)</f>
        <v>70242833</v>
      </c>
      <c r="D71" s="63">
        <f>SUM(D72:D74)</f>
        <v>75640044</v>
      </c>
      <c r="E71" s="37">
        <f>D71/C71*100</f>
        <v>107.68364652946158</v>
      </c>
      <c r="F71" s="61">
        <f>D71/$D$95*100</f>
        <v>28.326570686833858</v>
      </c>
      <c r="G71" s="36">
        <f>SUM(G72:G74)</f>
        <v>32266683</v>
      </c>
      <c r="H71" s="36">
        <f>SUM(H72:H74)</f>
        <v>33621192</v>
      </c>
      <c r="I71" s="111">
        <f t="shared" si="1"/>
        <v>104.19785634612644</v>
      </c>
      <c r="J71" s="109">
        <f>H71/$D$95*100</f>
        <v>12.590858246507802</v>
      </c>
      <c r="K71" s="36">
        <f>SUM(K72:K74)</f>
        <v>37976150</v>
      </c>
      <c r="L71" s="36">
        <f>SUM(L72:L74)</f>
        <v>42018852</v>
      </c>
      <c r="M71" s="112">
        <f t="shared" si="8"/>
        <v>110.64537084459589</v>
      </c>
      <c r="N71" s="109">
        <f>L71/$D$95*100</f>
        <v>15.735712440326054</v>
      </c>
    </row>
    <row r="72" spans="1:14" s="118" customFormat="1" ht="12.75" customHeight="1" thickTop="1">
      <c r="A72" s="88">
        <v>1</v>
      </c>
      <c r="B72" s="74" t="s">
        <v>1391</v>
      </c>
      <c r="C72" s="50">
        <f aca="true" t="shared" si="10" ref="C72:D74">G72+K72</f>
        <v>68656088</v>
      </c>
      <c r="D72" s="51">
        <f t="shared" si="10"/>
        <v>70792089</v>
      </c>
      <c r="E72" s="52">
        <f>D72/C72*100</f>
        <v>103.11116036789045</v>
      </c>
      <c r="F72" s="55"/>
      <c r="G72" s="125">
        <v>31821502</v>
      </c>
      <c r="H72" s="125">
        <v>32691315</v>
      </c>
      <c r="I72" s="66">
        <f>H72/G72*100</f>
        <v>102.7334127722821</v>
      </c>
      <c r="J72" s="56">
        <f>H72/$D$95*100</f>
        <v>12.242627003139395</v>
      </c>
      <c r="K72" s="125">
        <v>36834586</v>
      </c>
      <c r="L72" s="125">
        <v>38100774</v>
      </c>
      <c r="M72" s="52">
        <f t="shared" si="8"/>
        <v>103.43749757361194</v>
      </c>
      <c r="N72" s="56">
        <f>L72/$D$95*100</f>
        <v>14.26842464467738</v>
      </c>
    </row>
    <row r="73" spans="1:14" s="118" customFormat="1" ht="10.5" customHeight="1">
      <c r="A73" s="88">
        <v>2</v>
      </c>
      <c r="B73" s="74" t="s">
        <v>1392</v>
      </c>
      <c r="C73" s="50">
        <f t="shared" si="10"/>
        <v>600000</v>
      </c>
      <c r="D73" s="51"/>
      <c r="E73" s="52"/>
      <c r="F73" s="55"/>
      <c r="G73" s="125"/>
      <c r="H73" s="125"/>
      <c r="I73" s="66"/>
      <c r="J73" s="56"/>
      <c r="K73" s="125">
        <v>600000</v>
      </c>
      <c r="L73" s="125"/>
      <c r="M73" s="52"/>
      <c r="N73" s="56"/>
    </row>
    <row r="74" spans="1:14" s="118" customFormat="1" ht="13.5" customHeight="1" thickBot="1">
      <c r="A74" s="88">
        <v>3</v>
      </c>
      <c r="B74" s="126" t="s">
        <v>1393</v>
      </c>
      <c r="C74" s="50">
        <f t="shared" si="10"/>
        <v>986745</v>
      </c>
      <c r="D74" s="51">
        <f t="shared" si="10"/>
        <v>4847955</v>
      </c>
      <c r="E74" s="52">
        <f>D74/C74*100</f>
        <v>491.30778468601306</v>
      </c>
      <c r="F74" s="55"/>
      <c r="G74" s="125">
        <v>445181</v>
      </c>
      <c r="H74" s="127">
        <v>929877</v>
      </c>
      <c r="I74" s="66">
        <f>H74/G74*100</f>
        <v>208.87616497559418</v>
      </c>
      <c r="J74" s="56">
        <f>H74/$D$95*100</f>
        <v>0.3482312433684069</v>
      </c>
      <c r="K74" s="125">
        <v>541564</v>
      </c>
      <c r="L74" s="125">
        <v>3918078</v>
      </c>
      <c r="M74" s="52">
        <f>L74/K74*100</f>
        <v>723.4746031863269</v>
      </c>
      <c r="N74" s="56">
        <f>L74/$D$95*100</f>
        <v>1.4672877956486727</v>
      </c>
    </row>
    <row r="75" spans="1:14" s="131" customFormat="1" ht="18" customHeight="1" thickBot="1" thickTop="1">
      <c r="A75" s="128"/>
      <c r="B75" s="129" t="s">
        <v>1394</v>
      </c>
      <c r="C75" s="130">
        <f>C71+C10</f>
        <v>214125904</v>
      </c>
      <c r="D75" s="130">
        <f>D71+D10</f>
        <v>212860776</v>
      </c>
      <c r="E75" s="112">
        <f>D75/C75*100</f>
        <v>99.40916630058922</v>
      </c>
      <c r="F75" s="61">
        <f>D75/$D$95*100</f>
        <v>79.71459955547233</v>
      </c>
      <c r="G75" s="130">
        <f>G71+G10</f>
        <v>156851684</v>
      </c>
      <c r="H75" s="130">
        <f>H71+H10</f>
        <v>151643349</v>
      </c>
      <c r="I75" s="111">
        <f>H75/G75*100</f>
        <v>96.67945229073855</v>
      </c>
      <c r="J75" s="109">
        <f>H75/$D$95*100</f>
        <v>56.789179612808205</v>
      </c>
      <c r="K75" s="130">
        <f>K71+K10</f>
        <v>57274220</v>
      </c>
      <c r="L75" s="130">
        <f>L71+L10</f>
        <v>61217427</v>
      </c>
      <c r="M75" s="112">
        <f>L75/K75*100</f>
        <v>106.88478516163119</v>
      </c>
      <c r="N75" s="109">
        <f>L75/$D$95*100</f>
        <v>22.925419942664117</v>
      </c>
    </row>
    <row r="76" spans="1:14" s="133" customFormat="1" ht="24" customHeight="1" thickBot="1" thickTop="1">
      <c r="A76" s="67" t="s">
        <v>1395</v>
      </c>
      <c r="B76" s="132" t="s">
        <v>1396</v>
      </c>
      <c r="C76" s="130">
        <f>SUM(C77:C82)</f>
        <v>22042993</v>
      </c>
      <c r="D76" s="110">
        <f>H76+L76</f>
        <v>17180367</v>
      </c>
      <c r="E76" s="112">
        <f>D76/C76*100</f>
        <v>77.94026428262259</v>
      </c>
      <c r="F76" s="61">
        <f>J76+N76</f>
        <v>6.433905303535356</v>
      </c>
      <c r="G76" s="110">
        <f>SUM(G77:G86)</f>
        <v>278982</v>
      </c>
      <c r="H76" s="110">
        <f>SUM(H77:H86)</f>
        <v>2142152</v>
      </c>
      <c r="I76" s="111">
        <f>H76/G76*100</f>
        <v>767.8459542192686</v>
      </c>
      <c r="J76" s="109">
        <f>H76/$D$95*100</f>
        <v>0.8022182013794508</v>
      </c>
      <c r="K76" s="110">
        <f>SUM(K77:K86)</f>
        <v>21764011</v>
      </c>
      <c r="L76" s="110">
        <f>SUM(L77:L86)</f>
        <v>15038215</v>
      </c>
      <c r="M76" s="112">
        <f>L76/K76*100</f>
        <v>69.0967074037961</v>
      </c>
      <c r="N76" s="109">
        <f>L76/$D$95*100</f>
        <v>5.631687102155905</v>
      </c>
    </row>
    <row r="77" spans="1:14" s="57" customFormat="1" ht="17.25" customHeight="1" thickTop="1">
      <c r="A77" s="48">
        <v>1</v>
      </c>
      <c r="B77" s="49" t="s">
        <v>1397</v>
      </c>
      <c r="C77" s="50">
        <f>G77+K77</f>
        <v>225482</v>
      </c>
      <c r="D77" s="51"/>
      <c r="E77" s="52"/>
      <c r="F77" s="55"/>
      <c r="G77" s="51">
        <f>133155+18360+73967</f>
        <v>225482</v>
      </c>
      <c r="H77" s="51"/>
      <c r="I77" s="66"/>
      <c r="J77" s="56"/>
      <c r="K77" s="51"/>
      <c r="L77" s="51"/>
      <c r="M77" s="54"/>
      <c r="N77" s="56"/>
    </row>
    <row r="78" spans="1:14" s="57" customFormat="1" ht="15" customHeight="1">
      <c r="A78" s="48">
        <v>2</v>
      </c>
      <c r="B78" s="49" t="s">
        <v>1398</v>
      </c>
      <c r="C78" s="50">
        <f>G78+K78</f>
        <v>502791</v>
      </c>
      <c r="D78" s="51"/>
      <c r="E78" s="52"/>
      <c r="F78" s="55"/>
      <c r="G78" s="51"/>
      <c r="H78" s="51"/>
      <c r="I78" s="66"/>
      <c r="J78" s="56"/>
      <c r="K78" s="51">
        <v>502791</v>
      </c>
      <c r="L78" s="51"/>
      <c r="M78" s="54"/>
      <c r="N78" s="56"/>
    </row>
    <row r="79" spans="1:14" s="57" customFormat="1" ht="12.75" customHeight="1">
      <c r="A79" s="48">
        <v>3</v>
      </c>
      <c r="B79" s="49" t="s">
        <v>1399</v>
      </c>
      <c r="C79" s="50">
        <f>G79+K79</f>
        <v>13950000</v>
      </c>
      <c r="D79" s="51">
        <f aca="true" t="shared" si="11" ref="D79:D87">H79+L79</f>
        <v>9500000</v>
      </c>
      <c r="E79" s="52">
        <f>D79/C79*100</f>
        <v>68.10035842293907</v>
      </c>
      <c r="F79" s="55"/>
      <c r="G79" s="51"/>
      <c r="H79" s="51"/>
      <c r="I79" s="66"/>
      <c r="J79" s="56"/>
      <c r="K79" s="51">
        <v>13950000</v>
      </c>
      <c r="L79" s="51">
        <v>9500000</v>
      </c>
      <c r="M79" s="54"/>
      <c r="N79" s="56"/>
    </row>
    <row r="80" spans="1:14" s="57" customFormat="1" ht="12.75" customHeight="1">
      <c r="A80" s="48">
        <v>4</v>
      </c>
      <c r="B80" s="49" t="s">
        <v>1400</v>
      </c>
      <c r="C80" s="50">
        <f>G80+K80</f>
        <v>6549735</v>
      </c>
      <c r="D80" s="51">
        <f t="shared" si="11"/>
        <v>5368442</v>
      </c>
      <c r="E80" s="52">
        <f>D80/C80*100</f>
        <v>81.9642626762762</v>
      </c>
      <c r="F80" s="55"/>
      <c r="G80" s="51"/>
      <c r="H80" s="51">
        <v>1485167</v>
      </c>
      <c r="I80" s="66"/>
      <c r="J80" s="56"/>
      <c r="K80" s="51">
        <v>6549735</v>
      </c>
      <c r="L80" s="51">
        <v>3883275</v>
      </c>
      <c r="M80" s="54">
        <f>L80/K80*100</f>
        <v>59.28903993825705</v>
      </c>
      <c r="N80" s="56"/>
    </row>
    <row r="81" spans="1:14" s="57" customFormat="1" ht="15" customHeight="1">
      <c r="A81" s="48">
        <v>5</v>
      </c>
      <c r="B81" s="49" t="s">
        <v>1401</v>
      </c>
      <c r="C81" s="50">
        <f>G81+K81</f>
        <v>814985</v>
      </c>
      <c r="D81" s="51">
        <f t="shared" si="11"/>
        <v>569288</v>
      </c>
      <c r="E81" s="52">
        <f>D81/C81*100</f>
        <v>69.85257397375412</v>
      </c>
      <c r="F81" s="55"/>
      <c r="G81" s="51">
        <v>53500</v>
      </c>
      <c r="H81" s="51">
        <v>40988</v>
      </c>
      <c r="I81" s="66">
        <f>H81/G81*100</f>
        <v>76.61308411214954</v>
      </c>
      <c r="J81" s="56"/>
      <c r="K81" s="51">
        <v>761485</v>
      </c>
      <c r="L81" s="51">
        <v>528300</v>
      </c>
      <c r="M81" s="54">
        <f>L81/K81*100</f>
        <v>69.377597720244</v>
      </c>
      <c r="N81" s="56"/>
    </row>
    <row r="82" spans="1:14" s="57" customFormat="1" ht="13.5" customHeight="1">
      <c r="A82" s="48">
        <v>6</v>
      </c>
      <c r="B82" s="49" t="s">
        <v>1402</v>
      </c>
      <c r="C82" s="50"/>
      <c r="D82" s="51">
        <f t="shared" si="11"/>
        <v>83680</v>
      </c>
      <c r="E82" s="52"/>
      <c r="F82" s="55"/>
      <c r="G82" s="51"/>
      <c r="H82" s="51">
        <v>83680</v>
      </c>
      <c r="I82" s="66"/>
      <c r="J82" s="56"/>
      <c r="K82" s="51"/>
      <c r="L82" s="51"/>
      <c r="M82" s="54"/>
      <c r="N82" s="56"/>
    </row>
    <row r="83" spans="1:14" s="57" customFormat="1" ht="15.75" customHeight="1">
      <c r="A83" s="48">
        <v>7</v>
      </c>
      <c r="B83" s="49" t="s">
        <v>1403</v>
      </c>
      <c r="C83" s="50"/>
      <c r="D83" s="51">
        <f t="shared" si="11"/>
        <v>186022</v>
      </c>
      <c r="E83" s="52"/>
      <c r="F83" s="55"/>
      <c r="G83" s="51"/>
      <c r="H83" s="51">
        <v>186022</v>
      </c>
      <c r="I83" s="66"/>
      <c r="J83" s="56"/>
      <c r="K83" s="51"/>
      <c r="L83" s="51"/>
      <c r="M83" s="54"/>
      <c r="N83" s="56"/>
    </row>
    <row r="84" spans="1:14" s="57" customFormat="1" ht="13.5" customHeight="1">
      <c r="A84" s="48">
        <v>8</v>
      </c>
      <c r="B84" s="49" t="s">
        <v>1404</v>
      </c>
      <c r="C84" s="50"/>
      <c r="D84" s="51">
        <f t="shared" si="11"/>
        <v>205345</v>
      </c>
      <c r="E84" s="52"/>
      <c r="F84" s="55"/>
      <c r="G84" s="51"/>
      <c r="H84" s="51">
        <v>205345</v>
      </c>
      <c r="I84" s="66"/>
      <c r="J84" s="56"/>
      <c r="K84" s="51"/>
      <c r="L84" s="51"/>
      <c r="M84" s="54"/>
      <c r="N84" s="56"/>
    </row>
    <row r="85" spans="1:14" s="57" customFormat="1" ht="12.75" customHeight="1">
      <c r="A85" s="48">
        <v>9</v>
      </c>
      <c r="B85" s="49" t="s">
        <v>1405</v>
      </c>
      <c r="C85" s="50"/>
      <c r="D85" s="51">
        <f t="shared" si="11"/>
        <v>1126640</v>
      </c>
      <c r="E85" s="52"/>
      <c r="F85" s="55"/>
      <c r="G85" s="51"/>
      <c r="H85" s="51"/>
      <c r="I85" s="66"/>
      <c r="J85" s="56"/>
      <c r="K85" s="51"/>
      <c r="L85" s="51">
        <v>1126640</v>
      </c>
      <c r="M85" s="54"/>
      <c r="N85" s="56"/>
    </row>
    <row r="86" spans="1:14" s="57" customFormat="1" ht="17.25" customHeight="1">
      <c r="A86" s="134">
        <v>10</v>
      </c>
      <c r="B86" s="135" t="s">
        <v>1406</v>
      </c>
      <c r="C86" s="121"/>
      <c r="D86" s="80">
        <f t="shared" si="11"/>
        <v>140950</v>
      </c>
      <c r="E86" s="81"/>
      <c r="F86" s="82"/>
      <c r="G86" s="80"/>
      <c r="H86" s="80">
        <v>140950</v>
      </c>
      <c r="I86" s="84"/>
      <c r="J86" s="85"/>
      <c r="K86" s="80"/>
      <c r="L86" s="80"/>
      <c r="M86" s="122"/>
      <c r="N86" s="85"/>
    </row>
    <row r="87" spans="1:14" s="40" customFormat="1" ht="24.75" customHeight="1" thickBot="1">
      <c r="A87" s="41" t="s">
        <v>1407</v>
      </c>
      <c r="B87" s="136" t="s">
        <v>1408</v>
      </c>
      <c r="C87" s="43">
        <f>SUM(C88:C90)</f>
        <v>4176295</v>
      </c>
      <c r="D87" s="137">
        <f t="shared" si="11"/>
        <v>3801928</v>
      </c>
      <c r="E87" s="138">
        <f aca="true" t="shared" si="12" ref="E87:E95">D87/C87*100</f>
        <v>91.0359062278886</v>
      </c>
      <c r="F87" s="46">
        <v>1.5</v>
      </c>
      <c r="G87" s="44">
        <f>SUM(G88:G90)</f>
        <v>4115755</v>
      </c>
      <c r="H87" s="44">
        <f>SUM(H88:H90)</f>
        <v>3801928</v>
      </c>
      <c r="I87" s="139">
        <f aca="true" t="shared" si="13" ref="I87:I95">H87/G87*100</f>
        <v>92.37498344775138</v>
      </c>
      <c r="J87" s="140">
        <v>1.5</v>
      </c>
      <c r="K87" s="44">
        <f>SUM(K88:K89)</f>
        <v>60540</v>
      </c>
      <c r="L87" s="44"/>
      <c r="M87" s="138"/>
      <c r="N87" s="140"/>
    </row>
    <row r="88" spans="1:14" s="57" customFormat="1" ht="19.5" customHeight="1" thickTop="1">
      <c r="A88" s="58">
        <v>1</v>
      </c>
      <c r="B88" s="141" t="s">
        <v>1409</v>
      </c>
      <c r="C88" s="50">
        <f aca="true" t="shared" si="14" ref="C88:D90">G88+K88</f>
        <v>3855970</v>
      </c>
      <c r="D88" s="51">
        <f t="shared" si="14"/>
        <v>3242000</v>
      </c>
      <c r="E88" s="52">
        <f t="shared" si="12"/>
        <v>84.0774176147636</v>
      </c>
      <c r="F88" s="55"/>
      <c r="G88" s="51">
        <v>3845570</v>
      </c>
      <c r="H88" s="51">
        <v>3242000</v>
      </c>
      <c r="I88" s="54">
        <f t="shared" si="13"/>
        <v>84.30479746825567</v>
      </c>
      <c r="J88" s="56"/>
      <c r="K88" s="51">
        <v>10400</v>
      </c>
      <c r="L88" s="51"/>
      <c r="M88" s="52"/>
      <c r="N88" s="56"/>
    </row>
    <row r="89" spans="1:14" s="57" customFormat="1" ht="23.25" customHeight="1">
      <c r="A89" s="48">
        <v>2</v>
      </c>
      <c r="B89" s="142" t="s">
        <v>1410</v>
      </c>
      <c r="C89" s="50">
        <f t="shared" si="14"/>
        <v>66808</v>
      </c>
      <c r="D89" s="51">
        <f t="shared" si="14"/>
        <v>16668</v>
      </c>
      <c r="E89" s="52">
        <f t="shared" si="12"/>
        <v>24.949107891270504</v>
      </c>
      <c r="F89" s="55"/>
      <c r="G89" s="51">
        <v>16668</v>
      </c>
      <c r="H89" s="51">
        <v>16668</v>
      </c>
      <c r="I89" s="66">
        <f t="shared" si="13"/>
        <v>100</v>
      </c>
      <c r="J89" s="56"/>
      <c r="K89" s="51">
        <v>50140</v>
      </c>
      <c r="L89" s="51"/>
      <c r="M89" s="54"/>
      <c r="N89" s="56"/>
    </row>
    <row r="90" spans="1:14" s="57" customFormat="1" ht="27.75" customHeight="1" thickBot="1">
      <c r="A90" s="48">
        <v>3</v>
      </c>
      <c r="B90" s="143" t="s">
        <v>1411</v>
      </c>
      <c r="C90" s="50">
        <f t="shared" si="14"/>
        <v>253517</v>
      </c>
      <c r="D90" s="51">
        <f t="shared" si="14"/>
        <v>543260</v>
      </c>
      <c r="E90" s="52">
        <f t="shared" si="12"/>
        <v>214.28937704374852</v>
      </c>
      <c r="F90" s="55"/>
      <c r="G90" s="50">
        <v>253517</v>
      </c>
      <c r="H90" s="50">
        <v>543260</v>
      </c>
      <c r="I90" s="66"/>
      <c r="J90" s="56"/>
      <c r="K90" s="50"/>
      <c r="L90" s="50"/>
      <c r="M90" s="54"/>
      <c r="N90" s="56"/>
    </row>
    <row r="91" spans="1:14" s="131" customFormat="1" ht="33" customHeight="1" thickBot="1" thickTop="1">
      <c r="A91" s="128"/>
      <c r="B91" s="129" t="s">
        <v>1412</v>
      </c>
      <c r="C91" s="130">
        <f>G91+K91</f>
        <v>240345192</v>
      </c>
      <c r="D91" s="130">
        <f>D75+D76+D87</f>
        <v>233843071</v>
      </c>
      <c r="E91" s="112">
        <f t="shared" si="12"/>
        <v>97.29467398707106</v>
      </c>
      <c r="F91" s="61">
        <f>D91/$D$95*100</f>
        <v>87.57229544059769</v>
      </c>
      <c r="G91" s="130">
        <f>G75+G76+G87</f>
        <v>161246421</v>
      </c>
      <c r="H91" s="130">
        <f>H75+H76+H87</f>
        <v>157587429</v>
      </c>
      <c r="I91" s="111">
        <f t="shared" si="13"/>
        <v>97.73080730889525</v>
      </c>
      <c r="J91" s="109">
        <v>59.1</v>
      </c>
      <c r="K91" s="130">
        <f>K75+K76+K87</f>
        <v>79098771</v>
      </c>
      <c r="L91" s="130">
        <f>L75+L76+L87</f>
        <v>76255642</v>
      </c>
      <c r="M91" s="112">
        <f>L91/K91*100</f>
        <v>96.40559649150553</v>
      </c>
      <c r="N91" s="109">
        <v>28.5</v>
      </c>
    </row>
    <row r="92" spans="1:14" s="40" customFormat="1" ht="18.75" customHeight="1" thickBot="1" thickTop="1">
      <c r="A92" s="59" t="s">
        <v>1413</v>
      </c>
      <c r="B92" s="144" t="s">
        <v>1414</v>
      </c>
      <c r="C92" s="63">
        <f>SUM(C93:C94)</f>
        <v>27442206</v>
      </c>
      <c r="D92" s="130">
        <f>SUM(D93:D94)</f>
        <v>33185525</v>
      </c>
      <c r="E92" s="112">
        <f t="shared" si="12"/>
        <v>120.92878028829024</v>
      </c>
      <c r="F92" s="61">
        <f>D92/$D$95*100</f>
        <v>12.427704559402319</v>
      </c>
      <c r="G92" s="36">
        <f>SUM(G93:G94)</f>
        <v>21372675</v>
      </c>
      <c r="H92" s="36">
        <f>SUM(H93:H94)</f>
        <v>27290425</v>
      </c>
      <c r="I92" s="111">
        <f t="shared" si="13"/>
        <v>127.6883918367729</v>
      </c>
      <c r="J92" s="109">
        <v>10.1</v>
      </c>
      <c r="K92" s="36">
        <f>SUM(K93:K94)</f>
        <v>6069531</v>
      </c>
      <c r="L92" s="36">
        <f>SUM(L93:L94)</f>
        <v>5895100</v>
      </c>
      <c r="M92" s="112">
        <f>L92/K92*100</f>
        <v>97.12612061788629</v>
      </c>
      <c r="N92" s="109">
        <v>2.3</v>
      </c>
    </row>
    <row r="93" spans="1:14" s="146" customFormat="1" ht="20.25" customHeight="1" thickTop="1">
      <c r="A93" s="48">
        <v>1</v>
      </c>
      <c r="B93" s="145" t="s">
        <v>1415</v>
      </c>
      <c r="C93" s="50">
        <f>G93+K93</f>
        <v>27042420</v>
      </c>
      <c r="D93" s="51">
        <f>H93+L93</f>
        <v>33177025</v>
      </c>
      <c r="E93" s="52">
        <f t="shared" si="12"/>
        <v>122.68511841765641</v>
      </c>
      <c r="F93" s="55"/>
      <c r="G93" s="123">
        <v>21331475</v>
      </c>
      <c r="H93" s="51">
        <v>27290425</v>
      </c>
      <c r="I93" s="66">
        <f t="shared" si="13"/>
        <v>127.93501152639467</v>
      </c>
      <c r="J93" s="56"/>
      <c r="K93" s="123">
        <v>5710945</v>
      </c>
      <c r="L93" s="123">
        <v>5886600</v>
      </c>
      <c r="M93" s="52">
        <f>L93/K93*100</f>
        <v>103.07576066657971</v>
      </c>
      <c r="N93" s="56"/>
    </row>
    <row r="94" spans="1:14" s="146" customFormat="1" ht="21.75" customHeight="1" thickBot="1">
      <c r="A94" s="48">
        <v>2</v>
      </c>
      <c r="B94" s="145" t="s">
        <v>1416</v>
      </c>
      <c r="C94" s="50">
        <f>G94+K94</f>
        <v>399786</v>
      </c>
      <c r="D94" s="51">
        <f>H94+L94</f>
        <v>8500</v>
      </c>
      <c r="E94" s="52">
        <f t="shared" si="12"/>
        <v>2.126137483553701</v>
      </c>
      <c r="F94" s="55"/>
      <c r="G94" s="123">
        <v>41200</v>
      </c>
      <c r="H94" s="51"/>
      <c r="I94" s="66">
        <f t="shared" si="13"/>
        <v>0</v>
      </c>
      <c r="J94" s="56"/>
      <c r="K94" s="123">
        <v>358586</v>
      </c>
      <c r="L94" s="123">
        <v>8500</v>
      </c>
      <c r="M94" s="52">
        <f>L94/K94*100</f>
        <v>2.3704216003971155</v>
      </c>
      <c r="N94" s="56"/>
    </row>
    <row r="95" spans="1:14" s="131" customFormat="1" ht="35.25" customHeight="1" thickBot="1" thickTop="1">
      <c r="A95" s="128"/>
      <c r="B95" s="147" t="s">
        <v>1417</v>
      </c>
      <c r="C95" s="130">
        <f>C91+C92</f>
        <v>267787398</v>
      </c>
      <c r="D95" s="130">
        <f>D91+D92</f>
        <v>267028596</v>
      </c>
      <c r="E95" s="112">
        <f t="shared" si="12"/>
        <v>99.71664013853258</v>
      </c>
      <c r="F95" s="61">
        <f>D95/$D$95*100</f>
        <v>100</v>
      </c>
      <c r="G95" s="130">
        <f>G91+G92</f>
        <v>182619096</v>
      </c>
      <c r="H95" s="130">
        <f>H91+H92</f>
        <v>184877854</v>
      </c>
      <c r="I95" s="111">
        <f t="shared" si="13"/>
        <v>101.23686845980227</v>
      </c>
      <c r="J95" s="109">
        <f>H95/$D$95*100</f>
        <v>69.23522677698534</v>
      </c>
      <c r="K95" s="130">
        <f>K91+K92</f>
        <v>85168302</v>
      </c>
      <c r="L95" s="130">
        <f>L91+L92</f>
        <v>82150742</v>
      </c>
      <c r="M95" s="112">
        <f>L95/K95*100</f>
        <v>96.45694474453653</v>
      </c>
      <c r="N95" s="109">
        <f>L95/$D$95*100</f>
        <v>30.764773223014664</v>
      </c>
    </row>
    <row r="96" spans="1:14" s="90" customFormat="1" ht="13.5" thickTop="1">
      <c r="A96" s="148"/>
      <c r="B96" s="149"/>
      <c r="C96" s="150"/>
      <c r="D96" s="150"/>
      <c r="E96" s="150"/>
      <c r="F96" s="150"/>
      <c r="G96" s="150"/>
      <c r="H96" s="150"/>
      <c r="I96" s="150"/>
      <c r="J96" s="151"/>
      <c r="K96" s="150"/>
      <c r="L96" s="150"/>
      <c r="M96" s="150"/>
      <c r="N96" s="151"/>
    </row>
    <row r="97" spans="2:14" s="90" customFormat="1" ht="12">
      <c r="B97" s="152"/>
      <c r="C97" s="153"/>
      <c r="D97" s="150"/>
      <c r="E97" s="150"/>
      <c r="F97" s="154"/>
      <c r="G97" s="150"/>
      <c r="H97" s="150"/>
      <c r="I97" s="150"/>
      <c r="J97" s="154"/>
      <c r="K97" s="150"/>
      <c r="L97" s="150"/>
      <c r="M97" s="150"/>
      <c r="N97" s="154"/>
    </row>
    <row r="98" spans="2:14" ht="12.75">
      <c r="B98" s="152"/>
      <c r="C98" s="153"/>
      <c r="D98" s="153"/>
      <c r="E98" s="155"/>
      <c r="F98" s="156"/>
      <c r="G98" s="155"/>
      <c r="H98" s="155"/>
      <c r="I98" s="155"/>
      <c r="J98" s="156"/>
      <c r="K98" s="155"/>
      <c r="L98" s="155"/>
      <c r="M98" s="155"/>
      <c r="N98" s="156"/>
    </row>
    <row r="99" spans="3:14" ht="12.75">
      <c r="C99" s="155"/>
      <c r="D99" s="155"/>
      <c r="E99" s="155"/>
      <c r="F99" s="156"/>
      <c r="G99" s="155"/>
      <c r="H99" s="155"/>
      <c r="I99" s="155"/>
      <c r="J99" s="156"/>
      <c r="K99" s="155"/>
      <c r="L99" s="155"/>
      <c r="M99" s="155"/>
      <c r="N99" s="156"/>
    </row>
    <row r="100" spans="3:14" ht="12.75">
      <c r="C100" s="155"/>
      <c r="D100" s="155"/>
      <c r="E100" s="155"/>
      <c r="F100" s="156"/>
      <c r="G100" s="155"/>
      <c r="H100" s="155"/>
      <c r="I100" s="155"/>
      <c r="J100" s="156"/>
      <c r="K100" s="155"/>
      <c r="L100" s="155"/>
      <c r="M100" s="155"/>
      <c r="N100" s="156"/>
    </row>
    <row r="101" spans="3:14" ht="12.75">
      <c r="C101" s="155"/>
      <c r="D101" s="155"/>
      <c r="E101" s="155"/>
      <c r="F101" s="156"/>
      <c r="G101" s="155"/>
      <c r="H101" s="155"/>
      <c r="I101" s="155"/>
      <c r="J101" s="156"/>
      <c r="K101" s="155"/>
      <c r="L101" s="155"/>
      <c r="M101" s="155"/>
      <c r="N101" s="156"/>
    </row>
    <row r="102" spans="3:14" ht="12.75">
      <c r="C102" s="155"/>
      <c r="D102" s="155"/>
      <c r="E102" s="155"/>
      <c r="F102" s="156"/>
      <c r="G102" s="155"/>
      <c r="H102" s="155"/>
      <c r="I102" s="155"/>
      <c r="J102" s="156"/>
      <c r="K102" s="155"/>
      <c r="L102" s="155"/>
      <c r="M102" s="155"/>
      <c r="N102" s="156"/>
    </row>
    <row r="103" spans="3:14" ht="12.75">
      <c r="C103" s="155"/>
      <c r="D103" s="155"/>
      <c r="E103" s="155"/>
      <c r="F103" s="156"/>
      <c r="G103" s="155"/>
      <c r="H103" s="155"/>
      <c r="I103" s="155"/>
      <c r="J103" s="156"/>
      <c r="K103" s="155"/>
      <c r="L103" s="155"/>
      <c r="M103" s="155"/>
      <c r="N103" s="156"/>
    </row>
    <row r="104" spans="3:14" ht="12.75">
      <c r="C104" s="155"/>
      <c r="D104" s="155"/>
      <c r="E104" s="155"/>
      <c r="F104" s="156"/>
      <c r="G104" s="155"/>
      <c r="H104" s="155"/>
      <c r="I104" s="155"/>
      <c r="J104" s="156"/>
      <c r="K104" s="155"/>
      <c r="L104" s="155"/>
      <c r="M104" s="155"/>
      <c r="N104" s="156"/>
    </row>
    <row r="105" spans="3:14" ht="12.75">
      <c r="C105" s="155"/>
      <c r="D105" s="155"/>
      <c r="E105" s="155"/>
      <c r="F105" s="156"/>
      <c r="G105" s="155"/>
      <c r="H105" s="155"/>
      <c r="I105" s="155"/>
      <c r="J105" s="156"/>
      <c r="K105" s="155"/>
      <c r="L105" s="155"/>
      <c r="M105" s="155"/>
      <c r="N105" s="156"/>
    </row>
    <row r="106" spans="3:14" ht="12.75">
      <c r="C106" s="155"/>
      <c r="D106" s="155"/>
      <c r="E106" s="155"/>
      <c r="F106" s="156"/>
      <c r="G106" s="155"/>
      <c r="H106" s="155"/>
      <c r="I106" s="155"/>
      <c r="J106" s="156"/>
      <c r="K106" s="155"/>
      <c r="L106" s="155"/>
      <c r="M106" s="155"/>
      <c r="N106" s="156"/>
    </row>
    <row r="107" spans="3:14" ht="12.75">
      <c r="C107" s="155"/>
      <c r="D107" s="155"/>
      <c r="E107" s="155"/>
      <c r="F107" s="156"/>
      <c r="G107" s="155"/>
      <c r="H107" s="155"/>
      <c r="I107" s="155"/>
      <c r="J107" s="156"/>
      <c r="K107" s="155"/>
      <c r="L107" s="155"/>
      <c r="M107" s="155"/>
      <c r="N107" s="156"/>
    </row>
    <row r="108" spans="3:14" ht="12.75">
      <c r="C108" s="155"/>
      <c r="D108" s="155"/>
      <c r="E108" s="155"/>
      <c r="F108" s="156"/>
      <c r="G108" s="155"/>
      <c r="H108" s="155"/>
      <c r="I108" s="155"/>
      <c r="J108" s="156"/>
      <c r="K108" s="155"/>
      <c r="L108" s="155"/>
      <c r="M108" s="155"/>
      <c r="N108" s="156"/>
    </row>
    <row r="109" spans="3:14" ht="12.75">
      <c r="C109" s="155"/>
      <c r="D109" s="155"/>
      <c r="E109" s="155"/>
      <c r="F109" s="156"/>
      <c r="G109" s="155"/>
      <c r="H109" s="155"/>
      <c r="I109" s="155"/>
      <c r="J109" s="156"/>
      <c r="K109" s="155"/>
      <c r="L109" s="155"/>
      <c r="M109" s="155"/>
      <c r="N109" s="156"/>
    </row>
    <row r="110" spans="3:14" ht="12.75">
      <c r="C110" s="155"/>
      <c r="D110" s="155"/>
      <c r="E110" s="155"/>
      <c r="F110" s="156"/>
      <c r="G110" s="155"/>
      <c r="H110" s="155"/>
      <c r="I110" s="155"/>
      <c r="J110" s="156"/>
      <c r="K110" s="155"/>
      <c r="L110" s="155"/>
      <c r="M110" s="155"/>
      <c r="N110" s="156"/>
    </row>
    <row r="111" spans="3:14" ht="12.75">
      <c r="C111" s="155"/>
      <c r="D111" s="155"/>
      <c r="E111" s="155"/>
      <c r="F111" s="156"/>
      <c r="G111" s="155"/>
      <c r="H111" s="155"/>
      <c r="I111" s="155"/>
      <c r="J111" s="156"/>
      <c r="K111" s="155"/>
      <c r="L111" s="155"/>
      <c r="M111" s="155"/>
      <c r="N111" s="156"/>
    </row>
    <row r="112" spans="3:14" ht="12.75">
      <c r="C112" s="155"/>
      <c r="D112" s="155"/>
      <c r="E112" s="155"/>
      <c r="F112" s="156"/>
      <c r="G112" s="155"/>
      <c r="H112" s="155"/>
      <c r="I112" s="155"/>
      <c r="J112" s="156"/>
      <c r="K112" s="155"/>
      <c r="L112" s="155"/>
      <c r="M112" s="155"/>
      <c r="N112" s="156"/>
    </row>
    <row r="113" spans="3:14" ht="12.75">
      <c r="C113" s="155"/>
      <c r="D113" s="155"/>
      <c r="E113" s="155"/>
      <c r="F113" s="156"/>
      <c r="G113" s="155"/>
      <c r="H113" s="155"/>
      <c r="I113" s="155"/>
      <c r="J113" s="156"/>
      <c r="K113" s="155"/>
      <c r="L113" s="155"/>
      <c r="M113" s="155"/>
      <c r="N113" s="156"/>
    </row>
    <row r="114" spans="3:14" ht="12.75">
      <c r="C114" s="155"/>
      <c r="D114" s="155"/>
      <c r="E114" s="155"/>
      <c r="F114" s="156"/>
      <c r="G114" s="155"/>
      <c r="H114" s="155"/>
      <c r="I114" s="155"/>
      <c r="J114" s="156"/>
      <c r="K114" s="155"/>
      <c r="L114" s="155"/>
      <c r="M114" s="155"/>
      <c r="N114" s="156"/>
    </row>
    <row r="115" spans="3:14" ht="12.75">
      <c r="C115" s="155"/>
      <c r="D115" s="155"/>
      <c r="E115" s="155"/>
      <c r="F115" s="156"/>
      <c r="G115" s="155"/>
      <c r="H115" s="155"/>
      <c r="I115" s="155"/>
      <c r="J115" s="156"/>
      <c r="K115" s="155"/>
      <c r="L115" s="155"/>
      <c r="M115" s="155"/>
      <c r="N115" s="156"/>
    </row>
    <row r="116" spans="3:14" ht="12.75">
      <c r="C116" s="155"/>
      <c r="D116" s="155"/>
      <c r="E116" s="155"/>
      <c r="F116" s="156"/>
      <c r="G116" s="155"/>
      <c r="H116" s="155"/>
      <c r="I116" s="155"/>
      <c r="J116" s="156"/>
      <c r="K116" s="155"/>
      <c r="L116" s="155"/>
      <c r="M116" s="155"/>
      <c r="N116" s="156"/>
    </row>
    <row r="117" spans="3:14" ht="12.75">
      <c r="C117" s="155"/>
      <c r="D117" s="155"/>
      <c r="E117" s="155"/>
      <c r="F117" s="156"/>
      <c r="G117" s="155"/>
      <c r="H117" s="155"/>
      <c r="I117" s="155"/>
      <c r="J117" s="156"/>
      <c r="K117" s="155"/>
      <c r="L117" s="155"/>
      <c r="M117" s="155"/>
      <c r="N117" s="156"/>
    </row>
  </sheetData>
  <mergeCells count="4">
    <mergeCell ref="B4:M5"/>
    <mergeCell ref="C7:F7"/>
    <mergeCell ref="G7:J7"/>
    <mergeCell ref="K7:N7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22"/>
  <sheetViews>
    <sheetView workbookViewId="0" topLeftCell="A1">
      <selection activeCell="E3" sqref="E3"/>
    </sheetView>
  </sheetViews>
  <sheetFormatPr defaultColWidth="9.00390625" defaultRowHeight="12.75"/>
  <cols>
    <col min="1" max="1" width="9.625" style="0" customWidth="1"/>
    <col min="2" max="2" width="43.75390625" style="0" customWidth="1"/>
    <col min="3" max="3" width="13.125" style="0" customWidth="1"/>
    <col min="4" max="5" width="13.00390625" style="0" customWidth="1"/>
  </cols>
  <sheetData>
    <row r="1" ht="12.75">
      <c r="D1" s="529" t="s">
        <v>543</v>
      </c>
    </row>
    <row r="2" spans="1:4" s="691" customFormat="1" ht="27" customHeight="1">
      <c r="A2" s="1257" t="s">
        <v>544</v>
      </c>
      <c r="B2" s="1257"/>
      <c r="C2" s="1257"/>
      <c r="D2" s="1257"/>
    </row>
    <row r="3" spans="1:4" ht="21.75" customHeight="1" thickBot="1">
      <c r="A3" s="825"/>
      <c r="B3" s="825"/>
      <c r="C3" s="825"/>
      <c r="D3" s="824" t="s">
        <v>1420</v>
      </c>
    </row>
    <row r="4" spans="1:4" ht="17.25" thickTop="1">
      <c r="A4" s="1258" t="s">
        <v>545</v>
      </c>
      <c r="B4" s="1259"/>
      <c r="C4" s="1260"/>
      <c r="D4" s="1261" t="s">
        <v>546</v>
      </c>
    </row>
    <row r="5" spans="1:4" ht="16.5" customHeight="1">
      <c r="A5" s="1262" t="s">
        <v>547</v>
      </c>
      <c r="B5" s="1263" t="s">
        <v>548</v>
      </c>
      <c r="C5" s="1264" t="s">
        <v>549</v>
      </c>
      <c r="D5" s="1265" t="s">
        <v>550</v>
      </c>
    </row>
    <row r="6" spans="1:4" ht="18" customHeight="1">
      <c r="A6" s="1266" t="s">
        <v>551</v>
      </c>
      <c r="B6" s="1267"/>
      <c r="C6" s="1268"/>
      <c r="D6" s="1265"/>
    </row>
    <row r="7" spans="1:4" ht="12" customHeight="1" thickBot="1">
      <c r="A7" s="1269">
        <v>1</v>
      </c>
      <c r="B7" s="1270">
        <v>2</v>
      </c>
      <c r="C7" s="1271">
        <v>3</v>
      </c>
      <c r="D7" s="1272">
        <v>4</v>
      </c>
    </row>
    <row r="8" spans="1:4" ht="17.25" thickBot="1" thickTop="1">
      <c r="A8" s="1273">
        <v>600</v>
      </c>
      <c r="B8" s="1274" t="s">
        <v>184</v>
      </c>
      <c r="C8" s="1275" t="s">
        <v>552</v>
      </c>
      <c r="D8" s="1276">
        <f>D9</f>
        <v>111700</v>
      </c>
    </row>
    <row r="9" spans="1:4" ht="16.5" thickTop="1">
      <c r="A9" s="1277">
        <v>60017</v>
      </c>
      <c r="B9" s="1278" t="s">
        <v>203</v>
      </c>
      <c r="C9" s="1279"/>
      <c r="D9" s="1280">
        <f>D10</f>
        <v>111700</v>
      </c>
    </row>
    <row r="10" spans="1:4" ht="12" customHeight="1">
      <c r="A10" s="1281">
        <v>4270</v>
      </c>
      <c r="B10" s="1282" t="s">
        <v>553</v>
      </c>
      <c r="C10" s="1283"/>
      <c r="D10" s="1284">
        <f>SUM(D11:D16)</f>
        <v>111700</v>
      </c>
    </row>
    <row r="11" spans="1:4" ht="12" customHeight="1">
      <c r="A11" s="1285"/>
      <c r="B11" s="807" t="s">
        <v>554</v>
      </c>
      <c r="C11" s="1286"/>
      <c r="D11" s="1287">
        <v>20000</v>
      </c>
    </row>
    <row r="12" spans="1:4" ht="12" customHeight="1">
      <c r="A12" s="1285"/>
      <c r="B12" s="807" t="s">
        <v>555</v>
      </c>
      <c r="C12" s="1286"/>
      <c r="D12" s="1287">
        <v>8000</v>
      </c>
    </row>
    <row r="13" spans="1:4" ht="12" customHeight="1">
      <c r="A13" s="1285"/>
      <c r="B13" s="807" t="s">
        <v>556</v>
      </c>
      <c r="C13" s="1286"/>
      <c r="D13" s="1287">
        <v>26000</v>
      </c>
    </row>
    <row r="14" spans="1:4" ht="12" customHeight="1">
      <c r="A14" s="1285"/>
      <c r="B14" s="807" t="s">
        <v>557</v>
      </c>
      <c r="C14" s="1286"/>
      <c r="D14" s="1287">
        <v>6700</v>
      </c>
    </row>
    <row r="15" spans="1:4" ht="12" customHeight="1">
      <c r="A15" s="1285"/>
      <c r="B15" s="807" t="s">
        <v>558</v>
      </c>
      <c r="C15" s="1286"/>
      <c r="D15" s="1287">
        <v>15000</v>
      </c>
    </row>
    <row r="16" spans="1:4" ht="12" customHeight="1" thickBot="1">
      <c r="A16" s="1285"/>
      <c r="B16" s="799" t="s">
        <v>559</v>
      </c>
      <c r="C16" s="1286"/>
      <c r="D16" s="1287">
        <v>36000</v>
      </c>
    </row>
    <row r="17" spans="1:4" s="1292" customFormat="1" ht="21.75" customHeight="1" thickBot="1" thickTop="1">
      <c r="A17" s="1288">
        <v>700</v>
      </c>
      <c r="B17" s="1289" t="s">
        <v>211</v>
      </c>
      <c r="C17" s="1290" t="s">
        <v>552</v>
      </c>
      <c r="D17" s="1291">
        <f>D18</f>
        <v>13900</v>
      </c>
    </row>
    <row r="18" spans="1:4" ht="16.5" thickTop="1">
      <c r="A18" s="1293">
        <v>70095</v>
      </c>
      <c r="B18" s="1294" t="s">
        <v>209</v>
      </c>
      <c r="C18" s="1295"/>
      <c r="D18" s="1296">
        <f>D19+D28</f>
        <v>13900</v>
      </c>
    </row>
    <row r="19" spans="1:19" s="571" customFormat="1" ht="13.5">
      <c r="A19" s="1297">
        <v>4210</v>
      </c>
      <c r="B19" s="1298" t="s">
        <v>560</v>
      </c>
      <c r="C19" s="1298"/>
      <c r="D19" s="1299">
        <f>SUM(D20:D27)</f>
        <v>13200</v>
      </c>
      <c r="E19" s="1300"/>
      <c r="F19" s="1300"/>
      <c r="G19" s="1300"/>
      <c r="H19" s="1300"/>
      <c r="I19" s="1300"/>
      <c r="J19" s="1300"/>
      <c r="K19" s="1300"/>
      <c r="L19" s="1300"/>
      <c r="N19" s="1300"/>
      <c r="O19" s="1300"/>
      <c r="P19" s="1300"/>
      <c r="Q19" s="1300"/>
      <c r="R19" s="1300"/>
      <c r="S19" s="1300"/>
    </row>
    <row r="20" spans="1:19" s="571" customFormat="1" ht="12.75">
      <c r="A20" s="842"/>
      <c r="B20" s="807" t="s">
        <v>561</v>
      </c>
      <c r="C20" s="807"/>
      <c r="D20" s="1301">
        <v>800</v>
      </c>
      <c r="E20" s="1300"/>
      <c r="F20" s="1300"/>
      <c r="G20" s="1300"/>
      <c r="H20" s="1300"/>
      <c r="I20" s="1300"/>
      <c r="J20" s="1300"/>
      <c r="K20" s="1300"/>
      <c r="L20" s="1300"/>
      <c r="N20" s="1300"/>
      <c r="O20" s="1300"/>
      <c r="P20" s="1300"/>
      <c r="Q20" s="1300"/>
      <c r="R20" s="1300"/>
      <c r="S20" s="1300"/>
    </row>
    <row r="21" spans="1:19" s="571" customFormat="1" ht="13.5">
      <c r="A21" s="1297"/>
      <c r="B21" s="807" t="s">
        <v>554</v>
      </c>
      <c r="C21" s="1298"/>
      <c r="D21" s="1301">
        <v>2000</v>
      </c>
      <c r="E21" s="1300"/>
      <c r="F21" s="1300"/>
      <c r="G21" s="1300"/>
      <c r="H21" s="1300"/>
      <c r="I21" s="1300"/>
      <c r="J21" s="1300"/>
      <c r="K21" s="1300"/>
      <c r="L21" s="1300"/>
      <c r="N21" s="1300"/>
      <c r="O21" s="1300"/>
      <c r="P21" s="1300"/>
      <c r="Q21" s="1300"/>
      <c r="R21" s="1300"/>
      <c r="S21" s="1300"/>
    </row>
    <row r="22" spans="1:5" s="571" customFormat="1" ht="12.75">
      <c r="A22" s="1302"/>
      <c r="B22" s="807" t="s">
        <v>562</v>
      </c>
      <c r="C22" s="807"/>
      <c r="D22" s="1301">
        <v>1000</v>
      </c>
      <c r="E22" s="1300"/>
    </row>
    <row r="23" spans="1:5" s="571" customFormat="1" ht="15.75" customHeight="1">
      <c r="A23" s="1302"/>
      <c r="B23" s="807" t="s">
        <v>556</v>
      </c>
      <c r="C23" s="807"/>
      <c r="D23" s="1301">
        <v>2500</v>
      </c>
      <c r="E23" s="1300"/>
    </row>
    <row r="24" spans="1:5" s="571" customFormat="1" ht="15.75" customHeight="1">
      <c r="A24" s="1302"/>
      <c r="B24" s="638" t="s">
        <v>563</v>
      </c>
      <c r="C24" s="553"/>
      <c r="D24" s="1301">
        <v>4000</v>
      </c>
      <c r="E24" s="1300"/>
    </row>
    <row r="25" spans="1:5" s="571" customFormat="1" ht="15.75" customHeight="1">
      <c r="A25" s="1302"/>
      <c r="B25" s="807" t="s">
        <v>557</v>
      </c>
      <c r="C25" s="807"/>
      <c r="D25" s="1301">
        <v>1600</v>
      </c>
      <c r="E25" s="1300"/>
    </row>
    <row r="26" spans="1:5" s="571" customFormat="1" ht="15.75" customHeight="1">
      <c r="A26" s="1302"/>
      <c r="B26" s="807" t="s">
        <v>558</v>
      </c>
      <c r="C26" s="807"/>
      <c r="D26" s="1301">
        <v>800</v>
      </c>
      <c r="E26" s="1300"/>
    </row>
    <row r="27" spans="1:5" s="571" customFormat="1" ht="12.75">
      <c r="A27" s="1303"/>
      <c r="B27" s="799" t="s">
        <v>559</v>
      </c>
      <c r="C27" s="799"/>
      <c r="D27" s="1304">
        <v>500</v>
      </c>
      <c r="E27" s="1300"/>
    </row>
    <row r="28" spans="1:5" s="1306" customFormat="1" ht="13.5">
      <c r="A28" s="1297">
        <v>4300</v>
      </c>
      <c r="B28" s="1298" t="s">
        <v>564</v>
      </c>
      <c r="C28" s="1298"/>
      <c r="D28" s="1299">
        <f>SUM(D29)</f>
        <v>700</v>
      </c>
      <c r="E28" s="1305"/>
    </row>
    <row r="29" spans="1:5" s="618" customFormat="1" ht="13.5" thickBot="1">
      <c r="A29" s="842"/>
      <c r="B29" s="807" t="s">
        <v>565</v>
      </c>
      <c r="C29" s="807"/>
      <c r="D29" s="1301">
        <v>700</v>
      </c>
      <c r="E29" s="1307"/>
    </row>
    <row r="30" spans="1:5" s="761" customFormat="1" ht="18.75" customHeight="1" thickBot="1" thickTop="1">
      <c r="A30" s="835">
        <v>750</v>
      </c>
      <c r="B30" s="1308" t="s">
        <v>401</v>
      </c>
      <c r="C30" s="1290" t="s">
        <v>552</v>
      </c>
      <c r="D30" s="1309">
        <f>D31</f>
        <v>134410</v>
      </c>
      <c r="E30" s="1310"/>
    </row>
    <row r="31" spans="1:5" s="761" customFormat="1" ht="19.5" customHeight="1" thickTop="1">
      <c r="A31" s="1311">
        <v>75095</v>
      </c>
      <c r="B31" s="1312" t="s">
        <v>209</v>
      </c>
      <c r="C31" s="1312"/>
      <c r="D31" s="1313">
        <f>D32+D39+D45+D62+D77+D84+D86+D96+D48</f>
        <v>134410</v>
      </c>
      <c r="E31" s="1310"/>
    </row>
    <row r="32" spans="1:4" s="571" customFormat="1" ht="27" hidden="1">
      <c r="A32" s="1297">
        <v>3020</v>
      </c>
      <c r="B32" s="1314" t="s">
        <v>566</v>
      </c>
      <c r="C32" s="1298"/>
      <c r="D32" s="1299">
        <f>SUM(D33:D38)</f>
        <v>0</v>
      </c>
    </row>
    <row r="33" spans="1:4" s="571" customFormat="1" ht="13.5" hidden="1">
      <c r="A33" s="1297"/>
      <c r="B33" s="1315" t="s">
        <v>555</v>
      </c>
      <c r="C33" s="1298"/>
      <c r="D33" s="1301"/>
    </row>
    <row r="34" spans="1:4" s="571" customFormat="1" ht="13.5" hidden="1">
      <c r="A34" s="1297"/>
      <c r="B34" s="638" t="s">
        <v>561</v>
      </c>
      <c r="C34" s="1316"/>
      <c r="D34" s="1301"/>
    </row>
    <row r="35" spans="1:4" s="571" customFormat="1" ht="13.5" hidden="1">
      <c r="A35" s="1297"/>
      <c r="B35" s="638" t="s">
        <v>567</v>
      </c>
      <c r="C35" s="1316"/>
      <c r="D35" s="1301"/>
    </row>
    <row r="36" spans="1:4" s="571" customFormat="1" ht="13.5" hidden="1">
      <c r="A36" s="1297"/>
      <c r="B36" s="638" t="s">
        <v>565</v>
      </c>
      <c r="C36" s="1316"/>
      <c r="D36" s="1301"/>
    </row>
    <row r="37" spans="1:4" s="571" customFormat="1" ht="13.5" hidden="1">
      <c r="A37" s="1297"/>
      <c r="B37" s="638" t="s">
        <v>563</v>
      </c>
      <c r="C37" s="1316"/>
      <c r="D37" s="1301"/>
    </row>
    <row r="38" spans="1:4" s="571" customFormat="1" ht="13.5" hidden="1">
      <c r="A38" s="1317"/>
      <c r="B38" s="1318" t="s">
        <v>557</v>
      </c>
      <c r="C38" s="1319"/>
      <c r="D38" s="1304"/>
    </row>
    <row r="39" spans="1:4" s="571" customFormat="1" ht="18.75" customHeight="1">
      <c r="A39" s="1297">
        <v>4110</v>
      </c>
      <c r="B39" s="1298" t="s">
        <v>568</v>
      </c>
      <c r="C39" s="1298"/>
      <c r="D39" s="1299">
        <f>SUM(D40:D44)</f>
        <v>2380</v>
      </c>
    </row>
    <row r="40" spans="1:4" s="571" customFormat="1" ht="12.75" hidden="1">
      <c r="A40" s="1302"/>
      <c r="B40" s="807"/>
      <c r="C40" s="807"/>
      <c r="D40" s="1301"/>
    </row>
    <row r="41" spans="1:4" s="571" customFormat="1" ht="12.75">
      <c r="A41" s="1302"/>
      <c r="B41" s="807" t="s">
        <v>561</v>
      </c>
      <c r="C41" s="807"/>
      <c r="D41" s="1301">
        <v>400</v>
      </c>
    </row>
    <row r="42" spans="1:4" s="571" customFormat="1" ht="12.75">
      <c r="A42" s="1302"/>
      <c r="B42" s="807" t="s">
        <v>569</v>
      </c>
      <c r="C42" s="807"/>
      <c r="D42" s="1301">
        <v>600</v>
      </c>
    </row>
    <row r="43" spans="1:4" s="571" customFormat="1" ht="12.75">
      <c r="A43" s="1302"/>
      <c r="B43" s="807" t="s">
        <v>557</v>
      </c>
      <c r="C43" s="807"/>
      <c r="D43" s="1301">
        <v>600</v>
      </c>
    </row>
    <row r="44" spans="1:4" s="571" customFormat="1" ht="12.75">
      <c r="A44" s="1303"/>
      <c r="B44" s="799" t="s">
        <v>559</v>
      </c>
      <c r="C44" s="799"/>
      <c r="D44" s="1304">
        <v>780</v>
      </c>
    </row>
    <row r="45" spans="1:4" s="571" customFormat="1" ht="13.5" hidden="1">
      <c r="A45" s="1297">
        <v>4120</v>
      </c>
      <c r="B45" s="1298" t="s">
        <v>570</v>
      </c>
      <c r="C45" s="1298"/>
      <c r="D45" s="1299">
        <f>SUM(D46:D47)</f>
        <v>0</v>
      </c>
    </row>
    <row r="46" spans="1:4" s="571" customFormat="1" ht="12.75" hidden="1">
      <c r="A46" s="842"/>
      <c r="B46" s="807" t="s">
        <v>569</v>
      </c>
      <c r="C46" s="807"/>
      <c r="D46" s="1301"/>
    </row>
    <row r="47" spans="1:4" s="571" customFormat="1" ht="14.25" customHeight="1" hidden="1">
      <c r="A47" s="1303"/>
      <c r="B47" s="799" t="s">
        <v>571</v>
      </c>
      <c r="C47" s="799"/>
      <c r="D47" s="1304"/>
    </row>
    <row r="48" spans="1:4" s="1306" customFormat="1" ht="14.25" customHeight="1">
      <c r="A48" s="1297">
        <v>4170</v>
      </c>
      <c r="B48" s="1298" t="s">
        <v>572</v>
      </c>
      <c r="C48" s="1298"/>
      <c r="D48" s="1299">
        <f>SUM(D49:D61)</f>
        <v>32710</v>
      </c>
    </row>
    <row r="49" spans="1:4" s="571" customFormat="1" ht="14.25" customHeight="1">
      <c r="A49" s="1302"/>
      <c r="B49" s="807" t="s">
        <v>571</v>
      </c>
      <c r="C49" s="807"/>
      <c r="D49" s="1301">
        <v>1800</v>
      </c>
    </row>
    <row r="50" spans="1:4" s="571" customFormat="1" ht="14.25" customHeight="1">
      <c r="A50" s="1302"/>
      <c r="B50" s="807" t="s">
        <v>561</v>
      </c>
      <c r="C50" s="807"/>
      <c r="D50" s="1301">
        <v>2400</v>
      </c>
    </row>
    <row r="51" spans="1:4" s="571" customFormat="1" ht="14.25" customHeight="1">
      <c r="A51" s="1302"/>
      <c r="B51" s="807" t="s">
        <v>555</v>
      </c>
      <c r="C51" s="807"/>
      <c r="D51" s="1301">
        <v>1800</v>
      </c>
    </row>
    <row r="52" spans="1:4" s="571" customFormat="1" ht="14.25" customHeight="1">
      <c r="A52" s="1302"/>
      <c r="B52" s="807" t="s">
        <v>567</v>
      </c>
      <c r="C52" s="807"/>
      <c r="D52" s="1301">
        <v>600</v>
      </c>
    </row>
    <row r="53" spans="1:4" s="571" customFormat="1" ht="14.25" customHeight="1">
      <c r="A53" s="1302"/>
      <c r="B53" s="807" t="s">
        <v>562</v>
      </c>
      <c r="C53" s="807"/>
      <c r="D53" s="1301">
        <v>2400</v>
      </c>
    </row>
    <row r="54" spans="1:4" s="571" customFormat="1" ht="14.25" customHeight="1">
      <c r="A54" s="1302"/>
      <c r="B54" s="807" t="s">
        <v>565</v>
      </c>
      <c r="C54" s="807"/>
      <c r="D54" s="1301">
        <v>2200</v>
      </c>
    </row>
    <row r="55" spans="1:4" s="571" customFormat="1" ht="14.25" customHeight="1">
      <c r="A55" s="1302"/>
      <c r="B55" s="807" t="s">
        <v>569</v>
      </c>
      <c r="C55" s="807"/>
      <c r="D55" s="1301">
        <v>3510</v>
      </c>
    </row>
    <row r="56" spans="1:4" s="571" customFormat="1" ht="14.25" customHeight="1">
      <c r="A56" s="1302"/>
      <c r="B56" s="807" t="s">
        <v>573</v>
      </c>
      <c r="C56" s="807"/>
      <c r="D56" s="1301">
        <v>3000</v>
      </c>
    </row>
    <row r="57" spans="1:4" s="571" customFormat="1" ht="14.25" customHeight="1">
      <c r="A57" s="1302"/>
      <c r="B57" s="807" t="s">
        <v>556</v>
      </c>
      <c r="C57" s="807"/>
      <c r="D57" s="1301">
        <v>1800</v>
      </c>
    </row>
    <row r="58" spans="1:4" s="571" customFormat="1" ht="14.25" customHeight="1">
      <c r="A58" s="1302"/>
      <c r="B58" s="638" t="s">
        <v>563</v>
      </c>
      <c r="C58" s="553"/>
      <c r="D58" s="1301">
        <v>3000</v>
      </c>
    </row>
    <row r="59" spans="1:4" s="571" customFormat="1" ht="14.25" customHeight="1">
      <c r="A59" s="1302"/>
      <c r="B59" s="807" t="s">
        <v>557</v>
      </c>
      <c r="C59" s="553"/>
      <c r="D59" s="1301">
        <v>3000</v>
      </c>
    </row>
    <row r="60" spans="1:4" s="571" customFormat="1" ht="14.25" customHeight="1">
      <c r="A60" s="1302"/>
      <c r="B60" s="807" t="s">
        <v>558</v>
      </c>
      <c r="C60" s="807"/>
      <c r="D60" s="1301">
        <v>2400</v>
      </c>
    </row>
    <row r="61" spans="1:4" s="571" customFormat="1" ht="14.25" customHeight="1">
      <c r="A61" s="1303"/>
      <c r="B61" s="799" t="s">
        <v>559</v>
      </c>
      <c r="C61" s="799"/>
      <c r="D61" s="1304">
        <v>4800</v>
      </c>
    </row>
    <row r="62" spans="1:4" s="571" customFormat="1" ht="13.5">
      <c r="A62" s="1297">
        <v>4210</v>
      </c>
      <c r="B62" s="1298" t="s">
        <v>574</v>
      </c>
      <c r="C62" s="1298"/>
      <c r="D62" s="1299">
        <f>SUM(D63:D76)</f>
        <v>22740</v>
      </c>
    </row>
    <row r="63" spans="1:4" s="571" customFormat="1" ht="14.25" customHeight="1">
      <c r="A63" s="1302"/>
      <c r="B63" s="807" t="s">
        <v>571</v>
      </c>
      <c r="C63" s="807"/>
      <c r="D63" s="1301">
        <v>500</v>
      </c>
    </row>
    <row r="64" spans="1:4" s="571" customFormat="1" ht="14.25" customHeight="1">
      <c r="A64" s="1302"/>
      <c r="B64" s="807" t="s">
        <v>561</v>
      </c>
      <c r="C64" s="807"/>
      <c r="D64" s="1301">
        <v>830</v>
      </c>
    </row>
    <row r="65" spans="1:4" s="571" customFormat="1" ht="14.25" customHeight="1">
      <c r="A65" s="1302"/>
      <c r="B65" s="807" t="s">
        <v>554</v>
      </c>
      <c r="C65" s="807"/>
      <c r="D65" s="1301">
        <v>2000</v>
      </c>
    </row>
    <row r="66" spans="1:4" s="571" customFormat="1" ht="14.25" customHeight="1">
      <c r="A66" s="1302"/>
      <c r="B66" s="807" t="s">
        <v>555</v>
      </c>
      <c r="C66" s="807"/>
      <c r="D66" s="1301">
        <v>2300</v>
      </c>
    </row>
    <row r="67" spans="1:4" s="571" customFormat="1" ht="14.25" customHeight="1">
      <c r="A67" s="1302"/>
      <c r="B67" s="807" t="s">
        <v>567</v>
      </c>
      <c r="C67" s="807"/>
      <c r="D67" s="1301">
        <v>600</v>
      </c>
    </row>
    <row r="68" spans="1:4" s="571" customFormat="1" ht="14.25" customHeight="1">
      <c r="A68" s="1302"/>
      <c r="B68" s="807" t="s">
        <v>562</v>
      </c>
      <c r="C68" s="807"/>
      <c r="D68" s="1301">
        <v>300</v>
      </c>
    </row>
    <row r="69" spans="1:4" s="571" customFormat="1" ht="14.25" customHeight="1">
      <c r="A69" s="1302"/>
      <c r="B69" s="807" t="s">
        <v>565</v>
      </c>
      <c r="C69" s="807"/>
      <c r="D69" s="1301">
        <v>1300</v>
      </c>
    </row>
    <row r="70" spans="1:4" s="571" customFormat="1" ht="14.25" customHeight="1">
      <c r="A70" s="1302"/>
      <c r="B70" s="807" t="s">
        <v>569</v>
      </c>
      <c r="C70" s="807"/>
      <c r="D70" s="1301">
        <v>2300</v>
      </c>
    </row>
    <row r="71" spans="1:4" s="571" customFormat="1" ht="14.25" customHeight="1">
      <c r="A71" s="1302"/>
      <c r="B71" s="807" t="s">
        <v>573</v>
      </c>
      <c r="C71" s="807"/>
      <c r="D71" s="1301">
        <v>980</v>
      </c>
    </row>
    <row r="72" spans="1:4" s="571" customFormat="1" ht="14.25" customHeight="1">
      <c r="A72" s="1302"/>
      <c r="B72" s="807" t="s">
        <v>556</v>
      </c>
      <c r="C72" s="807"/>
      <c r="D72" s="1301">
        <v>1780</v>
      </c>
    </row>
    <row r="73" spans="1:4" s="571" customFormat="1" ht="14.25" customHeight="1">
      <c r="A73" s="1302"/>
      <c r="B73" s="638" t="s">
        <v>563</v>
      </c>
      <c r="C73" s="553"/>
      <c r="D73" s="1301">
        <v>1500</v>
      </c>
    </row>
    <row r="74" spans="1:4" s="569" customFormat="1" ht="14.25" customHeight="1">
      <c r="A74" s="1302"/>
      <c r="B74" s="807" t="s">
        <v>557</v>
      </c>
      <c r="C74" s="553"/>
      <c r="D74" s="1301">
        <v>1000</v>
      </c>
    </row>
    <row r="75" spans="1:4" s="571" customFormat="1" ht="14.25" customHeight="1">
      <c r="A75" s="1302"/>
      <c r="B75" s="807" t="s">
        <v>558</v>
      </c>
      <c r="C75" s="807"/>
      <c r="D75" s="1301">
        <v>2300</v>
      </c>
    </row>
    <row r="76" spans="1:4" s="571" customFormat="1" ht="14.25" customHeight="1">
      <c r="A76" s="1303"/>
      <c r="B76" s="799" t="s">
        <v>559</v>
      </c>
      <c r="C76" s="799"/>
      <c r="D76" s="1304">
        <v>5050</v>
      </c>
    </row>
    <row r="77" spans="1:4" s="571" customFormat="1" ht="15.75" customHeight="1">
      <c r="A77" s="1297">
        <v>4260</v>
      </c>
      <c r="B77" s="1298" t="s">
        <v>575</v>
      </c>
      <c r="C77" s="1298"/>
      <c r="D77" s="1299">
        <f>SUM(D78:D83)</f>
        <v>8340</v>
      </c>
    </row>
    <row r="78" spans="1:4" s="571" customFormat="1" ht="12.75">
      <c r="A78" s="1302"/>
      <c r="B78" s="807" t="s">
        <v>561</v>
      </c>
      <c r="C78" s="807"/>
      <c r="D78" s="1301">
        <v>250</v>
      </c>
    </row>
    <row r="79" spans="1:4" s="571" customFormat="1" ht="12.75">
      <c r="A79" s="1302"/>
      <c r="B79" s="807" t="s">
        <v>555</v>
      </c>
      <c r="C79" s="807"/>
      <c r="D79" s="1301">
        <v>1000</v>
      </c>
    </row>
    <row r="80" spans="1:4" s="571" customFormat="1" ht="12.75">
      <c r="A80" s="1302"/>
      <c r="B80" s="807" t="s">
        <v>569</v>
      </c>
      <c r="C80" s="807"/>
      <c r="D80" s="1301">
        <v>590</v>
      </c>
    </row>
    <row r="81" spans="1:4" s="571" customFormat="1" ht="12.75">
      <c r="A81" s="1302"/>
      <c r="B81" s="807" t="s">
        <v>563</v>
      </c>
      <c r="C81" s="807"/>
      <c r="D81" s="1301">
        <v>5000</v>
      </c>
    </row>
    <row r="82" spans="1:4" s="571" customFormat="1" ht="12.75">
      <c r="A82" s="1302"/>
      <c r="B82" s="807" t="s">
        <v>557</v>
      </c>
      <c r="C82" s="807"/>
      <c r="D82" s="1301">
        <v>1200</v>
      </c>
    </row>
    <row r="83" spans="1:4" s="571" customFormat="1" ht="15.75" customHeight="1">
      <c r="A83" s="1303"/>
      <c r="B83" s="799" t="s">
        <v>559</v>
      </c>
      <c r="C83" s="799"/>
      <c r="D83" s="1304">
        <v>300</v>
      </c>
    </row>
    <row r="84" spans="1:4" s="581" customFormat="1" ht="15.75" customHeight="1" hidden="1">
      <c r="A84" s="1297">
        <v>4270</v>
      </c>
      <c r="B84" s="1298" t="s">
        <v>576</v>
      </c>
      <c r="C84" s="1298"/>
      <c r="D84" s="1299">
        <f>D85</f>
        <v>0</v>
      </c>
    </row>
    <row r="85" spans="1:4" s="571" customFormat="1" ht="15.75" customHeight="1" hidden="1">
      <c r="A85" s="1302"/>
      <c r="B85" s="807" t="s">
        <v>569</v>
      </c>
      <c r="C85" s="807"/>
      <c r="D85" s="1301"/>
    </row>
    <row r="86" spans="1:4" s="571" customFormat="1" ht="13.5">
      <c r="A86" s="1320">
        <v>4300</v>
      </c>
      <c r="B86" s="1321" t="s">
        <v>577</v>
      </c>
      <c r="C86" s="1321"/>
      <c r="D86" s="1322">
        <f>SUM(D87:D95)</f>
        <v>26990</v>
      </c>
    </row>
    <row r="87" spans="1:4" s="571" customFormat="1" ht="12.75">
      <c r="A87" s="1302"/>
      <c r="B87" s="807" t="s">
        <v>571</v>
      </c>
      <c r="C87" s="807"/>
      <c r="D87" s="1301">
        <v>650</v>
      </c>
    </row>
    <row r="88" spans="1:4" s="571" customFormat="1" ht="12.75">
      <c r="A88" s="1302"/>
      <c r="B88" s="807" t="s">
        <v>561</v>
      </c>
      <c r="C88" s="807"/>
      <c r="D88" s="1301">
        <v>1040</v>
      </c>
    </row>
    <row r="89" spans="1:4" s="571" customFormat="1" ht="12.75">
      <c r="A89" s="1302"/>
      <c r="B89" s="807" t="s">
        <v>554</v>
      </c>
      <c r="C89" s="807"/>
      <c r="D89" s="1301">
        <v>2000</v>
      </c>
    </row>
    <row r="90" spans="1:4" s="571" customFormat="1" ht="12.75">
      <c r="A90" s="1302"/>
      <c r="B90" s="807" t="s">
        <v>555</v>
      </c>
      <c r="C90" s="807"/>
      <c r="D90" s="1301">
        <v>3000</v>
      </c>
    </row>
    <row r="91" spans="1:4" s="571" customFormat="1" ht="12.75">
      <c r="A91" s="1302"/>
      <c r="B91" s="807" t="s">
        <v>567</v>
      </c>
      <c r="C91" s="807"/>
      <c r="D91" s="1301">
        <v>4000</v>
      </c>
    </row>
    <row r="92" spans="1:4" s="571" customFormat="1" ht="12.75">
      <c r="A92" s="1302"/>
      <c r="B92" s="807" t="s">
        <v>569</v>
      </c>
      <c r="C92" s="807"/>
      <c r="D92" s="1301">
        <v>2200</v>
      </c>
    </row>
    <row r="93" spans="1:4" s="571" customFormat="1" ht="12.75">
      <c r="A93" s="1302"/>
      <c r="B93" s="638" t="s">
        <v>563</v>
      </c>
      <c r="C93" s="553"/>
      <c r="D93" s="1301">
        <v>1500</v>
      </c>
    </row>
    <row r="94" spans="1:4" s="571" customFormat="1" ht="12.75">
      <c r="A94" s="1302"/>
      <c r="B94" s="807" t="s">
        <v>557</v>
      </c>
      <c r="C94" s="553"/>
      <c r="D94" s="1301">
        <v>500</v>
      </c>
    </row>
    <row r="95" spans="1:4" s="571" customFormat="1" ht="12.75">
      <c r="A95" s="1303"/>
      <c r="B95" s="799" t="s">
        <v>559</v>
      </c>
      <c r="C95" s="799"/>
      <c r="D95" s="1304">
        <v>12100</v>
      </c>
    </row>
    <row r="96" spans="1:4" s="1306" customFormat="1" ht="13.5">
      <c r="A96" s="1297">
        <v>4300</v>
      </c>
      <c r="B96" s="1298" t="s">
        <v>578</v>
      </c>
      <c r="C96" s="1298"/>
      <c r="D96" s="1299">
        <f>SUM(D97:D109)</f>
        <v>41250</v>
      </c>
    </row>
    <row r="97" spans="1:4" s="618" customFormat="1" ht="12.75">
      <c r="A97" s="842"/>
      <c r="B97" s="807" t="s">
        <v>571</v>
      </c>
      <c r="C97" s="807"/>
      <c r="D97" s="1301">
        <v>2050</v>
      </c>
    </row>
    <row r="98" spans="1:4" s="618" customFormat="1" ht="12.75">
      <c r="A98" s="842"/>
      <c r="B98" s="807" t="s">
        <v>561</v>
      </c>
      <c r="C98" s="807"/>
      <c r="D98" s="1301">
        <v>3300</v>
      </c>
    </row>
    <row r="99" spans="1:4" s="618" customFormat="1" ht="12.75">
      <c r="A99" s="842"/>
      <c r="B99" s="807" t="s">
        <v>554</v>
      </c>
      <c r="C99" s="807"/>
      <c r="D99" s="1301">
        <v>2000</v>
      </c>
    </row>
    <row r="100" spans="1:4" s="618" customFormat="1" ht="12.75">
      <c r="A100" s="842"/>
      <c r="B100" s="807" t="s">
        <v>555</v>
      </c>
      <c r="C100" s="807"/>
      <c r="D100" s="1301">
        <v>3000</v>
      </c>
    </row>
    <row r="101" spans="1:4" s="618" customFormat="1" ht="12.75">
      <c r="A101" s="842"/>
      <c r="B101" s="807" t="s">
        <v>562</v>
      </c>
      <c r="C101" s="807"/>
      <c r="D101" s="1301">
        <v>1600</v>
      </c>
    </row>
    <row r="102" spans="1:4" s="618" customFormat="1" ht="12.75">
      <c r="A102" s="842"/>
      <c r="B102" s="807" t="s">
        <v>565</v>
      </c>
      <c r="C102" s="807"/>
      <c r="D102" s="1301">
        <v>1600</v>
      </c>
    </row>
    <row r="103" spans="1:4" s="618" customFormat="1" ht="12.75">
      <c r="A103" s="842"/>
      <c r="B103" s="807" t="s">
        <v>569</v>
      </c>
      <c r="C103" s="807"/>
      <c r="D103" s="1301">
        <v>6600</v>
      </c>
    </row>
    <row r="104" spans="1:4" s="618" customFormat="1" ht="12.75">
      <c r="A104" s="842"/>
      <c r="B104" s="807" t="s">
        <v>573</v>
      </c>
      <c r="C104" s="807"/>
      <c r="D104" s="1301">
        <v>3100</v>
      </c>
    </row>
    <row r="105" spans="1:4" s="618" customFormat="1" ht="12.75">
      <c r="A105" s="842"/>
      <c r="B105" s="807" t="s">
        <v>556</v>
      </c>
      <c r="C105" s="807"/>
      <c r="D105" s="1301">
        <v>2100</v>
      </c>
    </row>
    <row r="106" spans="1:4" s="618" customFormat="1" ht="12.75" hidden="1">
      <c r="A106" s="842"/>
      <c r="B106" s="807" t="s">
        <v>563</v>
      </c>
      <c r="C106" s="807"/>
      <c r="D106" s="1301"/>
    </row>
    <row r="107" spans="1:4" s="618" customFormat="1" ht="12.75">
      <c r="A107" s="842"/>
      <c r="B107" s="807" t="s">
        <v>557</v>
      </c>
      <c r="C107" s="807"/>
      <c r="D107" s="1301">
        <v>10300</v>
      </c>
    </row>
    <row r="108" spans="1:4" s="618" customFormat="1" ht="12.75">
      <c r="A108" s="842"/>
      <c r="B108" s="807" t="s">
        <v>558</v>
      </c>
      <c r="C108" s="807"/>
      <c r="D108" s="1301">
        <v>2400</v>
      </c>
    </row>
    <row r="109" spans="1:4" s="618" customFormat="1" ht="13.5" thickBot="1">
      <c r="A109" s="842"/>
      <c r="B109" s="807" t="s">
        <v>559</v>
      </c>
      <c r="C109" s="807"/>
      <c r="D109" s="1301">
        <v>3200</v>
      </c>
    </row>
    <row r="110" spans="1:4" s="578" customFormat="1" ht="17.25" thickBot="1" thickTop="1">
      <c r="A110" s="835">
        <v>801</v>
      </c>
      <c r="B110" s="1308" t="s">
        <v>221</v>
      </c>
      <c r="C110" s="1323" t="s">
        <v>552</v>
      </c>
      <c r="D110" s="1324">
        <f>D111</f>
        <v>14000</v>
      </c>
    </row>
    <row r="111" spans="1:4" s="578" customFormat="1" ht="16.5" thickTop="1">
      <c r="A111" s="1311">
        <v>80195</v>
      </c>
      <c r="B111" s="1312" t="s">
        <v>209</v>
      </c>
      <c r="C111" s="1325"/>
      <c r="D111" s="1326">
        <f>D112</f>
        <v>14000</v>
      </c>
    </row>
    <row r="112" spans="1:4" s="1306" customFormat="1" ht="13.5">
      <c r="A112" s="1297">
        <v>4270</v>
      </c>
      <c r="B112" s="1298" t="s">
        <v>579</v>
      </c>
      <c r="C112" s="1298"/>
      <c r="D112" s="1299">
        <f>SUM(D113:D116)</f>
        <v>14000</v>
      </c>
    </row>
    <row r="113" spans="1:4" s="618" customFormat="1" ht="12.75">
      <c r="A113" s="842"/>
      <c r="B113" s="638" t="s">
        <v>563</v>
      </c>
      <c r="C113" s="553"/>
      <c r="D113" s="1301">
        <v>12000</v>
      </c>
    </row>
    <row r="114" spans="1:4" s="571" customFormat="1" ht="11.25" customHeight="1" hidden="1">
      <c r="A114" s="1302"/>
      <c r="B114" s="807" t="s">
        <v>562</v>
      </c>
      <c r="C114" s="807"/>
      <c r="D114" s="1301"/>
    </row>
    <row r="115" spans="1:4" s="571" customFormat="1" ht="14.25" customHeight="1" hidden="1">
      <c r="A115" s="1302"/>
      <c r="B115" s="807" t="s">
        <v>569</v>
      </c>
      <c r="C115" s="807"/>
      <c r="D115" s="1301"/>
    </row>
    <row r="116" spans="1:4" s="571" customFormat="1" ht="12.75">
      <c r="A116" s="1303"/>
      <c r="B116" s="799" t="s">
        <v>559</v>
      </c>
      <c r="C116" s="799"/>
      <c r="D116" s="1304">
        <v>2000</v>
      </c>
    </row>
    <row r="117" spans="1:4" s="761" customFormat="1" ht="18" customHeight="1" hidden="1">
      <c r="A117" s="1327">
        <v>852</v>
      </c>
      <c r="B117" s="1328" t="s">
        <v>230</v>
      </c>
      <c r="C117" s="1329" t="s">
        <v>552</v>
      </c>
      <c r="D117" s="1330">
        <f>D118</f>
        <v>0</v>
      </c>
    </row>
    <row r="118" spans="1:4" ht="15.75" hidden="1">
      <c r="A118" s="1331">
        <v>85295</v>
      </c>
      <c r="B118" s="1332" t="s">
        <v>209</v>
      </c>
      <c r="C118" s="1332"/>
      <c r="D118" s="1333">
        <f>D119+D130</f>
        <v>0</v>
      </c>
    </row>
    <row r="119" spans="1:4" s="571" customFormat="1" ht="15.75" customHeight="1" hidden="1">
      <c r="A119" s="1334">
        <v>4210</v>
      </c>
      <c r="B119" s="1335" t="s">
        <v>574</v>
      </c>
      <c r="C119" s="1335"/>
      <c r="D119" s="1336">
        <f>SUM(D120:D129)</f>
        <v>0</v>
      </c>
    </row>
    <row r="120" spans="1:4" s="571" customFormat="1" ht="12.75" hidden="1">
      <c r="A120" s="850"/>
      <c r="B120" s="807" t="s">
        <v>554</v>
      </c>
      <c r="C120" s="767"/>
      <c r="D120" s="1337"/>
    </row>
    <row r="121" spans="1:4" s="571" customFormat="1" ht="16.5" customHeight="1" hidden="1">
      <c r="A121" s="850"/>
      <c r="B121" s="807" t="s">
        <v>554</v>
      </c>
      <c r="C121" s="1338"/>
      <c r="D121" s="1337"/>
    </row>
    <row r="122" spans="1:4" s="571" customFormat="1" ht="12.75" hidden="1">
      <c r="A122" s="1339"/>
      <c r="B122" s="553"/>
      <c r="C122" s="767"/>
      <c r="D122" s="1337"/>
    </row>
    <row r="123" spans="1:4" s="571" customFormat="1" ht="12.75" customHeight="1" hidden="1">
      <c r="A123" s="850"/>
      <c r="B123" s="628"/>
      <c r="C123" s="767"/>
      <c r="D123" s="1337"/>
    </row>
    <row r="124" spans="1:4" s="571" customFormat="1" ht="14.25" customHeight="1" hidden="1">
      <c r="A124" s="850"/>
      <c r="B124" s="638" t="s">
        <v>573</v>
      </c>
      <c r="C124" s="767"/>
      <c r="D124" s="1337"/>
    </row>
    <row r="125" spans="1:4" s="571" customFormat="1" ht="14.25" customHeight="1" hidden="1">
      <c r="A125" s="850"/>
      <c r="B125" s="638" t="s">
        <v>580</v>
      </c>
      <c r="C125" s="767"/>
      <c r="D125" s="1337"/>
    </row>
    <row r="126" spans="1:4" s="571" customFormat="1" ht="14.25" customHeight="1" hidden="1">
      <c r="A126" s="850"/>
      <c r="B126" s="638" t="s">
        <v>563</v>
      </c>
      <c r="C126" s="767"/>
      <c r="D126" s="1337"/>
    </row>
    <row r="127" spans="1:4" s="571" customFormat="1" ht="16.5" customHeight="1" hidden="1">
      <c r="A127" s="850"/>
      <c r="B127" s="638" t="s">
        <v>557</v>
      </c>
      <c r="C127" s="767"/>
      <c r="D127" s="1337"/>
    </row>
    <row r="128" spans="1:4" s="571" customFormat="1" ht="16.5" customHeight="1" hidden="1">
      <c r="A128" s="850"/>
      <c r="B128" s="807" t="s">
        <v>581</v>
      </c>
      <c r="C128" s="767"/>
      <c r="D128" s="1337"/>
    </row>
    <row r="129" spans="1:4" s="571" customFormat="1" ht="17.25" customHeight="1" hidden="1">
      <c r="A129" s="1340"/>
      <c r="B129" s="1341" t="s">
        <v>559</v>
      </c>
      <c r="C129" s="729"/>
      <c r="D129" s="1342"/>
    </row>
    <row r="130" spans="1:4" s="571" customFormat="1" ht="13.5" hidden="1">
      <c r="A130" s="1334">
        <v>4300</v>
      </c>
      <c r="B130" s="1343" t="s">
        <v>577</v>
      </c>
      <c r="C130" s="1338"/>
      <c r="D130" s="1336">
        <f>SUM(D131:D136)</f>
        <v>0</v>
      </c>
    </row>
    <row r="131" spans="1:4" s="569" customFormat="1" ht="12.75" hidden="1">
      <c r="A131" s="1344"/>
      <c r="B131" s="807"/>
      <c r="C131" s="1338"/>
      <c r="D131" s="1337"/>
    </row>
    <row r="132" spans="1:4" s="571" customFormat="1" ht="15" customHeight="1" hidden="1">
      <c r="A132" s="1344"/>
      <c r="B132" s="807" t="s">
        <v>554</v>
      </c>
      <c r="C132" s="1338"/>
      <c r="D132" s="1337"/>
    </row>
    <row r="133" spans="1:4" s="571" customFormat="1" ht="15" customHeight="1" hidden="1">
      <c r="A133" s="1344"/>
      <c r="B133" s="807" t="s">
        <v>565</v>
      </c>
      <c r="C133" s="1338"/>
      <c r="D133" s="1337"/>
    </row>
    <row r="134" spans="1:4" s="569" customFormat="1" ht="15" customHeight="1" hidden="1">
      <c r="A134" s="1344"/>
      <c r="B134" s="638" t="s">
        <v>563</v>
      </c>
      <c r="C134" s="767"/>
      <c r="D134" s="1337"/>
    </row>
    <row r="135" spans="1:4" s="571" customFormat="1" ht="15" customHeight="1" hidden="1">
      <c r="A135" s="1344"/>
      <c r="B135" s="638"/>
      <c r="C135" s="767"/>
      <c r="D135" s="1337"/>
    </row>
    <row r="136" spans="1:4" s="571" customFormat="1" ht="15" customHeight="1" hidden="1">
      <c r="A136" s="1344"/>
      <c r="B136" s="807" t="s">
        <v>559</v>
      </c>
      <c r="C136" s="1338"/>
      <c r="D136" s="1337"/>
    </row>
    <row r="137" spans="1:4" s="761" customFormat="1" ht="32.25" thickBot="1">
      <c r="A137" s="1345">
        <v>854</v>
      </c>
      <c r="B137" s="1346" t="s">
        <v>232</v>
      </c>
      <c r="C137" s="1347" t="s">
        <v>552</v>
      </c>
      <c r="D137" s="1348">
        <f>D138</f>
        <v>12800</v>
      </c>
    </row>
    <row r="138" spans="1:4" ht="16.5" thickTop="1">
      <c r="A138" s="1349">
        <v>85495</v>
      </c>
      <c r="B138" s="1350" t="s">
        <v>209</v>
      </c>
      <c r="C138" s="1350"/>
      <c r="D138" s="1351">
        <f>D139+D147+D152</f>
        <v>12800</v>
      </c>
    </row>
    <row r="139" spans="1:5" s="571" customFormat="1" ht="13.5">
      <c r="A139" s="1334">
        <v>4210</v>
      </c>
      <c r="B139" s="1335" t="s">
        <v>560</v>
      </c>
      <c r="C139" s="1335"/>
      <c r="D139" s="1352">
        <f>SUM(D140:D146)</f>
        <v>6650</v>
      </c>
      <c r="E139" s="1300"/>
    </row>
    <row r="140" spans="1:4" s="571" customFormat="1" ht="16.5" customHeight="1">
      <c r="A140" s="1302"/>
      <c r="B140" s="1338" t="s">
        <v>571</v>
      </c>
      <c r="C140" s="1353"/>
      <c r="D140" s="1354">
        <v>300</v>
      </c>
    </row>
    <row r="141" spans="1:4" s="571" customFormat="1" ht="16.5" customHeight="1">
      <c r="A141" s="1302"/>
      <c r="B141" s="807" t="s">
        <v>555</v>
      </c>
      <c r="C141" s="1353"/>
      <c r="D141" s="1354">
        <v>500</v>
      </c>
    </row>
    <row r="142" spans="1:4" s="571" customFormat="1" ht="16.5" customHeight="1" hidden="1">
      <c r="A142" s="1302"/>
      <c r="B142" s="807"/>
      <c r="C142" s="1353"/>
      <c r="D142" s="1354"/>
    </row>
    <row r="143" spans="1:4" s="571" customFormat="1" ht="16.5" customHeight="1">
      <c r="A143" s="1302"/>
      <c r="B143" s="807" t="s">
        <v>562</v>
      </c>
      <c r="C143" s="1353"/>
      <c r="D143" s="1354">
        <v>450</v>
      </c>
    </row>
    <row r="144" spans="1:4" s="571" customFormat="1" ht="16.5" customHeight="1">
      <c r="A144" s="1302"/>
      <c r="B144" s="608" t="s">
        <v>573</v>
      </c>
      <c r="C144" s="1355"/>
      <c r="D144" s="1354">
        <v>600</v>
      </c>
    </row>
    <row r="145" spans="1:4" s="569" customFormat="1" ht="16.5" customHeight="1">
      <c r="A145" s="1302"/>
      <c r="B145" s="638" t="s">
        <v>563</v>
      </c>
      <c r="C145" s="1355"/>
      <c r="D145" s="1354">
        <v>1000</v>
      </c>
    </row>
    <row r="146" spans="1:4" s="569" customFormat="1" ht="16.5" customHeight="1">
      <c r="A146" s="1303"/>
      <c r="B146" s="729" t="s">
        <v>558</v>
      </c>
      <c r="C146" s="1356"/>
      <c r="D146" s="1357">
        <v>3800</v>
      </c>
    </row>
    <row r="147" spans="1:4" s="571" customFormat="1" ht="15.75" customHeight="1">
      <c r="A147" s="1334">
        <v>4300</v>
      </c>
      <c r="B147" s="1335" t="s">
        <v>577</v>
      </c>
      <c r="C147" s="1335"/>
      <c r="D147" s="1352">
        <f>SUM(D148:D151)</f>
        <v>6050</v>
      </c>
    </row>
    <row r="148" spans="1:4" s="571" customFormat="1" ht="13.5" customHeight="1">
      <c r="A148" s="1334"/>
      <c r="B148" s="807" t="s">
        <v>554</v>
      </c>
      <c r="C148" s="1335"/>
      <c r="D148" s="1358">
        <v>1000</v>
      </c>
    </row>
    <row r="149" spans="1:4" s="571" customFormat="1" ht="15" customHeight="1">
      <c r="A149" s="1334"/>
      <c r="B149" s="807" t="s">
        <v>562</v>
      </c>
      <c r="C149" s="1335"/>
      <c r="D149" s="1358">
        <v>450</v>
      </c>
    </row>
    <row r="150" spans="1:4" s="571" customFormat="1" ht="14.25" customHeight="1">
      <c r="A150" s="1334"/>
      <c r="B150" s="638" t="s">
        <v>563</v>
      </c>
      <c r="C150" s="1359"/>
      <c r="D150" s="1358">
        <v>2900</v>
      </c>
    </row>
    <row r="151" spans="1:4" s="571" customFormat="1" ht="15" customHeight="1">
      <c r="A151" s="1360"/>
      <c r="B151" s="1031" t="s">
        <v>559</v>
      </c>
      <c r="C151" s="1361"/>
      <c r="D151" s="1362">
        <v>1700</v>
      </c>
    </row>
    <row r="152" spans="1:4" s="571" customFormat="1" ht="13.5" customHeight="1">
      <c r="A152" s="1297">
        <v>4430</v>
      </c>
      <c r="B152" s="1298" t="s">
        <v>582</v>
      </c>
      <c r="C152" s="1298"/>
      <c r="D152" s="1363">
        <f>SUM(D153:D154)</f>
        <v>100</v>
      </c>
    </row>
    <row r="153" spans="1:4" s="571" customFormat="1" ht="13.5" customHeight="1" hidden="1">
      <c r="A153" s="842"/>
      <c r="B153" s="807"/>
      <c r="C153" s="807"/>
      <c r="D153" s="1358"/>
    </row>
    <row r="154" spans="1:4" s="571" customFormat="1" ht="13.5" customHeight="1" thickBot="1">
      <c r="A154" s="842"/>
      <c r="B154" s="638" t="s">
        <v>563</v>
      </c>
      <c r="C154" s="1060"/>
      <c r="D154" s="1358">
        <v>100</v>
      </c>
    </row>
    <row r="155" spans="1:4" s="761" customFormat="1" ht="33" customHeight="1" thickBot="1" thickTop="1">
      <c r="A155" s="835">
        <v>900</v>
      </c>
      <c r="B155" s="1364" t="s">
        <v>236</v>
      </c>
      <c r="C155" s="1323" t="s">
        <v>552</v>
      </c>
      <c r="D155" s="1365">
        <f>D156+D162</f>
        <v>193500</v>
      </c>
    </row>
    <row r="156" spans="1:4" s="761" customFormat="1" ht="13.5" customHeight="1" hidden="1">
      <c r="A156" s="1349">
        <v>90004</v>
      </c>
      <c r="B156" s="1312" t="s">
        <v>583</v>
      </c>
      <c r="C156" s="1350"/>
      <c r="D156" s="1366">
        <f>D157</f>
        <v>0</v>
      </c>
    </row>
    <row r="157" spans="1:4" s="571" customFormat="1" ht="13.5" customHeight="1" hidden="1">
      <c r="A157" s="1334">
        <v>4300</v>
      </c>
      <c r="B157" s="1298" t="s">
        <v>584</v>
      </c>
      <c r="C157" s="1298"/>
      <c r="D157" s="1363">
        <f>SUM(D158:D161)</f>
        <v>0</v>
      </c>
    </row>
    <row r="158" spans="1:4" s="571" customFormat="1" ht="13.5" customHeight="1" hidden="1">
      <c r="A158" s="1334"/>
      <c r="B158" s="1338"/>
      <c r="C158" s="1335"/>
      <c r="D158" s="1358"/>
    </row>
    <row r="159" spans="1:4" s="571" customFormat="1" ht="13.5" customHeight="1" hidden="1">
      <c r="A159" s="1334"/>
      <c r="B159" s="1338" t="s">
        <v>573</v>
      </c>
      <c r="C159" s="1335"/>
      <c r="D159" s="1358"/>
    </row>
    <row r="160" spans="1:4" s="571" customFormat="1" ht="13.5" customHeight="1" hidden="1">
      <c r="A160" s="1334"/>
      <c r="B160" s="1338" t="s">
        <v>557</v>
      </c>
      <c r="C160" s="1335"/>
      <c r="D160" s="1358"/>
    </row>
    <row r="161" spans="1:4" s="571" customFormat="1" ht="13.5" customHeight="1" hidden="1">
      <c r="A161" s="1334"/>
      <c r="B161" s="1338" t="s">
        <v>559</v>
      </c>
      <c r="C161" s="1335"/>
      <c r="D161" s="1358"/>
    </row>
    <row r="162" spans="1:4" s="571" customFormat="1" ht="13.5" customHeight="1" thickTop="1">
      <c r="A162" s="1367">
        <v>90095</v>
      </c>
      <c r="B162" s="1368" t="s">
        <v>209</v>
      </c>
      <c r="C162" s="1368"/>
      <c r="D162" s="1369">
        <f>D163</f>
        <v>193500</v>
      </c>
    </row>
    <row r="163" spans="1:4" s="618" customFormat="1" ht="13.5" customHeight="1">
      <c r="A163" s="1334">
        <v>4270</v>
      </c>
      <c r="B163" s="1298" t="s">
        <v>585</v>
      </c>
      <c r="C163" s="1298"/>
      <c r="D163" s="1363">
        <f>SUM(D164:D174)</f>
        <v>193500</v>
      </c>
    </row>
    <row r="164" spans="1:4" s="618" customFormat="1" ht="14.25" customHeight="1">
      <c r="A164" s="850"/>
      <c r="B164" s="1338" t="s">
        <v>571</v>
      </c>
      <c r="C164" s="1338"/>
      <c r="D164" s="1358">
        <v>15000</v>
      </c>
    </row>
    <row r="165" spans="1:4" s="618" customFormat="1" ht="14.25" customHeight="1">
      <c r="A165" s="850"/>
      <c r="B165" s="1338" t="s">
        <v>561</v>
      </c>
      <c r="C165" s="1338"/>
      <c r="D165" s="1358">
        <v>7680</v>
      </c>
    </row>
    <row r="166" spans="1:4" s="618" customFormat="1" ht="14.25" customHeight="1">
      <c r="A166" s="850"/>
      <c r="B166" s="1338" t="s">
        <v>555</v>
      </c>
      <c r="C166" s="1338"/>
      <c r="D166" s="1358">
        <v>32000</v>
      </c>
    </row>
    <row r="167" spans="1:5" s="618" customFormat="1" ht="14.25" customHeight="1">
      <c r="A167" s="850"/>
      <c r="B167" s="1338" t="s">
        <v>562</v>
      </c>
      <c r="C167" s="1338"/>
      <c r="D167" s="1358">
        <v>13200</v>
      </c>
      <c r="E167" s="1370"/>
    </row>
    <row r="168" spans="1:4" s="618" customFormat="1" ht="14.25" customHeight="1">
      <c r="A168" s="850"/>
      <c r="B168" s="1338" t="s">
        <v>565</v>
      </c>
      <c r="C168" s="1338"/>
      <c r="D168" s="1358">
        <v>35200</v>
      </c>
    </row>
    <row r="169" spans="1:4" s="618" customFormat="1" ht="14.25" customHeight="1">
      <c r="A169" s="850"/>
      <c r="B169" s="1338" t="s">
        <v>586</v>
      </c>
      <c r="C169" s="1338"/>
      <c r="D169" s="1358">
        <v>31000</v>
      </c>
    </row>
    <row r="170" spans="1:4" s="618" customFormat="1" ht="14.25" customHeight="1">
      <c r="A170" s="850"/>
      <c r="B170" s="1338" t="s">
        <v>573</v>
      </c>
      <c r="C170" s="1338"/>
      <c r="D170" s="1358">
        <v>25420</v>
      </c>
    </row>
    <row r="171" spans="1:4" s="618" customFormat="1" ht="14.25" customHeight="1">
      <c r="A171" s="850"/>
      <c r="B171" s="1338" t="s">
        <v>563</v>
      </c>
      <c r="C171" s="1338"/>
      <c r="D171" s="1358">
        <v>7000</v>
      </c>
    </row>
    <row r="172" spans="1:4" s="618" customFormat="1" ht="14.25" customHeight="1">
      <c r="A172" s="850"/>
      <c r="B172" s="1338" t="s">
        <v>557</v>
      </c>
      <c r="C172" s="1338"/>
      <c r="D172" s="1358">
        <v>5000</v>
      </c>
    </row>
    <row r="173" spans="1:4" s="618" customFormat="1" ht="14.25" customHeight="1">
      <c r="A173" s="850"/>
      <c r="B173" s="1338" t="s">
        <v>587</v>
      </c>
      <c r="C173" s="1338"/>
      <c r="D173" s="1358">
        <v>15000</v>
      </c>
    </row>
    <row r="174" spans="1:4" s="618" customFormat="1" ht="14.25" customHeight="1" thickBot="1">
      <c r="A174" s="850"/>
      <c r="B174" s="1338" t="s">
        <v>559</v>
      </c>
      <c r="C174" s="1338"/>
      <c r="D174" s="1358">
        <v>7000</v>
      </c>
    </row>
    <row r="175" spans="1:4" s="761" customFormat="1" ht="33" thickBot="1" thickTop="1">
      <c r="A175" s="1288">
        <v>921</v>
      </c>
      <c r="B175" s="1364" t="s">
        <v>254</v>
      </c>
      <c r="C175" s="1290" t="s">
        <v>552</v>
      </c>
      <c r="D175" s="1371">
        <f>D176</f>
        <v>29970</v>
      </c>
    </row>
    <row r="176" spans="1:4" ht="16.5" thickTop="1">
      <c r="A176" s="1349">
        <v>92195</v>
      </c>
      <c r="B176" s="1350" t="s">
        <v>209</v>
      </c>
      <c r="C176" s="1350"/>
      <c r="D176" s="1351">
        <f>D177+D188+D193</f>
        <v>29970</v>
      </c>
    </row>
    <row r="177" spans="1:4" s="571" customFormat="1" ht="13.5">
      <c r="A177" s="1334">
        <v>4210</v>
      </c>
      <c r="B177" s="1335" t="s">
        <v>560</v>
      </c>
      <c r="C177" s="1335"/>
      <c r="D177" s="1352">
        <f>SUM(D178:D187)</f>
        <v>22170</v>
      </c>
    </row>
    <row r="178" spans="1:4" s="571" customFormat="1" ht="14.25" customHeight="1">
      <c r="A178" s="842"/>
      <c r="B178" s="1372" t="s">
        <v>571</v>
      </c>
      <c r="C178" s="807"/>
      <c r="D178" s="1358">
        <v>2500</v>
      </c>
    </row>
    <row r="179" spans="1:4" s="571" customFormat="1" ht="14.25" customHeight="1">
      <c r="A179" s="842"/>
      <c r="B179" s="807" t="s">
        <v>554</v>
      </c>
      <c r="C179" s="807"/>
      <c r="D179" s="1358">
        <v>1000</v>
      </c>
    </row>
    <row r="180" spans="1:4" s="571" customFormat="1" ht="14.25" customHeight="1">
      <c r="A180" s="842"/>
      <c r="B180" s="807" t="s">
        <v>562</v>
      </c>
      <c r="C180" s="807"/>
      <c r="D180" s="1358">
        <v>1000</v>
      </c>
    </row>
    <row r="181" spans="1:4" s="569" customFormat="1" ht="14.25" customHeight="1">
      <c r="A181" s="842"/>
      <c r="B181" s="807" t="s">
        <v>567</v>
      </c>
      <c r="C181" s="807"/>
      <c r="D181" s="1358">
        <v>300</v>
      </c>
    </row>
    <row r="182" spans="1:4" s="569" customFormat="1" ht="14.25" customHeight="1">
      <c r="A182" s="842"/>
      <c r="B182" s="807" t="s">
        <v>573</v>
      </c>
      <c r="C182" s="807"/>
      <c r="D182" s="1358">
        <f>800+1200</f>
        <v>2000</v>
      </c>
    </row>
    <row r="183" spans="1:4" s="569" customFormat="1" ht="14.25" customHeight="1">
      <c r="A183" s="1373"/>
      <c r="B183" s="807" t="s">
        <v>556</v>
      </c>
      <c r="C183" s="807"/>
      <c r="D183" s="1358">
        <f>800+3900</f>
        <v>4700</v>
      </c>
    </row>
    <row r="184" spans="1:4" s="571" customFormat="1" ht="14.25" customHeight="1">
      <c r="A184" s="1373"/>
      <c r="B184" s="807" t="s">
        <v>563</v>
      </c>
      <c r="C184" s="807"/>
      <c r="D184" s="1358">
        <f>500+400</f>
        <v>900</v>
      </c>
    </row>
    <row r="185" spans="1:4" s="571" customFormat="1" ht="14.25" customHeight="1">
      <c r="A185" s="1373"/>
      <c r="B185" s="807" t="s">
        <v>557</v>
      </c>
      <c r="C185" s="807"/>
      <c r="D185" s="1358">
        <f>1400+500</f>
        <v>1900</v>
      </c>
    </row>
    <row r="186" spans="1:4" s="571" customFormat="1" ht="14.25" customHeight="1">
      <c r="A186" s="1373"/>
      <c r="B186" s="807" t="s">
        <v>558</v>
      </c>
      <c r="C186" s="807"/>
      <c r="D186" s="1358">
        <f>3800+1000</f>
        <v>4800</v>
      </c>
    </row>
    <row r="187" spans="1:4" s="571" customFormat="1" ht="14.25" customHeight="1">
      <c r="A187" s="1374"/>
      <c r="B187" s="1031" t="s">
        <v>559</v>
      </c>
      <c r="C187" s="799"/>
      <c r="D187" s="1362">
        <f>1670+1400</f>
        <v>3070</v>
      </c>
    </row>
    <row r="188" spans="1:4" s="571" customFormat="1" ht="18" customHeight="1">
      <c r="A188" s="1375">
        <v>4300</v>
      </c>
      <c r="B188" s="1376" t="s">
        <v>577</v>
      </c>
      <c r="C188" s="1376"/>
      <c r="D188" s="1377">
        <f>SUM(D189:D192)</f>
        <v>7700</v>
      </c>
    </row>
    <row r="189" spans="1:4" s="571" customFormat="1" ht="13.5" customHeight="1">
      <c r="A189" s="1378"/>
      <c r="B189" s="807" t="s">
        <v>562</v>
      </c>
      <c r="C189" s="807"/>
      <c r="D189" s="1358">
        <v>900</v>
      </c>
    </row>
    <row r="190" spans="1:4" s="571" customFormat="1" ht="13.5" customHeight="1">
      <c r="A190" s="1378"/>
      <c r="B190" s="807" t="s">
        <v>565</v>
      </c>
      <c r="C190" s="807"/>
      <c r="D190" s="1358">
        <v>2500</v>
      </c>
    </row>
    <row r="191" spans="1:4" s="571" customFormat="1" ht="13.5" customHeight="1">
      <c r="A191" s="1378"/>
      <c r="B191" s="807" t="s">
        <v>563</v>
      </c>
      <c r="C191" s="807"/>
      <c r="D191" s="1358">
        <f>1600+1100</f>
        <v>2700</v>
      </c>
    </row>
    <row r="192" spans="1:4" s="571" customFormat="1" ht="13.5" customHeight="1">
      <c r="A192" s="1379"/>
      <c r="B192" s="1031" t="s">
        <v>559</v>
      </c>
      <c r="C192" s="574"/>
      <c r="D192" s="1362">
        <f>800+800</f>
        <v>1600</v>
      </c>
    </row>
    <row r="193" spans="1:4" s="1306" customFormat="1" ht="13.5" customHeight="1">
      <c r="A193" s="1380">
        <v>4430</v>
      </c>
      <c r="B193" s="1335" t="s">
        <v>582</v>
      </c>
      <c r="C193" s="1298"/>
      <c r="D193" s="1363">
        <f>SUM(D194:D194)</f>
        <v>100</v>
      </c>
    </row>
    <row r="194" spans="1:4" s="618" customFormat="1" ht="13.5" customHeight="1" thickBot="1">
      <c r="A194" s="1373"/>
      <c r="B194" s="807" t="s">
        <v>557</v>
      </c>
      <c r="C194" s="807"/>
      <c r="D194" s="1358">
        <v>100</v>
      </c>
    </row>
    <row r="195" spans="1:4" s="761" customFormat="1" ht="20.25" customHeight="1" thickBot="1" thickTop="1">
      <c r="A195" s="1288">
        <v>926</v>
      </c>
      <c r="B195" s="1308" t="s">
        <v>263</v>
      </c>
      <c r="C195" s="1290" t="s">
        <v>552</v>
      </c>
      <c r="D195" s="1371">
        <f>D196</f>
        <v>20720</v>
      </c>
    </row>
    <row r="196" spans="1:4" ht="20.25" customHeight="1" thickTop="1">
      <c r="A196" s="1349">
        <v>92695</v>
      </c>
      <c r="B196" s="1350" t="s">
        <v>209</v>
      </c>
      <c r="C196" s="1381"/>
      <c r="D196" s="1382">
        <f>D197+D210+D217</f>
        <v>20720</v>
      </c>
    </row>
    <row r="197" spans="1:4" s="571" customFormat="1" ht="19.5" customHeight="1">
      <c r="A197" s="1297">
        <v>4210</v>
      </c>
      <c r="B197" s="1298" t="s">
        <v>560</v>
      </c>
      <c r="C197" s="807"/>
      <c r="D197" s="1363">
        <f>SUM(D198:D209)</f>
        <v>16220</v>
      </c>
    </row>
    <row r="198" spans="1:4" s="571" customFormat="1" ht="13.5" customHeight="1">
      <c r="A198" s="1383"/>
      <c r="B198" s="807" t="s">
        <v>561</v>
      </c>
      <c r="C198" s="807"/>
      <c r="D198" s="1358">
        <v>800</v>
      </c>
    </row>
    <row r="199" spans="1:4" s="571" customFormat="1" ht="12" customHeight="1">
      <c r="A199" s="1383"/>
      <c r="B199" s="807" t="s">
        <v>554</v>
      </c>
      <c r="C199" s="807"/>
      <c r="D199" s="1358">
        <v>1500</v>
      </c>
    </row>
    <row r="200" spans="1:4" s="569" customFormat="1" ht="13.5" customHeight="1" hidden="1">
      <c r="A200" s="1383"/>
      <c r="B200" s="807"/>
      <c r="C200" s="807"/>
      <c r="D200" s="1358"/>
    </row>
    <row r="201" spans="1:4" s="571" customFormat="1" ht="13.5" customHeight="1">
      <c r="A201" s="1383"/>
      <c r="B201" s="807" t="s">
        <v>555</v>
      </c>
      <c r="C201" s="807"/>
      <c r="D201" s="1358">
        <v>3000</v>
      </c>
    </row>
    <row r="202" spans="1:4" s="571" customFormat="1" ht="13.5" customHeight="1">
      <c r="A202" s="1383"/>
      <c r="B202" s="807" t="s">
        <v>567</v>
      </c>
      <c r="C202" s="807"/>
      <c r="D202" s="1358">
        <v>500</v>
      </c>
    </row>
    <row r="203" spans="1:4" s="571" customFormat="1" ht="13.5" customHeight="1">
      <c r="A203" s="1383"/>
      <c r="B203" s="807" t="s">
        <v>562</v>
      </c>
      <c r="C203" s="807"/>
      <c r="D203" s="1358">
        <v>400</v>
      </c>
    </row>
    <row r="204" spans="1:4" s="571" customFormat="1" ht="13.5" customHeight="1">
      <c r="A204" s="1383"/>
      <c r="B204" s="807" t="s">
        <v>573</v>
      </c>
      <c r="C204" s="807"/>
      <c r="D204" s="1358">
        <v>600</v>
      </c>
    </row>
    <row r="205" spans="1:4" s="571" customFormat="1" ht="13.5" customHeight="1">
      <c r="A205" s="1383"/>
      <c r="B205" s="807" t="s">
        <v>556</v>
      </c>
      <c r="C205" s="807"/>
      <c r="D205" s="1358">
        <v>5620</v>
      </c>
    </row>
    <row r="206" spans="1:4" s="571" customFormat="1" ht="13.5" customHeight="1">
      <c r="A206" s="1383"/>
      <c r="B206" s="807" t="s">
        <v>563</v>
      </c>
      <c r="C206" s="807"/>
      <c r="D206" s="1358">
        <v>800</v>
      </c>
    </row>
    <row r="207" spans="1:4" s="571" customFormat="1" ht="13.5" customHeight="1">
      <c r="A207" s="1383"/>
      <c r="B207" s="807" t="s">
        <v>557</v>
      </c>
      <c r="C207" s="807"/>
      <c r="D207" s="1358">
        <v>600</v>
      </c>
    </row>
    <row r="208" spans="1:4" s="571" customFormat="1" ht="13.5" customHeight="1">
      <c r="A208" s="1383"/>
      <c r="B208" s="807" t="s">
        <v>558</v>
      </c>
      <c r="C208" s="807"/>
      <c r="D208" s="1358">
        <v>1000</v>
      </c>
    </row>
    <row r="209" spans="1:4" s="571" customFormat="1" ht="13.5" customHeight="1">
      <c r="A209" s="1384"/>
      <c r="B209" s="1031" t="s">
        <v>559</v>
      </c>
      <c r="C209" s="799"/>
      <c r="D209" s="1362">
        <v>1400</v>
      </c>
    </row>
    <row r="210" spans="1:4" s="571" customFormat="1" ht="18.75" customHeight="1">
      <c r="A210" s="1334">
        <v>4300</v>
      </c>
      <c r="B210" s="1335" t="s">
        <v>577</v>
      </c>
      <c r="C210" s="807"/>
      <c r="D210" s="1352">
        <f>SUM(D211:D216)</f>
        <v>4400</v>
      </c>
    </row>
    <row r="211" spans="1:4" s="571" customFormat="1" ht="13.5" customHeight="1">
      <c r="A211" s="1334"/>
      <c r="B211" s="807" t="s">
        <v>561</v>
      </c>
      <c r="C211" s="807"/>
      <c r="D211" s="1358">
        <v>500</v>
      </c>
    </row>
    <row r="212" spans="1:4" s="571" customFormat="1" ht="13.5" customHeight="1">
      <c r="A212" s="1334"/>
      <c r="B212" s="807" t="s">
        <v>554</v>
      </c>
      <c r="C212" s="807"/>
      <c r="D212" s="1358">
        <v>700</v>
      </c>
    </row>
    <row r="213" spans="1:4" s="571" customFormat="1" ht="13.5" customHeight="1">
      <c r="A213" s="1334"/>
      <c r="B213" s="807" t="s">
        <v>562</v>
      </c>
      <c r="C213" s="807"/>
      <c r="D213" s="1358">
        <v>300</v>
      </c>
    </row>
    <row r="214" spans="1:4" s="571" customFormat="1" ht="13.5" customHeight="1">
      <c r="A214" s="1334"/>
      <c r="B214" s="553" t="s">
        <v>565</v>
      </c>
      <c r="C214" s="807"/>
      <c r="D214" s="1358">
        <v>1400</v>
      </c>
    </row>
    <row r="215" spans="1:4" s="571" customFormat="1" ht="13.5" customHeight="1">
      <c r="A215" s="1334"/>
      <c r="B215" s="553" t="s">
        <v>569</v>
      </c>
      <c r="C215" s="807"/>
      <c r="D215" s="1358">
        <v>1200</v>
      </c>
    </row>
    <row r="216" spans="1:4" s="571" customFormat="1" ht="13.5" customHeight="1">
      <c r="A216" s="1360"/>
      <c r="B216" s="807" t="s">
        <v>563</v>
      </c>
      <c r="C216" s="799"/>
      <c r="D216" s="1362">
        <v>300</v>
      </c>
    </row>
    <row r="217" spans="1:4" s="1306" customFormat="1" ht="13.5" customHeight="1">
      <c r="A217" s="1375">
        <v>4430</v>
      </c>
      <c r="B217" s="1385" t="s">
        <v>582</v>
      </c>
      <c r="C217" s="1385"/>
      <c r="D217" s="1386">
        <f>SUM(D218:D218)</f>
        <v>100</v>
      </c>
    </row>
    <row r="218" spans="1:4" s="571" customFormat="1" ht="13.5" customHeight="1" thickBot="1">
      <c r="A218" s="851"/>
      <c r="B218" s="1060" t="s">
        <v>557</v>
      </c>
      <c r="C218" s="1060"/>
      <c r="D218" s="1387">
        <v>100</v>
      </c>
    </row>
    <row r="219" spans="1:4" s="578" customFormat="1" ht="21.75" customHeight="1" thickBot="1" thickTop="1">
      <c r="A219" s="1388"/>
      <c r="B219" s="1389" t="s">
        <v>588</v>
      </c>
      <c r="C219" s="1390"/>
      <c r="D219" s="1391">
        <f>D8+D17+D30+D110+D117+D137+D155+D175+D195</f>
        <v>531000</v>
      </c>
    </row>
    <row r="220" spans="1:4" ht="13.5" thickTop="1">
      <c r="A220" s="4"/>
      <c r="B220" s="4"/>
      <c r="C220" s="4"/>
      <c r="D220" s="4"/>
    </row>
    <row r="221" spans="1:4" ht="12.75">
      <c r="A221" s="152"/>
      <c r="B221" s="4"/>
      <c r="C221" s="4"/>
      <c r="D221" s="4"/>
    </row>
    <row r="222" spans="1:4" ht="12.75">
      <c r="A222" s="152"/>
      <c r="B222" s="4"/>
      <c r="C222" s="4"/>
      <c r="D222" s="4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1429"/>
  <sheetViews>
    <sheetView workbookViewId="0" topLeftCell="A1">
      <selection activeCell="H2" sqref="H2"/>
    </sheetView>
  </sheetViews>
  <sheetFormatPr defaultColWidth="9.00390625" defaultRowHeight="12.75"/>
  <cols>
    <col min="1" max="1" width="6.875" style="0" customWidth="1"/>
    <col min="2" max="2" width="28.125" style="0" customWidth="1"/>
    <col min="3" max="4" width="11.125" style="1758" customWidth="1"/>
    <col min="5" max="5" width="11.125" style="1758" hidden="1" customWidth="1"/>
    <col min="6" max="6" width="11.125" style="1758" customWidth="1"/>
    <col min="7" max="8" width="7.00390625" style="1759" customWidth="1"/>
    <col min="9" max="9" width="7.25390625" style="1759" customWidth="1"/>
    <col min="10" max="10" width="11.375" style="1758" customWidth="1"/>
    <col min="11" max="11" width="9.25390625" style="1758" hidden="1" customWidth="1"/>
    <col min="12" max="12" width="8.625" style="1758" hidden="1" customWidth="1"/>
    <col min="13" max="13" width="8.375" style="1758" hidden="1" customWidth="1"/>
    <col min="14" max="14" width="8.125" style="1758" hidden="1" customWidth="1"/>
    <col min="15" max="15" width="6.00390625" style="1758" hidden="1" customWidth="1"/>
    <col min="16" max="16" width="10.875" style="1758" customWidth="1"/>
    <col min="17" max="17" width="5.125" style="1759" hidden="1" customWidth="1"/>
    <col min="18" max="18" width="11.625" style="1758" customWidth="1"/>
    <col min="19" max="19" width="9.875" style="1758" hidden="1" customWidth="1"/>
    <col min="20" max="20" width="10.875" style="1758" hidden="1" customWidth="1"/>
    <col min="21" max="21" width="8.25390625" style="1758" hidden="1" customWidth="1"/>
    <col min="22" max="22" width="8.00390625" style="1758" hidden="1" customWidth="1"/>
    <col min="23" max="23" width="10.875" style="1758" bestFit="1" customWidth="1"/>
    <col min="24" max="24" width="5.25390625" style="1628" hidden="1" customWidth="1"/>
    <col min="25" max="25" width="14.875" style="0" customWidth="1"/>
    <col min="26" max="28" width="10.125" style="0" customWidth="1"/>
  </cols>
  <sheetData>
    <row r="1" spans="1:24" ht="12.75">
      <c r="A1" s="4"/>
      <c r="B1" s="4"/>
      <c r="C1" s="1392"/>
      <c r="D1" s="1392"/>
      <c r="E1" s="1392"/>
      <c r="F1" s="1392"/>
      <c r="G1" s="1393"/>
      <c r="H1" s="1393"/>
      <c r="I1" s="1393"/>
      <c r="J1" s="1392"/>
      <c r="K1" s="1392"/>
      <c r="L1" s="1392"/>
      <c r="M1" s="1392"/>
      <c r="N1" s="1392"/>
      <c r="O1" s="1392"/>
      <c r="P1" s="1392"/>
      <c r="Q1" s="1393"/>
      <c r="R1" s="1392"/>
      <c r="S1" s="1392"/>
      <c r="T1" s="1392"/>
      <c r="U1" s="1392"/>
      <c r="V1" s="1392"/>
      <c r="W1" s="1392"/>
      <c r="X1" s="1394"/>
    </row>
    <row r="2" spans="1:24" ht="12.75">
      <c r="A2" s="4"/>
      <c r="B2" s="4"/>
      <c r="C2" s="1392"/>
      <c r="D2" s="1392"/>
      <c r="E2" s="1392"/>
      <c r="F2" s="1392"/>
      <c r="G2" s="1393"/>
      <c r="H2" s="1393"/>
      <c r="I2" s="1393"/>
      <c r="J2" s="1392"/>
      <c r="K2" s="1392"/>
      <c r="L2" s="1392"/>
      <c r="M2" s="1392"/>
      <c r="N2" s="1392"/>
      <c r="O2" s="1392"/>
      <c r="P2" s="1392"/>
      <c r="Q2" s="1393"/>
      <c r="R2" s="1392"/>
      <c r="S2" s="1392"/>
      <c r="T2" s="1392"/>
      <c r="U2" s="1392"/>
      <c r="V2" s="1392"/>
      <c r="W2" s="1392"/>
      <c r="X2" s="1394"/>
    </row>
    <row r="3" spans="1:24" ht="15.75">
      <c r="A3" s="577" t="s">
        <v>589</v>
      </c>
      <c r="B3" s="4"/>
      <c r="C3" s="1392"/>
      <c r="D3" s="1392"/>
      <c r="E3" s="1392"/>
      <c r="F3" s="1392"/>
      <c r="G3" s="1393"/>
      <c r="H3" s="1393"/>
      <c r="I3" s="1393"/>
      <c r="J3" s="1392"/>
      <c r="K3" s="1392"/>
      <c r="L3" s="1392"/>
      <c r="M3" s="1392"/>
      <c r="N3" s="1392"/>
      <c r="O3" s="1392"/>
      <c r="P3" s="1392"/>
      <c r="Q3" s="1393"/>
      <c r="R3" s="1392" t="s">
        <v>590</v>
      </c>
      <c r="S3" s="1392"/>
      <c r="T3" s="1392"/>
      <c r="U3" s="1392"/>
      <c r="V3" s="1392"/>
      <c r="W3" s="1392"/>
      <c r="X3" s="1394"/>
    </row>
    <row r="4" spans="1:24" ht="13.5" thickBot="1">
      <c r="A4" s="580"/>
      <c r="B4" s="4"/>
      <c r="C4" s="1392"/>
      <c r="D4" s="1392"/>
      <c r="E4" s="1392"/>
      <c r="F4" s="1392"/>
      <c r="G4" s="1393"/>
      <c r="H4" s="1393"/>
      <c r="I4" s="1393"/>
      <c r="J4" s="1392"/>
      <c r="K4" s="1392"/>
      <c r="L4" s="1392"/>
      <c r="M4" s="1392"/>
      <c r="N4" s="1392"/>
      <c r="O4" s="1392"/>
      <c r="P4" s="1392"/>
      <c r="Q4" s="1393"/>
      <c r="R4" s="1392"/>
      <c r="S4" s="1392"/>
      <c r="T4" s="1392"/>
      <c r="U4" s="1392"/>
      <c r="V4" s="1392"/>
      <c r="W4" s="1392"/>
      <c r="X4" s="1394"/>
    </row>
    <row r="5" spans="1:24" ht="13.5" thickTop="1">
      <c r="A5" s="1395"/>
      <c r="B5" s="1396"/>
      <c r="C5" s="1397" t="s">
        <v>591</v>
      </c>
      <c r="D5" s="1398"/>
      <c r="E5" s="1399"/>
      <c r="F5" s="1399" t="s">
        <v>592</v>
      </c>
      <c r="G5" s="1400"/>
      <c r="H5" s="1400"/>
      <c r="I5" s="1400"/>
      <c r="J5" s="1401" t="s">
        <v>375</v>
      </c>
      <c r="K5" s="1402"/>
      <c r="L5" s="1402"/>
      <c r="M5" s="1402"/>
      <c r="N5" s="1402"/>
      <c r="O5" s="1402"/>
      <c r="P5" s="1403"/>
      <c r="Q5" s="1402"/>
      <c r="R5" s="1404" t="s">
        <v>388</v>
      </c>
      <c r="S5" s="1405"/>
      <c r="T5" s="1405"/>
      <c r="U5" s="1405"/>
      <c r="V5" s="1405"/>
      <c r="W5" s="1406"/>
      <c r="X5" s="1407"/>
    </row>
    <row r="6" spans="1:28" ht="56.25" customHeight="1" thickBot="1">
      <c r="A6" s="1408" t="s">
        <v>593</v>
      </c>
      <c r="B6" s="1409" t="s">
        <v>594</v>
      </c>
      <c r="C6" s="1410" t="s">
        <v>595</v>
      </c>
      <c r="D6" s="1410" t="s">
        <v>596</v>
      </c>
      <c r="E6" s="1411" t="s">
        <v>597</v>
      </c>
      <c r="F6" s="1412" t="s">
        <v>598</v>
      </c>
      <c r="G6" s="1413" t="s">
        <v>599</v>
      </c>
      <c r="H6" s="1414" t="s">
        <v>600</v>
      </c>
      <c r="I6" s="1414" t="s">
        <v>601</v>
      </c>
      <c r="J6" s="1415" t="s">
        <v>602</v>
      </c>
      <c r="K6" s="1410" t="s">
        <v>603</v>
      </c>
      <c r="L6" s="1410" t="s">
        <v>604</v>
      </c>
      <c r="M6" s="1410" t="s">
        <v>605</v>
      </c>
      <c r="N6" s="1410" t="s">
        <v>606</v>
      </c>
      <c r="O6" s="1410"/>
      <c r="P6" s="1416" t="s">
        <v>607</v>
      </c>
      <c r="Q6" s="1417" t="s">
        <v>608</v>
      </c>
      <c r="R6" s="1415" t="s">
        <v>609</v>
      </c>
      <c r="S6" s="1410" t="s">
        <v>603</v>
      </c>
      <c r="T6" s="1410" t="s">
        <v>604</v>
      </c>
      <c r="U6" s="1410" t="s">
        <v>610</v>
      </c>
      <c r="V6" s="1410" t="s">
        <v>606</v>
      </c>
      <c r="W6" s="1416" t="s">
        <v>607</v>
      </c>
      <c r="X6" s="1418" t="s">
        <v>611</v>
      </c>
      <c r="Z6" s="1419" t="s">
        <v>1313</v>
      </c>
      <c r="AA6" s="1419" t="s">
        <v>1314</v>
      </c>
      <c r="AB6" s="1419" t="s">
        <v>588</v>
      </c>
    </row>
    <row r="7" spans="1:26" s="571" customFormat="1" ht="14.25" thickBot="1" thickTop="1">
      <c r="A7" s="1420">
        <v>1</v>
      </c>
      <c r="B7" s="1421">
        <v>2</v>
      </c>
      <c r="C7" s="1422">
        <v>3</v>
      </c>
      <c r="D7" s="1422">
        <v>4</v>
      </c>
      <c r="E7" s="1423">
        <v>5</v>
      </c>
      <c r="F7" s="1424">
        <v>5</v>
      </c>
      <c r="G7" s="1425">
        <v>6</v>
      </c>
      <c r="H7" s="1426">
        <v>7</v>
      </c>
      <c r="I7" s="1426">
        <v>8</v>
      </c>
      <c r="J7" s="1427">
        <v>9</v>
      </c>
      <c r="K7" s="1422">
        <v>10</v>
      </c>
      <c r="L7" s="1422">
        <v>11</v>
      </c>
      <c r="M7" s="1422">
        <v>12</v>
      </c>
      <c r="N7" s="1422">
        <v>13</v>
      </c>
      <c r="O7" s="1422"/>
      <c r="P7" s="1428">
        <v>10</v>
      </c>
      <c r="Q7" s="1429">
        <v>15</v>
      </c>
      <c r="R7" s="1427">
        <v>11</v>
      </c>
      <c r="S7" s="1422">
        <v>17</v>
      </c>
      <c r="T7" s="1422">
        <v>18</v>
      </c>
      <c r="U7" s="1422">
        <v>19</v>
      </c>
      <c r="V7" s="1422">
        <v>20</v>
      </c>
      <c r="W7" s="1428">
        <v>12</v>
      </c>
      <c r="X7" s="1430">
        <v>22</v>
      </c>
      <c r="Z7" s="1431" t="s">
        <v>612</v>
      </c>
    </row>
    <row r="8" spans="1:25" s="581" customFormat="1" ht="18.75" customHeight="1" thickBot="1" thickTop="1">
      <c r="A8" s="1432" t="s">
        <v>613</v>
      </c>
      <c r="B8" s="1433" t="s">
        <v>614</v>
      </c>
      <c r="C8" s="1434">
        <f>C9+C11+C29</f>
        <v>1600</v>
      </c>
      <c r="D8" s="1434">
        <f>D9+D11+D29</f>
        <v>1600</v>
      </c>
      <c r="E8" s="1435">
        <f aca="true" t="shared" si="0" ref="E8:P8">E9+E11+E29</f>
        <v>1600</v>
      </c>
      <c r="F8" s="1436">
        <f t="shared" si="0"/>
        <v>1600</v>
      </c>
      <c r="G8" s="1437">
        <f>F8/C8*100</f>
        <v>100</v>
      </c>
      <c r="H8" s="1438">
        <f>F8/D8*100</f>
        <v>100</v>
      </c>
      <c r="I8" s="1439">
        <f>F8/F$1426*100</f>
        <v>0.0005835487305916753</v>
      </c>
      <c r="J8" s="1440">
        <f t="shared" si="0"/>
        <v>1600</v>
      </c>
      <c r="K8" s="1434">
        <f t="shared" si="0"/>
        <v>1600</v>
      </c>
      <c r="L8" s="1434">
        <f t="shared" si="0"/>
        <v>0</v>
      </c>
      <c r="M8" s="1434">
        <f t="shared" si="0"/>
        <v>0</v>
      </c>
      <c r="N8" s="1434">
        <f t="shared" si="0"/>
        <v>0</v>
      </c>
      <c r="O8" s="1434"/>
      <c r="P8" s="1441">
        <f t="shared" si="0"/>
        <v>1600</v>
      </c>
      <c r="Q8" s="1442">
        <f>P8/J8*100</f>
        <v>100</v>
      </c>
      <c r="R8" s="1440"/>
      <c r="S8" s="1434"/>
      <c r="T8" s="1434"/>
      <c r="U8" s="1434"/>
      <c r="V8" s="1434"/>
      <c r="W8" s="1441"/>
      <c r="X8" s="1443"/>
      <c r="Y8" s="1444"/>
    </row>
    <row r="9" spans="1:25" s="581" customFormat="1" ht="33" customHeight="1" hidden="1">
      <c r="A9" s="1445" t="s">
        <v>615</v>
      </c>
      <c r="B9" s="1446" t="s">
        <v>616</v>
      </c>
      <c r="C9" s="1447">
        <f>C10</f>
        <v>0</v>
      </c>
      <c r="D9" s="1447">
        <f aca="true" t="shared" si="1" ref="D9:Q9">D10</f>
        <v>0</v>
      </c>
      <c r="E9" s="1448">
        <f t="shared" si="1"/>
        <v>0</v>
      </c>
      <c r="F9" s="1449">
        <f t="shared" si="1"/>
        <v>0</v>
      </c>
      <c r="G9" s="1437" t="e">
        <f aca="true" t="shared" si="2" ref="G9:G72">F9/C9*100</f>
        <v>#DIV/0!</v>
      </c>
      <c r="H9" s="1438" t="e">
        <f aca="true" t="shared" si="3" ref="H9:H72">F9/D9*100</f>
        <v>#DIV/0!</v>
      </c>
      <c r="I9" s="1450"/>
      <c r="J9" s="1451">
        <f t="shared" si="1"/>
        <v>0</v>
      </c>
      <c r="K9" s="1447">
        <f t="shared" si="1"/>
        <v>0</v>
      </c>
      <c r="L9" s="1447">
        <f t="shared" si="1"/>
        <v>0</v>
      </c>
      <c r="M9" s="1447">
        <f t="shared" si="1"/>
        <v>0</v>
      </c>
      <c r="N9" s="1447">
        <f t="shared" si="1"/>
        <v>0</v>
      </c>
      <c r="O9" s="1447"/>
      <c r="P9" s="1452">
        <f t="shared" si="1"/>
        <v>0</v>
      </c>
      <c r="Q9" s="1453">
        <f t="shared" si="1"/>
        <v>0</v>
      </c>
      <c r="R9" s="1451"/>
      <c r="S9" s="1447"/>
      <c r="T9" s="1447"/>
      <c r="U9" s="1447"/>
      <c r="V9" s="1447"/>
      <c r="W9" s="1452"/>
      <c r="X9" s="1454"/>
      <c r="Y9" s="1444"/>
    </row>
    <row r="10" spans="1:25" ht="23.25" customHeight="1" hidden="1">
      <c r="A10" s="1455" t="s">
        <v>617</v>
      </c>
      <c r="B10" s="1456" t="s">
        <v>618</v>
      </c>
      <c r="C10" s="1457"/>
      <c r="D10" s="1457"/>
      <c r="E10" s="1458"/>
      <c r="F10" s="1459"/>
      <c r="G10" s="1437" t="e">
        <f t="shared" si="2"/>
        <v>#DIV/0!</v>
      </c>
      <c r="H10" s="1438" t="e">
        <f t="shared" si="3"/>
        <v>#DIV/0!</v>
      </c>
      <c r="I10" s="1460"/>
      <c r="J10" s="1461"/>
      <c r="K10" s="1457"/>
      <c r="L10" s="1457"/>
      <c r="M10" s="1457"/>
      <c r="N10" s="1457"/>
      <c r="O10" s="1457"/>
      <c r="P10" s="1462"/>
      <c r="Q10" s="1463"/>
      <c r="R10" s="1461"/>
      <c r="S10" s="1457"/>
      <c r="T10" s="1457"/>
      <c r="U10" s="1457"/>
      <c r="V10" s="1457"/>
      <c r="W10" s="1462"/>
      <c r="X10" s="1464"/>
      <c r="Y10" s="1444"/>
    </row>
    <row r="11" spans="1:25" s="581" customFormat="1" ht="24.75" customHeight="1" hidden="1">
      <c r="A11" s="1465" t="s">
        <v>619</v>
      </c>
      <c r="B11" s="1466" t="s">
        <v>620</v>
      </c>
      <c r="C11" s="1467">
        <f>SUM(C12:C28)</f>
        <v>0</v>
      </c>
      <c r="D11" s="1467">
        <f>SUM(D12:D28)</f>
        <v>0</v>
      </c>
      <c r="E11" s="1468">
        <f>SUM(E12:E28)</f>
        <v>0</v>
      </c>
      <c r="F11" s="1469">
        <f>SUM(F12:F28)</f>
        <v>0</v>
      </c>
      <c r="G11" s="1437" t="e">
        <f t="shared" si="2"/>
        <v>#DIV/0!</v>
      </c>
      <c r="H11" s="1438" t="e">
        <f t="shared" si="3"/>
        <v>#DIV/0!</v>
      </c>
      <c r="I11" s="1460"/>
      <c r="J11" s="1470">
        <f>J12+J13+J14+J15+J16+J17+J18+J19+J20+J21+J22+J23+J24+J25+J26+J27+J28</f>
        <v>0</v>
      </c>
      <c r="K11" s="1467">
        <f>K12+K13+K14+K15+K16+K17+K18+K19+K20+K21+K22+K23+K24+K25+K26+K27+K28</f>
        <v>0</v>
      </c>
      <c r="L11" s="1467">
        <f>L12+L13+L14+L15+L16+L17+L18+L19+L20+L21+L22+L23+L24+L25+L26+L27+L28</f>
        <v>0</v>
      </c>
      <c r="M11" s="1467">
        <f>M12+M13+M14+M15+M16+M17+M18+M19+M20+M21+M22+M23+M24+M25+M26+M27+M28</f>
        <v>0</v>
      </c>
      <c r="N11" s="1467">
        <f>N12+N13+N14+N15+N16+N17+N18+N19+N20+N21+N22+N23+N24+N25+N26+N27+N28</f>
        <v>0</v>
      </c>
      <c r="O11" s="1467"/>
      <c r="P11" s="1471">
        <f>P12+P13+P14+P15+P16+P17+P18+P19+P20+P21+P22+P23+P24+P25+P26+P27+P28</f>
        <v>0</v>
      </c>
      <c r="Q11" s="1472" t="e">
        <f aca="true" t="shared" si="4" ref="Q11:Q37">P11/J11*100</f>
        <v>#DIV/0!</v>
      </c>
      <c r="R11" s="1470"/>
      <c r="S11" s="1467"/>
      <c r="T11" s="1467"/>
      <c r="U11" s="1467"/>
      <c r="V11" s="1467"/>
      <c r="W11" s="1471"/>
      <c r="X11" s="1473"/>
      <c r="Y11" s="1444"/>
    </row>
    <row r="12" spans="1:25" ht="39.75" customHeight="1" hidden="1">
      <c r="A12" s="1455" t="s">
        <v>621</v>
      </c>
      <c r="B12" s="1456" t="s">
        <v>622</v>
      </c>
      <c r="C12" s="1457"/>
      <c r="D12" s="1457">
        <f>J12+R12</f>
        <v>0</v>
      </c>
      <c r="E12" s="1458"/>
      <c r="F12" s="1459">
        <f>P12+W12</f>
        <v>0</v>
      </c>
      <c r="G12" s="1437" t="e">
        <f t="shared" si="2"/>
        <v>#DIV/0!</v>
      </c>
      <c r="H12" s="1438" t="e">
        <f t="shared" si="3"/>
        <v>#DIV/0!</v>
      </c>
      <c r="I12" s="1460"/>
      <c r="J12" s="1461"/>
      <c r="K12" s="1457"/>
      <c r="L12" s="1457"/>
      <c r="M12" s="1457"/>
      <c r="N12" s="1457"/>
      <c r="O12" s="1457"/>
      <c r="P12" s="1462">
        <f>SUM(K12:N12)</f>
        <v>0</v>
      </c>
      <c r="Q12" s="1463" t="e">
        <f t="shared" si="4"/>
        <v>#DIV/0!</v>
      </c>
      <c r="R12" s="1461"/>
      <c r="S12" s="1457"/>
      <c r="T12" s="1457"/>
      <c r="U12" s="1457"/>
      <c r="V12" s="1457"/>
      <c r="W12" s="1462"/>
      <c r="X12" s="1464"/>
      <c r="Y12" s="1444"/>
    </row>
    <row r="13" spans="1:25" ht="37.5" customHeight="1" hidden="1">
      <c r="A13" s="1455" t="s">
        <v>623</v>
      </c>
      <c r="B13" s="1456" t="s">
        <v>624</v>
      </c>
      <c r="C13" s="1457"/>
      <c r="D13" s="1457">
        <f aca="true" t="shared" si="5" ref="D13:D28">J13+R13</f>
        <v>0</v>
      </c>
      <c r="E13" s="1458"/>
      <c r="F13" s="1459">
        <f aca="true" t="shared" si="6" ref="F13:F28">P13+W13</f>
        <v>0</v>
      </c>
      <c r="G13" s="1437" t="e">
        <f t="shared" si="2"/>
        <v>#DIV/0!</v>
      </c>
      <c r="H13" s="1438" t="e">
        <f t="shared" si="3"/>
        <v>#DIV/0!</v>
      </c>
      <c r="I13" s="1460"/>
      <c r="J13" s="1461"/>
      <c r="K13" s="1457"/>
      <c r="L13" s="1457"/>
      <c r="M13" s="1457"/>
      <c r="N13" s="1457"/>
      <c r="O13" s="1457"/>
      <c r="P13" s="1462">
        <f aca="true" t="shared" si="7" ref="P13:P28">SUM(K13:N13)</f>
        <v>0</v>
      </c>
      <c r="Q13" s="1463" t="e">
        <f t="shared" si="4"/>
        <v>#DIV/0!</v>
      </c>
      <c r="R13" s="1461"/>
      <c r="S13" s="1457"/>
      <c r="T13" s="1457"/>
      <c r="U13" s="1457"/>
      <c r="V13" s="1457"/>
      <c r="W13" s="1462"/>
      <c r="X13" s="1464"/>
      <c r="Y13" s="1444"/>
    </row>
    <row r="14" spans="1:25" ht="34.5" customHeight="1" hidden="1">
      <c r="A14" s="1455" t="s">
        <v>625</v>
      </c>
      <c r="B14" s="1456" t="s">
        <v>626</v>
      </c>
      <c r="C14" s="1457"/>
      <c r="D14" s="1457">
        <f t="shared" si="5"/>
        <v>0</v>
      </c>
      <c r="E14" s="1458"/>
      <c r="F14" s="1459">
        <f t="shared" si="6"/>
        <v>0</v>
      </c>
      <c r="G14" s="1437" t="e">
        <f t="shared" si="2"/>
        <v>#DIV/0!</v>
      </c>
      <c r="H14" s="1438" t="e">
        <f t="shared" si="3"/>
        <v>#DIV/0!</v>
      </c>
      <c r="I14" s="1460"/>
      <c r="J14" s="1461"/>
      <c r="K14" s="1457"/>
      <c r="L14" s="1457"/>
      <c r="M14" s="1457"/>
      <c r="N14" s="1457"/>
      <c r="O14" s="1457"/>
      <c r="P14" s="1462">
        <f t="shared" si="7"/>
        <v>0</v>
      </c>
      <c r="Q14" s="1463" t="e">
        <f t="shared" si="4"/>
        <v>#DIV/0!</v>
      </c>
      <c r="R14" s="1461"/>
      <c r="S14" s="1457"/>
      <c r="T14" s="1457"/>
      <c r="U14" s="1457"/>
      <c r="V14" s="1457"/>
      <c r="W14" s="1462"/>
      <c r="X14" s="1464"/>
      <c r="Y14" s="1444"/>
    </row>
    <row r="15" spans="1:25" ht="36.75" customHeight="1" hidden="1">
      <c r="A15" s="1455" t="s">
        <v>627</v>
      </c>
      <c r="B15" s="1456" t="s">
        <v>628</v>
      </c>
      <c r="C15" s="1457"/>
      <c r="D15" s="1457">
        <f t="shared" si="5"/>
        <v>0</v>
      </c>
      <c r="E15" s="1458"/>
      <c r="F15" s="1459">
        <f t="shared" si="6"/>
        <v>0</v>
      </c>
      <c r="G15" s="1437" t="e">
        <f t="shared" si="2"/>
        <v>#DIV/0!</v>
      </c>
      <c r="H15" s="1438" t="e">
        <f t="shared" si="3"/>
        <v>#DIV/0!</v>
      </c>
      <c r="I15" s="1460"/>
      <c r="J15" s="1461"/>
      <c r="K15" s="1457"/>
      <c r="L15" s="1457"/>
      <c r="M15" s="1457"/>
      <c r="N15" s="1457"/>
      <c r="O15" s="1457"/>
      <c r="P15" s="1462">
        <f t="shared" si="7"/>
        <v>0</v>
      </c>
      <c r="Q15" s="1463" t="e">
        <f t="shared" si="4"/>
        <v>#DIV/0!</v>
      </c>
      <c r="R15" s="1461"/>
      <c r="S15" s="1457"/>
      <c r="T15" s="1457"/>
      <c r="U15" s="1457"/>
      <c r="V15" s="1457"/>
      <c r="W15" s="1462"/>
      <c r="X15" s="1464"/>
      <c r="Y15" s="1444"/>
    </row>
    <row r="16" spans="1:25" ht="30" customHeight="1" hidden="1">
      <c r="A16" s="1455" t="s">
        <v>629</v>
      </c>
      <c r="B16" s="1456" t="s">
        <v>630</v>
      </c>
      <c r="C16" s="1457"/>
      <c r="D16" s="1457">
        <f t="shared" si="5"/>
        <v>0</v>
      </c>
      <c r="E16" s="1458"/>
      <c r="F16" s="1459">
        <f t="shared" si="6"/>
        <v>0</v>
      </c>
      <c r="G16" s="1437" t="e">
        <f t="shared" si="2"/>
        <v>#DIV/0!</v>
      </c>
      <c r="H16" s="1438" t="e">
        <f t="shared" si="3"/>
        <v>#DIV/0!</v>
      </c>
      <c r="I16" s="1460"/>
      <c r="J16" s="1461"/>
      <c r="K16" s="1457"/>
      <c r="L16" s="1457"/>
      <c r="M16" s="1457"/>
      <c r="N16" s="1457"/>
      <c r="O16" s="1457"/>
      <c r="P16" s="1462">
        <f t="shared" si="7"/>
        <v>0</v>
      </c>
      <c r="Q16" s="1463" t="e">
        <f t="shared" si="4"/>
        <v>#DIV/0!</v>
      </c>
      <c r="R16" s="1461"/>
      <c r="S16" s="1457"/>
      <c r="T16" s="1457"/>
      <c r="U16" s="1457"/>
      <c r="V16" s="1457"/>
      <c r="W16" s="1462"/>
      <c r="X16" s="1464"/>
      <c r="Y16" s="1444"/>
    </row>
    <row r="17" spans="1:25" ht="36.75" customHeight="1" hidden="1">
      <c r="A17" s="1455" t="s">
        <v>631</v>
      </c>
      <c r="B17" s="1456" t="s">
        <v>568</v>
      </c>
      <c r="C17" s="1457"/>
      <c r="D17" s="1457">
        <f t="shared" si="5"/>
        <v>0</v>
      </c>
      <c r="E17" s="1458"/>
      <c r="F17" s="1459">
        <f t="shared" si="6"/>
        <v>0</v>
      </c>
      <c r="G17" s="1437" t="e">
        <f t="shared" si="2"/>
        <v>#DIV/0!</v>
      </c>
      <c r="H17" s="1438" t="e">
        <f t="shared" si="3"/>
        <v>#DIV/0!</v>
      </c>
      <c r="I17" s="1460"/>
      <c r="J17" s="1461"/>
      <c r="K17" s="1457"/>
      <c r="L17" s="1457"/>
      <c r="M17" s="1457"/>
      <c r="N17" s="1457"/>
      <c r="O17" s="1457"/>
      <c r="P17" s="1462">
        <f t="shared" si="7"/>
        <v>0</v>
      </c>
      <c r="Q17" s="1463" t="e">
        <f t="shared" si="4"/>
        <v>#DIV/0!</v>
      </c>
      <c r="R17" s="1461"/>
      <c r="S17" s="1457"/>
      <c r="T17" s="1457"/>
      <c r="U17" s="1457"/>
      <c r="V17" s="1457"/>
      <c r="W17" s="1462"/>
      <c r="X17" s="1464"/>
      <c r="Y17" s="1444"/>
    </row>
    <row r="18" spans="1:25" ht="27.75" customHeight="1" hidden="1">
      <c r="A18" s="1455" t="s">
        <v>632</v>
      </c>
      <c r="B18" s="1456" t="s">
        <v>570</v>
      </c>
      <c r="C18" s="1457"/>
      <c r="D18" s="1457">
        <f t="shared" si="5"/>
        <v>0</v>
      </c>
      <c r="E18" s="1458"/>
      <c r="F18" s="1459">
        <f t="shared" si="6"/>
        <v>0</v>
      </c>
      <c r="G18" s="1437" t="e">
        <f t="shared" si="2"/>
        <v>#DIV/0!</v>
      </c>
      <c r="H18" s="1438" t="e">
        <f t="shared" si="3"/>
        <v>#DIV/0!</v>
      </c>
      <c r="I18" s="1460"/>
      <c r="J18" s="1461"/>
      <c r="K18" s="1457"/>
      <c r="L18" s="1457"/>
      <c r="M18" s="1457"/>
      <c r="N18" s="1457"/>
      <c r="O18" s="1457"/>
      <c r="P18" s="1462">
        <f t="shared" si="7"/>
        <v>0</v>
      </c>
      <c r="Q18" s="1463" t="e">
        <f t="shared" si="4"/>
        <v>#DIV/0!</v>
      </c>
      <c r="R18" s="1461"/>
      <c r="S18" s="1457"/>
      <c r="T18" s="1457"/>
      <c r="U18" s="1457"/>
      <c r="V18" s="1457"/>
      <c r="W18" s="1462"/>
      <c r="X18" s="1464"/>
      <c r="Y18" s="1444"/>
    </row>
    <row r="19" spans="1:25" ht="34.5" customHeight="1" hidden="1">
      <c r="A19" s="1455" t="s">
        <v>633</v>
      </c>
      <c r="B19" s="1456" t="s">
        <v>560</v>
      </c>
      <c r="C19" s="1457"/>
      <c r="D19" s="1457">
        <f t="shared" si="5"/>
        <v>0</v>
      </c>
      <c r="E19" s="1458"/>
      <c r="F19" s="1459">
        <f t="shared" si="6"/>
        <v>0</v>
      </c>
      <c r="G19" s="1437" t="e">
        <f t="shared" si="2"/>
        <v>#DIV/0!</v>
      </c>
      <c r="H19" s="1438" t="e">
        <f t="shared" si="3"/>
        <v>#DIV/0!</v>
      </c>
      <c r="I19" s="1460"/>
      <c r="J19" s="1461"/>
      <c r="K19" s="1457"/>
      <c r="L19" s="1457"/>
      <c r="M19" s="1457"/>
      <c r="N19" s="1457"/>
      <c r="O19" s="1457"/>
      <c r="P19" s="1462">
        <f t="shared" si="7"/>
        <v>0</v>
      </c>
      <c r="Q19" s="1463" t="e">
        <f t="shared" si="4"/>
        <v>#DIV/0!</v>
      </c>
      <c r="R19" s="1461"/>
      <c r="S19" s="1457"/>
      <c r="T19" s="1457"/>
      <c r="U19" s="1457"/>
      <c r="V19" s="1457"/>
      <c r="W19" s="1462"/>
      <c r="X19" s="1464"/>
      <c r="Y19" s="1444"/>
    </row>
    <row r="20" spans="1:25" ht="31.5" customHeight="1" hidden="1">
      <c r="A20" s="1455" t="s">
        <v>634</v>
      </c>
      <c r="B20" s="1456" t="s">
        <v>635</v>
      </c>
      <c r="C20" s="1457"/>
      <c r="D20" s="1457">
        <f t="shared" si="5"/>
        <v>0</v>
      </c>
      <c r="E20" s="1458"/>
      <c r="F20" s="1459">
        <f t="shared" si="6"/>
        <v>0</v>
      </c>
      <c r="G20" s="1437" t="e">
        <f t="shared" si="2"/>
        <v>#DIV/0!</v>
      </c>
      <c r="H20" s="1438" t="e">
        <f t="shared" si="3"/>
        <v>#DIV/0!</v>
      </c>
      <c r="I20" s="1460"/>
      <c r="J20" s="1461"/>
      <c r="K20" s="1457"/>
      <c r="L20" s="1457"/>
      <c r="M20" s="1457"/>
      <c r="N20" s="1457"/>
      <c r="O20" s="1457"/>
      <c r="P20" s="1462">
        <f t="shared" si="7"/>
        <v>0</v>
      </c>
      <c r="Q20" s="1463" t="e">
        <f t="shared" si="4"/>
        <v>#DIV/0!</v>
      </c>
      <c r="R20" s="1461"/>
      <c r="S20" s="1457"/>
      <c r="T20" s="1457"/>
      <c r="U20" s="1457"/>
      <c r="V20" s="1457"/>
      <c r="W20" s="1462"/>
      <c r="X20" s="1464"/>
      <c r="Y20" s="1444"/>
    </row>
    <row r="21" spans="1:25" ht="21" customHeight="1" hidden="1">
      <c r="A21" s="1455" t="s">
        <v>636</v>
      </c>
      <c r="B21" s="1456" t="s">
        <v>575</v>
      </c>
      <c r="C21" s="1457"/>
      <c r="D21" s="1457">
        <f t="shared" si="5"/>
        <v>0</v>
      </c>
      <c r="E21" s="1458"/>
      <c r="F21" s="1459">
        <f t="shared" si="6"/>
        <v>0</v>
      </c>
      <c r="G21" s="1437" t="e">
        <f t="shared" si="2"/>
        <v>#DIV/0!</v>
      </c>
      <c r="H21" s="1438" t="e">
        <f t="shared" si="3"/>
        <v>#DIV/0!</v>
      </c>
      <c r="I21" s="1460"/>
      <c r="J21" s="1461"/>
      <c r="K21" s="1457"/>
      <c r="L21" s="1457"/>
      <c r="M21" s="1457"/>
      <c r="N21" s="1457"/>
      <c r="O21" s="1457"/>
      <c r="P21" s="1462">
        <f t="shared" si="7"/>
        <v>0</v>
      </c>
      <c r="Q21" s="1463" t="e">
        <f t="shared" si="4"/>
        <v>#DIV/0!</v>
      </c>
      <c r="R21" s="1461"/>
      <c r="S21" s="1457"/>
      <c r="T21" s="1457"/>
      <c r="U21" s="1457"/>
      <c r="V21" s="1457"/>
      <c r="W21" s="1462"/>
      <c r="X21" s="1464"/>
      <c r="Y21" s="1444"/>
    </row>
    <row r="22" spans="1:25" ht="21" customHeight="1" hidden="1">
      <c r="A22" s="1455" t="s">
        <v>637</v>
      </c>
      <c r="B22" s="1456" t="s">
        <v>576</v>
      </c>
      <c r="C22" s="1457"/>
      <c r="D22" s="1457">
        <f t="shared" si="5"/>
        <v>0</v>
      </c>
      <c r="E22" s="1458"/>
      <c r="F22" s="1459">
        <f t="shared" si="6"/>
        <v>0</v>
      </c>
      <c r="G22" s="1437" t="e">
        <f t="shared" si="2"/>
        <v>#DIV/0!</v>
      </c>
      <c r="H22" s="1438" t="e">
        <f t="shared" si="3"/>
        <v>#DIV/0!</v>
      </c>
      <c r="I22" s="1460"/>
      <c r="J22" s="1461"/>
      <c r="K22" s="1457"/>
      <c r="L22" s="1457"/>
      <c r="M22" s="1457"/>
      <c r="N22" s="1457"/>
      <c r="O22" s="1457"/>
      <c r="P22" s="1462">
        <f t="shared" si="7"/>
        <v>0</v>
      </c>
      <c r="Q22" s="1463" t="e">
        <f t="shared" si="4"/>
        <v>#DIV/0!</v>
      </c>
      <c r="R22" s="1461"/>
      <c r="S22" s="1457"/>
      <c r="T22" s="1457"/>
      <c r="U22" s="1457"/>
      <c r="V22" s="1457"/>
      <c r="W22" s="1462"/>
      <c r="X22" s="1464"/>
      <c r="Y22" s="1444"/>
    </row>
    <row r="23" spans="1:25" ht="21" customHeight="1" hidden="1">
      <c r="A23" s="1455" t="s">
        <v>638</v>
      </c>
      <c r="B23" s="1456" t="s">
        <v>564</v>
      </c>
      <c r="C23" s="1457"/>
      <c r="D23" s="1457">
        <f t="shared" si="5"/>
        <v>0</v>
      </c>
      <c r="E23" s="1458"/>
      <c r="F23" s="1459">
        <f t="shared" si="6"/>
        <v>0</v>
      </c>
      <c r="G23" s="1437" t="e">
        <f t="shared" si="2"/>
        <v>#DIV/0!</v>
      </c>
      <c r="H23" s="1438" t="e">
        <f t="shared" si="3"/>
        <v>#DIV/0!</v>
      </c>
      <c r="I23" s="1460"/>
      <c r="J23" s="1461"/>
      <c r="K23" s="1457"/>
      <c r="L23" s="1457"/>
      <c r="M23" s="1457"/>
      <c r="N23" s="1457"/>
      <c r="O23" s="1457"/>
      <c r="P23" s="1462">
        <f t="shared" si="7"/>
        <v>0</v>
      </c>
      <c r="Q23" s="1463" t="e">
        <f t="shared" si="4"/>
        <v>#DIV/0!</v>
      </c>
      <c r="R23" s="1461"/>
      <c r="S23" s="1457"/>
      <c r="T23" s="1457"/>
      <c r="U23" s="1457"/>
      <c r="V23" s="1457"/>
      <c r="W23" s="1462"/>
      <c r="X23" s="1464"/>
      <c r="Y23" s="1444"/>
    </row>
    <row r="24" spans="1:25" ht="21" customHeight="1" hidden="1">
      <c r="A24" s="1455" t="s">
        <v>617</v>
      </c>
      <c r="B24" s="1456" t="s">
        <v>618</v>
      </c>
      <c r="C24" s="1457"/>
      <c r="D24" s="1457">
        <f t="shared" si="5"/>
        <v>0</v>
      </c>
      <c r="E24" s="1458"/>
      <c r="F24" s="1459">
        <f t="shared" si="6"/>
        <v>0</v>
      </c>
      <c r="G24" s="1437" t="e">
        <f t="shared" si="2"/>
        <v>#DIV/0!</v>
      </c>
      <c r="H24" s="1438" t="e">
        <f t="shared" si="3"/>
        <v>#DIV/0!</v>
      </c>
      <c r="I24" s="1460"/>
      <c r="J24" s="1461"/>
      <c r="K24" s="1457"/>
      <c r="L24" s="1457"/>
      <c r="M24" s="1457"/>
      <c r="N24" s="1457"/>
      <c r="O24" s="1457"/>
      <c r="P24" s="1462">
        <f t="shared" si="7"/>
        <v>0</v>
      </c>
      <c r="Q24" s="1463" t="e">
        <f t="shared" si="4"/>
        <v>#DIV/0!</v>
      </c>
      <c r="R24" s="1461"/>
      <c r="S24" s="1457"/>
      <c r="T24" s="1457"/>
      <c r="U24" s="1457"/>
      <c r="V24" s="1457"/>
      <c r="W24" s="1462"/>
      <c r="X24" s="1464"/>
      <c r="Y24" s="1444"/>
    </row>
    <row r="25" spans="1:25" ht="21" customHeight="1" hidden="1">
      <c r="A25" s="1455" t="s">
        <v>639</v>
      </c>
      <c r="B25" s="1456" t="s">
        <v>582</v>
      </c>
      <c r="C25" s="1457"/>
      <c r="D25" s="1457">
        <f t="shared" si="5"/>
        <v>0</v>
      </c>
      <c r="E25" s="1458"/>
      <c r="F25" s="1459">
        <f t="shared" si="6"/>
        <v>0</v>
      </c>
      <c r="G25" s="1437" t="e">
        <f t="shared" si="2"/>
        <v>#DIV/0!</v>
      </c>
      <c r="H25" s="1438" t="e">
        <f t="shared" si="3"/>
        <v>#DIV/0!</v>
      </c>
      <c r="I25" s="1460"/>
      <c r="J25" s="1461"/>
      <c r="K25" s="1457"/>
      <c r="L25" s="1457"/>
      <c r="M25" s="1457"/>
      <c r="N25" s="1457"/>
      <c r="O25" s="1457"/>
      <c r="P25" s="1462">
        <f t="shared" si="7"/>
        <v>0</v>
      </c>
      <c r="Q25" s="1463" t="e">
        <f t="shared" si="4"/>
        <v>#DIV/0!</v>
      </c>
      <c r="R25" s="1461"/>
      <c r="S25" s="1457"/>
      <c r="T25" s="1457"/>
      <c r="U25" s="1457"/>
      <c r="V25" s="1457"/>
      <c r="W25" s="1462"/>
      <c r="X25" s="1464"/>
      <c r="Y25" s="1444"/>
    </row>
    <row r="26" spans="1:25" ht="21" customHeight="1" hidden="1">
      <c r="A26" s="1455" t="s">
        <v>640</v>
      </c>
      <c r="B26" s="1456" t="s">
        <v>641</v>
      </c>
      <c r="C26" s="1457"/>
      <c r="D26" s="1457">
        <f t="shared" si="5"/>
        <v>0</v>
      </c>
      <c r="E26" s="1458"/>
      <c r="F26" s="1459">
        <f t="shared" si="6"/>
        <v>0</v>
      </c>
      <c r="G26" s="1437" t="e">
        <f t="shared" si="2"/>
        <v>#DIV/0!</v>
      </c>
      <c r="H26" s="1438" t="e">
        <f t="shared" si="3"/>
        <v>#DIV/0!</v>
      </c>
      <c r="I26" s="1460"/>
      <c r="J26" s="1461"/>
      <c r="K26" s="1457"/>
      <c r="L26" s="1457"/>
      <c r="M26" s="1457"/>
      <c r="N26" s="1457"/>
      <c r="O26" s="1457"/>
      <c r="P26" s="1462">
        <f t="shared" si="7"/>
        <v>0</v>
      </c>
      <c r="Q26" s="1463" t="e">
        <f t="shared" si="4"/>
        <v>#DIV/0!</v>
      </c>
      <c r="R26" s="1461"/>
      <c r="S26" s="1457"/>
      <c r="T26" s="1457"/>
      <c r="U26" s="1457"/>
      <c r="V26" s="1457"/>
      <c r="W26" s="1462"/>
      <c r="X26" s="1464"/>
      <c r="Y26" s="1444"/>
    </row>
    <row r="27" spans="1:25" ht="21" customHeight="1" hidden="1">
      <c r="A27" s="1455" t="s">
        <v>642</v>
      </c>
      <c r="B27" s="1456" t="s">
        <v>1327</v>
      </c>
      <c r="C27" s="1457"/>
      <c r="D27" s="1457">
        <f t="shared" si="5"/>
        <v>0</v>
      </c>
      <c r="E27" s="1458"/>
      <c r="F27" s="1459">
        <f t="shared" si="6"/>
        <v>0</v>
      </c>
      <c r="G27" s="1437" t="e">
        <f t="shared" si="2"/>
        <v>#DIV/0!</v>
      </c>
      <c r="H27" s="1438" t="e">
        <f t="shared" si="3"/>
        <v>#DIV/0!</v>
      </c>
      <c r="I27" s="1460"/>
      <c r="J27" s="1461"/>
      <c r="K27" s="1457"/>
      <c r="L27" s="1457"/>
      <c r="M27" s="1457"/>
      <c r="N27" s="1457"/>
      <c r="O27" s="1457"/>
      <c r="P27" s="1462">
        <f t="shared" si="7"/>
        <v>0</v>
      </c>
      <c r="Q27" s="1463" t="e">
        <f t="shared" si="4"/>
        <v>#DIV/0!</v>
      </c>
      <c r="R27" s="1461"/>
      <c r="S27" s="1457"/>
      <c r="T27" s="1457"/>
      <c r="U27" s="1457"/>
      <c r="V27" s="1457"/>
      <c r="W27" s="1462"/>
      <c r="X27" s="1464"/>
      <c r="Y27" s="1444"/>
    </row>
    <row r="28" spans="1:25" ht="27" customHeight="1" hidden="1">
      <c r="A28" s="1455" t="s">
        <v>643</v>
      </c>
      <c r="B28" s="1456" t="s">
        <v>644</v>
      </c>
      <c r="C28" s="1457"/>
      <c r="D28" s="1457">
        <f t="shared" si="5"/>
        <v>0</v>
      </c>
      <c r="E28" s="1458"/>
      <c r="F28" s="1459">
        <f t="shared" si="6"/>
        <v>0</v>
      </c>
      <c r="G28" s="1437" t="e">
        <f t="shared" si="2"/>
        <v>#DIV/0!</v>
      </c>
      <c r="H28" s="1438" t="e">
        <f t="shared" si="3"/>
        <v>#DIV/0!</v>
      </c>
      <c r="I28" s="1460"/>
      <c r="J28" s="1461"/>
      <c r="K28" s="1457"/>
      <c r="L28" s="1457"/>
      <c r="M28" s="1457"/>
      <c r="N28" s="1457"/>
      <c r="O28" s="1457"/>
      <c r="P28" s="1462">
        <f t="shared" si="7"/>
        <v>0</v>
      </c>
      <c r="Q28" s="1463" t="e">
        <f t="shared" si="4"/>
        <v>#DIV/0!</v>
      </c>
      <c r="R28" s="1461"/>
      <c r="S28" s="1457"/>
      <c r="T28" s="1457"/>
      <c r="U28" s="1457"/>
      <c r="V28" s="1457"/>
      <c r="W28" s="1462"/>
      <c r="X28" s="1464"/>
      <c r="Y28" s="1444"/>
    </row>
    <row r="29" spans="1:25" s="581" customFormat="1" ht="15.75" customHeight="1" thickTop="1">
      <c r="A29" s="1465" t="s">
        <v>645</v>
      </c>
      <c r="B29" s="1466" t="s">
        <v>646</v>
      </c>
      <c r="C29" s="1467">
        <f>C30</f>
        <v>1600</v>
      </c>
      <c r="D29" s="1467">
        <f>D30</f>
        <v>1600</v>
      </c>
      <c r="E29" s="1468">
        <f>E30</f>
        <v>1600</v>
      </c>
      <c r="F29" s="1469">
        <f>F30</f>
        <v>1600</v>
      </c>
      <c r="G29" s="1474">
        <f t="shared" si="2"/>
        <v>100</v>
      </c>
      <c r="H29" s="1475">
        <f t="shared" si="3"/>
        <v>100</v>
      </c>
      <c r="I29" s="1460"/>
      <c r="J29" s="1470">
        <f>J30</f>
        <v>1600</v>
      </c>
      <c r="K29" s="1467">
        <f>K30</f>
        <v>1600</v>
      </c>
      <c r="L29" s="1467">
        <f>L30</f>
        <v>0</v>
      </c>
      <c r="M29" s="1467">
        <f>M30</f>
        <v>0</v>
      </c>
      <c r="N29" s="1467">
        <f>N30</f>
        <v>0</v>
      </c>
      <c r="O29" s="1467"/>
      <c r="P29" s="1471">
        <f>P30</f>
        <v>1600</v>
      </c>
      <c r="Q29" s="1472">
        <f t="shared" si="4"/>
        <v>100</v>
      </c>
      <c r="R29" s="1470"/>
      <c r="S29" s="1467"/>
      <c r="T29" s="1467"/>
      <c r="U29" s="1467"/>
      <c r="V29" s="1467"/>
      <c r="W29" s="1471"/>
      <c r="X29" s="1473"/>
      <c r="Y29" s="1444"/>
    </row>
    <row r="30" spans="1:25" ht="36.75" thickBot="1">
      <c r="A30" s="1476" t="s">
        <v>647</v>
      </c>
      <c r="B30" s="1477" t="s">
        <v>648</v>
      </c>
      <c r="C30" s="1478">
        <v>1600</v>
      </c>
      <c r="D30" s="1478">
        <f>J30+R30</f>
        <v>1600</v>
      </c>
      <c r="E30" s="1479">
        <v>1600</v>
      </c>
      <c r="F30" s="1480">
        <f>P30+W30</f>
        <v>1600</v>
      </c>
      <c r="G30" s="1481">
        <f t="shared" si="2"/>
        <v>100</v>
      </c>
      <c r="H30" s="1481">
        <f t="shared" si="3"/>
        <v>100</v>
      </c>
      <c r="I30" s="1482"/>
      <c r="J30" s="1483">
        <v>1600</v>
      </c>
      <c r="K30" s="1478">
        <v>1600</v>
      </c>
      <c r="L30" s="1478"/>
      <c r="M30" s="1478"/>
      <c r="N30" s="1478"/>
      <c r="O30" s="1478"/>
      <c r="P30" s="1484">
        <f>SUM(K30:N30)</f>
        <v>1600</v>
      </c>
      <c r="Q30" s="1463">
        <f t="shared" si="4"/>
        <v>100</v>
      </c>
      <c r="R30" s="1483"/>
      <c r="S30" s="1478"/>
      <c r="T30" s="1478"/>
      <c r="U30" s="1478"/>
      <c r="V30" s="1478"/>
      <c r="W30" s="1484"/>
      <c r="X30" s="1464"/>
      <c r="Y30" s="1444"/>
    </row>
    <row r="31" spans="1:25" s="581" customFormat="1" ht="21" customHeight="1" hidden="1">
      <c r="A31" s="1432" t="s">
        <v>649</v>
      </c>
      <c r="B31" s="1433" t="s">
        <v>650</v>
      </c>
      <c r="C31" s="1434">
        <f aca="true" t="shared" si="8" ref="C31:F32">C32</f>
        <v>0</v>
      </c>
      <c r="D31" s="1434">
        <f t="shared" si="8"/>
        <v>0</v>
      </c>
      <c r="E31" s="1435">
        <f t="shared" si="8"/>
        <v>0</v>
      </c>
      <c r="F31" s="1436">
        <f t="shared" si="8"/>
        <v>0</v>
      </c>
      <c r="G31" s="1437" t="e">
        <f t="shared" si="2"/>
        <v>#DIV/0!</v>
      </c>
      <c r="H31" s="1438" t="e">
        <f t="shared" si="3"/>
        <v>#DIV/0!</v>
      </c>
      <c r="I31" s="1439"/>
      <c r="J31" s="1440">
        <f aca="true" t="shared" si="9" ref="J31:N32">J32</f>
        <v>0</v>
      </c>
      <c r="K31" s="1434">
        <f t="shared" si="9"/>
        <v>0</v>
      </c>
      <c r="L31" s="1434">
        <f t="shared" si="9"/>
        <v>0</v>
      </c>
      <c r="M31" s="1434">
        <f t="shared" si="9"/>
        <v>0</v>
      </c>
      <c r="N31" s="1434">
        <f t="shared" si="9"/>
        <v>0</v>
      </c>
      <c r="O31" s="1434"/>
      <c r="P31" s="1441">
        <f>P32</f>
        <v>0</v>
      </c>
      <c r="Q31" s="1463" t="e">
        <f t="shared" si="4"/>
        <v>#DIV/0!</v>
      </c>
      <c r="R31" s="1440"/>
      <c r="S31" s="1434"/>
      <c r="T31" s="1434"/>
      <c r="U31" s="1434"/>
      <c r="V31" s="1434"/>
      <c r="W31" s="1441"/>
      <c r="X31" s="1443" t="e">
        <f>W31/R31*100</f>
        <v>#DIV/0!</v>
      </c>
      <c r="Y31" s="1444"/>
    </row>
    <row r="32" spans="1:25" s="581" customFormat="1" ht="22.5" customHeight="1" hidden="1">
      <c r="A32" s="1445" t="s">
        <v>651</v>
      </c>
      <c r="B32" s="1446" t="s">
        <v>652</v>
      </c>
      <c r="C32" s="1447">
        <f t="shared" si="8"/>
        <v>0</v>
      </c>
      <c r="D32" s="1447">
        <f t="shared" si="8"/>
        <v>0</v>
      </c>
      <c r="E32" s="1448">
        <f t="shared" si="8"/>
        <v>0</v>
      </c>
      <c r="F32" s="1449">
        <f t="shared" si="8"/>
        <v>0</v>
      </c>
      <c r="G32" s="1437" t="e">
        <f t="shared" si="2"/>
        <v>#DIV/0!</v>
      </c>
      <c r="H32" s="1438" t="e">
        <f t="shared" si="3"/>
        <v>#DIV/0!</v>
      </c>
      <c r="I32" s="1450"/>
      <c r="J32" s="1451">
        <f t="shared" si="9"/>
        <v>0</v>
      </c>
      <c r="K32" s="1447">
        <f t="shared" si="9"/>
        <v>0</v>
      </c>
      <c r="L32" s="1447">
        <f t="shared" si="9"/>
        <v>0</v>
      </c>
      <c r="M32" s="1447">
        <f t="shared" si="9"/>
        <v>0</v>
      </c>
      <c r="N32" s="1447">
        <f t="shared" si="9"/>
        <v>0</v>
      </c>
      <c r="O32" s="1447"/>
      <c r="P32" s="1452">
        <f>P33</f>
        <v>0</v>
      </c>
      <c r="Q32" s="1463" t="e">
        <f t="shared" si="4"/>
        <v>#DIV/0!</v>
      </c>
      <c r="R32" s="1451"/>
      <c r="S32" s="1447"/>
      <c r="T32" s="1447"/>
      <c r="U32" s="1447"/>
      <c r="V32" s="1447"/>
      <c r="W32" s="1452"/>
      <c r="X32" s="1454" t="e">
        <f>W32/R32*100</f>
        <v>#DIV/0!</v>
      </c>
      <c r="Y32" s="1444"/>
    </row>
    <row r="33" spans="1:25" ht="16.5" customHeight="1" hidden="1">
      <c r="A33" s="1485">
        <v>4300</v>
      </c>
      <c r="B33" s="1477" t="s">
        <v>653</v>
      </c>
      <c r="C33" s="1478">
        <v>0</v>
      </c>
      <c r="D33" s="1478">
        <f>J33+R33</f>
        <v>0</v>
      </c>
      <c r="E33" s="1479"/>
      <c r="F33" s="1480">
        <f>P33+W33</f>
        <v>0</v>
      </c>
      <c r="G33" s="1437" t="e">
        <f t="shared" si="2"/>
        <v>#DIV/0!</v>
      </c>
      <c r="H33" s="1438" t="e">
        <f t="shared" si="3"/>
        <v>#DIV/0!</v>
      </c>
      <c r="I33" s="1486"/>
      <c r="J33" s="1483"/>
      <c r="K33" s="1478"/>
      <c r="L33" s="1478"/>
      <c r="M33" s="1478"/>
      <c r="N33" s="1478"/>
      <c r="O33" s="1478"/>
      <c r="P33" s="1484"/>
      <c r="Q33" s="1487" t="e">
        <f t="shared" si="4"/>
        <v>#DIV/0!</v>
      </c>
      <c r="R33" s="1483"/>
      <c r="S33" s="1478"/>
      <c r="T33" s="1478"/>
      <c r="U33" s="1478"/>
      <c r="V33" s="1478"/>
      <c r="W33" s="1484"/>
      <c r="X33" s="1488" t="e">
        <f>W33/R33*100</f>
        <v>#DIV/0!</v>
      </c>
      <c r="Y33" s="1444"/>
    </row>
    <row r="34" spans="1:25" s="581" customFormat="1" ht="22.5" customHeight="1" thickBot="1" thickTop="1">
      <c r="A34" s="1489">
        <v>500</v>
      </c>
      <c r="B34" s="1490" t="s">
        <v>654</v>
      </c>
      <c r="C34" s="1434">
        <f>C35</f>
        <v>134000</v>
      </c>
      <c r="D34" s="1434">
        <f>D35</f>
        <v>314000</v>
      </c>
      <c r="E34" s="1435">
        <f>E35</f>
        <v>354000</v>
      </c>
      <c r="F34" s="1436">
        <f>F35</f>
        <v>354000</v>
      </c>
      <c r="G34" s="1437">
        <f t="shared" si="2"/>
        <v>264.17910447761193</v>
      </c>
      <c r="H34" s="1438">
        <f t="shared" si="3"/>
        <v>112.73885350318471</v>
      </c>
      <c r="I34" s="1439">
        <f>F34/F$1426*100</f>
        <v>0.12911015664340816</v>
      </c>
      <c r="J34" s="1440">
        <f>J35</f>
        <v>314000</v>
      </c>
      <c r="K34" s="1434">
        <f>K35</f>
        <v>134000</v>
      </c>
      <c r="L34" s="1434">
        <f>L35</f>
        <v>0</v>
      </c>
      <c r="M34" s="1434">
        <f>M35</f>
        <v>0</v>
      </c>
      <c r="N34" s="1434">
        <f>N35</f>
        <v>220000</v>
      </c>
      <c r="O34" s="1434"/>
      <c r="P34" s="1441">
        <f>P35</f>
        <v>354000</v>
      </c>
      <c r="Q34" s="1491">
        <f t="shared" si="4"/>
        <v>112.73885350318471</v>
      </c>
      <c r="R34" s="1440"/>
      <c r="S34" s="1434"/>
      <c r="T34" s="1434"/>
      <c r="U34" s="1434"/>
      <c r="V34" s="1434"/>
      <c r="W34" s="1441"/>
      <c r="X34" s="1492"/>
      <c r="Y34" s="1444"/>
    </row>
    <row r="35" spans="1:25" s="581" customFormat="1" ht="21" customHeight="1" thickTop="1">
      <c r="A35" s="1493">
        <v>50095</v>
      </c>
      <c r="B35" s="1494" t="s">
        <v>209</v>
      </c>
      <c r="C35" s="1447">
        <f>SUM(C36:C39)</f>
        <v>134000</v>
      </c>
      <c r="D35" s="1447">
        <f>SUM(D36:D39)</f>
        <v>314000</v>
      </c>
      <c r="E35" s="1448">
        <f>SUM(E36:E39)</f>
        <v>354000</v>
      </c>
      <c r="F35" s="1449">
        <f>SUM(F36:F39)</f>
        <v>354000</v>
      </c>
      <c r="G35" s="1474">
        <f t="shared" si="2"/>
        <v>264.17910447761193</v>
      </c>
      <c r="H35" s="1475">
        <f t="shared" si="3"/>
        <v>112.73885350318471</v>
      </c>
      <c r="I35" s="1450"/>
      <c r="J35" s="1451">
        <f>SUM(J36:J39)</f>
        <v>314000</v>
      </c>
      <c r="K35" s="1447">
        <f>SUM(K36:K39)</f>
        <v>134000</v>
      </c>
      <c r="L35" s="1447">
        <f>SUM(L36:L39)</f>
        <v>0</v>
      </c>
      <c r="M35" s="1447">
        <f>SUM(M36:M39)</f>
        <v>0</v>
      </c>
      <c r="N35" s="1447">
        <f>SUM(N36:N39)</f>
        <v>220000</v>
      </c>
      <c r="O35" s="1447"/>
      <c r="P35" s="1452">
        <f>SUM(P36:P39)</f>
        <v>354000</v>
      </c>
      <c r="Q35" s="1495">
        <f t="shared" si="4"/>
        <v>112.73885350318471</v>
      </c>
      <c r="R35" s="1451"/>
      <c r="S35" s="1447"/>
      <c r="T35" s="1447"/>
      <c r="U35" s="1447"/>
      <c r="V35" s="1447"/>
      <c r="W35" s="1452"/>
      <c r="X35" s="1496"/>
      <c r="Y35" s="1444"/>
    </row>
    <row r="36" spans="1:25" ht="12.75">
      <c r="A36" s="1497">
        <v>4210</v>
      </c>
      <c r="B36" s="1498" t="s">
        <v>560</v>
      </c>
      <c r="C36" s="1457">
        <v>2000</v>
      </c>
      <c r="D36" s="1457">
        <f>J36+R36</f>
        <v>2000</v>
      </c>
      <c r="E36" s="1458">
        <v>2000</v>
      </c>
      <c r="F36" s="1459">
        <f>P36+W36</f>
        <v>2000</v>
      </c>
      <c r="G36" s="1499">
        <f t="shared" si="2"/>
        <v>100</v>
      </c>
      <c r="H36" s="1499">
        <f t="shared" si="3"/>
        <v>100</v>
      </c>
      <c r="I36" s="1450"/>
      <c r="J36" s="1461">
        <v>2000</v>
      </c>
      <c r="K36" s="1457">
        <v>2000</v>
      </c>
      <c r="L36" s="1457"/>
      <c r="M36" s="1457"/>
      <c r="N36" s="1457"/>
      <c r="O36" s="1457"/>
      <c r="P36" s="1462">
        <f>SUM(K36:N36)</f>
        <v>2000</v>
      </c>
      <c r="Q36" s="1495">
        <f t="shared" si="4"/>
        <v>100</v>
      </c>
      <c r="R36" s="1461"/>
      <c r="S36" s="1457"/>
      <c r="T36" s="1457"/>
      <c r="U36" s="1457"/>
      <c r="V36" s="1457"/>
      <c r="W36" s="1462"/>
      <c r="X36" s="1496"/>
      <c r="Y36" s="1444"/>
    </row>
    <row r="37" spans="1:25" ht="12.75">
      <c r="A37" s="1497">
        <v>4260</v>
      </c>
      <c r="B37" s="1498" t="s">
        <v>575</v>
      </c>
      <c r="C37" s="1457">
        <v>2000</v>
      </c>
      <c r="D37" s="1457">
        <f>J37+R37</f>
        <v>2000</v>
      </c>
      <c r="E37" s="1458">
        <v>2000</v>
      </c>
      <c r="F37" s="1459">
        <f>P37+W37</f>
        <v>2000</v>
      </c>
      <c r="G37" s="1499">
        <f t="shared" si="2"/>
        <v>100</v>
      </c>
      <c r="H37" s="1499">
        <f t="shared" si="3"/>
        <v>100</v>
      </c>
      <c r="I37" s="1450"/>
      <c r="J37" s="1461">
        <v>2000</v>
      </c>
      <c r="K37" s="1457">
        <v>2000</v>
      </c>
      <c r="L37" s="1457"/>
      <c r="M37" s="1457"/>
      <c r="N37" s="1457"/>
      <c r="O37" s="1457"/>
      <c r="P37" s="1462">
        <f>SUM(K37:N37)</f>
        <v>2000</v>
      </c>
      <c r="Q37" s="1495">
        <f t="shared" si="4"/>
        <v>100</v>
      </c>
      <c r="R37" s="1461"/>
      <c r="S37" s="1457"/>
      <c r="T37" s="1457"/>
      <c r="U37" s="1457"/>
      <c r="V37" s="1457"/>
      <c r="W37" s="1462"/>
      <c r="X37" s="1496"/>
      <c r="Y37" s="1444"/>
    </row>
    <row r="38" spans="1:25" ht="12.75">
      <c r="A38" s="1485">
        <v>4270</v>
      </c>
      <c r="B38" s="1500" t="s">
        <v>576</v>
      </c>
      <c r="C38" s="1478"/>
      <c r="D38" s="1457">
        <f>J38+R38</f>
        <v>50000</v>
      </c>
      <c r="E38" s="1479">
        <v>220000</v>
      </c>
      <c r="F38" s="1459">
        <f>P38+W38</f>
        <v>220000</v>
      </c>
      <c r="G38" s="1499"/>
      <c r="H38" s="1499">
        <f t="shared" si="3"/>
        <v>440.00000000000006</v>
      </c>
      <c r="I38" s="1501"/>
      <c r="J38" s="1483">
        <v>50000</v>
      </c>
      <c r="K38" s="1478"/>
      <c r="L38" s="1478"/>
      <c r="M38" s="1478"/>
      <c r="N38" s="1478">
        <v>220000</v>
      </c>
      <c r="O38" s="1478"/>
      <c r="P38" s="1462">
        <f>SUM(K38:N38)</f>
        <v>220000</v>
      </c>
      <c r="Q38" s="1495"/>
      <c r="R38" s="1483"/>
      <c r="S38" s="1478"/>
      <c r="T38" s="1478"/>
      <c r="U38" s="1478"/>
      <c r="V38" s="1478"/>
      <c r="W38" s="1462"/>
      <c r="X38" s="1496"/>
      <c r="Y38" s="1444"/>
    </row>
    <row r="39" spans="1:25" ht="13.5" thickBot="1">
      <c r="A39" s="1485">
        <v>4300</v>
      </c>
      <c r="B39" s="1502" t="s">
        <v>564</v>
      </c>
      <c r="C39" s="1478">
        <v>130000</v>
      </c>
      <c r="D39" s="1457">
        <f>J39+R39</f>
        <v>260000</v>
      </c>
      <c r="E39" s="1479">
        <v>130000</v>
      </c>
      <c r="F39" s="1459">
        <f>P39+W39</f>
        <v>130000</v>
      </c>
      <c r="G39" s="1481">
        <f t="shared" si="2"/>
        <v>100</v>
      </c>
      <c r="H39" s="1481">
        <f t="shared" si="3"/>
        <v>50</v>
      </c>
      <c r="I39" s="1486"/>
      <c r="J39" s="1483">
        <v>260000</v>
      </c>
      <c r="K39" s="1478">
        <v>130000</v>
      </c>
      <c r="L39" s="1478"/>
      <c r="M39" s="1478"/>
      <c r="N39" s="1478"/>
      <c r="O39" s="1478"/>
      <c r="P39" s="1462">
        <f>SUM(K39:N39)</f>
        <v>130000</v>
      </c>
      <c r="Q39" s="1495">
        <f>P39/J39*100</f>
        <v>50</v>
      </c>
      <c r="R39" s="1483"/>
      <c r="S39" s="1478"/>
      <c r="T39" s="1478"/>
      <c r="U39" s="1478"/>
      <c r="V39" s="1478"/>
      <c r="W39" s="1462"/>
      <c r="X39" s="1496"/>
      <c r="Y39" s="1444"/>
    </row>
    <row r="40" spans="1:28" s="581" customFormat="1" ht="23.25" customHeight="1" thickBot="1" thickTop="1">
      <c r="A40" s="1489">
        <v>600</v>
      </c>
      <c r="B40" s="1490" t="s">
        <v>184</v>
      </c>
      <c r="C40" s="1434">
        <f>C41+C44+C74+C110+C127</f>
        <v>48314170</v>
      </c>
      <c r="D40" s="1434">
        <f>D41+D44+D74+D110+D127</f>
        <v>51547470</v>
      </c>
      <c r="E40" s="1435">
        <f>E41+E44+E74+E110+E127</f>
        <v>75363480</v>
      </c>
      <c r="F40" s="1436">
        <f>F41+F44+F74+F110+F127</f>
        <v>46279882</v>
      </c>
      <c r="G40" s="1437">
        <f t="shared" si="2"/>
        <v>95.78945886889912</v>
      </c>
      <c r="H40" s="1438">
        <f t="shared" si="3"/>
        <v>89.78109303909581</v>
      </c>
      <c r="I40" s="1439">
        <f>F40/F$1426*100</f>
        <v>16.879103995645327</v>
      </c>
      <c r="J40" s="1440">
        <f>J41+J44+J74+J110+J127</f>
        <v>12284640</v>
      </c>
      <c r="K40" s="1434">
        <f>K41+K44+K74+K110+K127</f>
        <v>6558982</v>
      </c>
      <c r="L40" s="1434">
        <f>L41+L44+L74+L110+L127</f>
        <v>6231200</v>
      </c>
      <c r="M40" s="1434">
        <f>M41+M44+M74+M110+M127</f>
        <v>4023000</v>
      </c>
      <c r="N40" s="1434">
        <f>N41+N44+N74+N110+N127</f>
        <v>3016700</v>
      </c>
      <c r="O40" s="1434"/>
      <c r="P40" s="1441">
        <f aca="true" t="shared" si="10" ref="P40:X40">P41+P44+P74+P110+P127</f>
        <v>20329882</v>
      </c>
      <c r="Q40" s="1442">
        <f t="shared" si="10"/>
        <v>547.0711594107291</v>
      </c>
      <c r="R40" s="1440">
        <f t="shared" si="10"/>
        <v>39262830</v>
      </c>
      <c r="S40" s="1434">
        <f t="shared" si="10"/>
        <v>500000</v>
      </c>
      <c r="T40" s="1434">
        <f t="shared" si="10"/>
        <v>23500000</v>
      </c>
      <c r="U40" s="1434">
        <f t="shared" si="10"/>
        <v>0</v>
      </c>
      <c r="V40" s="1434">
        <f t="shared" si="10"/>
        <v>1950000</v>
      </c>
      <c r="W40" s="1441">
        <f t="shared" si="10"/>
        <v>25950000</v>
      </c>
      <c r="X40" s="1503">
        <f t="shared" si="10"/>
        <v>66.09304525425192</v>
      </c>
      <c r="Y40" s="1444"/>
      <c r="Z40" s="1504">
        <f>Z127</f>
        <v>1395487</v>
      </c>
      <c r="AA40" s="1504">
        <f>AA127</f>
        <v>0</v>
      </c>
      <c r="AB40" s="1505">
        <f>Z40+AA40</f>
        <v>1395487</v>
      </c>
    </row>
    <row r="41" spans="1:25" s="581" customFormat="1" ht="22.5" customHeight="1" thickTop="1">
      <c r="A41" s="1493">
        <v>60004</v>
      </c>
      <c r="B41" s="1506" t="s">
        <v>655</v>
      </c>
      <c r="C41" s="1447">
        <f>C42+C43</f>
        <v>4000000</v>
      </c>
      <c r="D41" s="1447">
        <f>D42+D43</f>
        <v>4000000</v>
      </c>
      <c r="E41" s="1507">
        <f>E42+E43</f>
        <v>9636760</v>
      </c>
      <c r="F41" s="1508">
        <f>F42+F43</f>
        <v>8500000</v>
      </c>
      <c r="G41" s="1474">
        <f t="shared" si="2"/>
        <v>212.5</v>
      </c>
      <c r="H41" s="1475">
        <f t="shared" si="3"/>
        <v>212.5</v>
      </c>
      <c r="I41" s="1509"/>
      <c r="J41" s="1510">
        <f aca="true" t="shared" si="11" ref="J41:P41">J42+J43</f>
        <v>4000000</v>
      </c>
      <c r="K41" s="1449">
        <f t="shared" si="11"/>
        <v>4000000</v>
      </c>
      <c r="L41" s="1449">
        <f t="shared" si="11"/>
        <v>0</v>
      </c>
      <c r="M41" s="1449">
        <f t="shared" si="11"/>
        <v>4000000</v>
      </c>
      <c r="N41" s="1449">
        <f t="shared" si="11"/>
        <v>0</v>
      </c>
      <c r="O41" s="1449">
        <f t="shared" si="11"/>
        <v>0</v>
      </c>
      <c r="P41" s="1509">
        <f t="shared" si="11"/>
        <v>8500000</v>
      </c>
      <c r="Q41" s="1511">
        <f>Q42</f>
        <v>112.5</v>
      </c>
      <c r="R41" s="1510"/>
      <c r="S41" s="1447"/>
      <c r="T41" s="1447"/>
      <c r="U41" s="1447"/>
      <c r="V41" s="1447"/>
      <c r="W41" s="1452"/>
      <c r="X41" s="1512">
        <f>X42</f>
        <v>0</v>
      </c>
      <c r="Y41" s="1444"/>
    </row>
    <row r="42" spans="1:25" ht="24">
      <c r="A42" s="1497">
        <v>4150</v>
      </c>
      <c r="B42" s="1513" t="s">
        <v>656</v>
      </c>
      <c r="C42" s="1457">
        <v>4000000</v>
      </c>
      <c r="D42" s="1457">
        <f>J42+R42</f>
        <v>4000000</v>
      </c>
      <c r="E42" s="1514">
        <f>5636760</f>
        <v>5636760</v>
      </c>
      <c r="F42" s="1457">
        <f>P42+W42</f>
        <v>4500000</v>
      </c>
      <c r="G42" s="1499">
        <f t="shared" si="2"/>
        <v>112.5</v>
      </c>
      <c r="H42" s="1499">
        <f t="shared" si="3"/>
        <v>112.5</v>
      </c>
      <c r="I42" s="1450"/>
      <c r="J42" s="1461">
        <v>4000000</v>
      </c>
      <c r="K42" s="1457">
        <f>4000000</f>
        <v>4000000</v>
      </c>
      <c r="L42" s="1457"/>
      <c r="M42" s="1457">
        <v>0</v>
      </c>
      <c r="N42" s="1457"/>
      <c r="O42" s="1457"/>
      <c r="P42" s="1462">
        <v>4500000</v>
      </c>
      <c r="Q42" s="1495">
        <f>P42/J42*100</f>
        <v>112.5</v>
      </c>
      <c r="R42" s="1461"/>
      <c r="S42" s="1457"/>
      <c r="T42" s="1457"/>
      <c r="U42" s="1457"/>
      <c r="V42" s="1457"/>
      <c r="W42" s="1462"/>
      <c r="X42" s="1496"/>
      <c r="Y42" s="1444"/>
    </row>
    <row r="43" spans="1:25" ht="36">
      <c r="A43" s="1497">
        <v>6010</v>
      </c>
      <c r="B43" s="1513" t="s">
        <v>657</v>
      </c>
      <c r="C43" s="1457"/>
      <c r="D43" s="1457">
        <f>J43+R43</f>
        <v>0</v>
      </c>
      <c r="E43" s="1514">
        <v>4000000</v>
      </c>
      <c r="F43" s="1457">
        <f>P43+W43</f>
        <v>4000000</v>
      </c>
      <c r="G43" s="1499"/>
      <c r="H43" s="1515"/>
      <c r="I43" s="1501"/>
      <c r="J43" s="1461"/>
      <c r="K43" s="1457"/>
      <c r="L43" s="1457"/>
      <c r="M43" s="1457">
        <v>4000000</v>
      </c>
      <c r="N43" s="1457"/>
      <c r="O43" s="1457"/>
      <c r="P43" s="1462">
        <f>SUM(K43:N43)</f>
        <v>4000000</v>
      </c>
      <c r="Q43" s="1495"/>
      <c r="R43" s="1461"/>
      <c r="S43" s="1457"/>
      <c r="T43" s="1457"/>
      <c r="U43" s="1457"/>
      <c r="V43" s="1457"/>
      <c r="W43" s="1462"/>
      <c r="X43" s="1496"/>
      <c r="Y43" s="1444"/>
    </row>
    <row r="44" spans="1:25" s="581" customFormat="1" ht="30" customHeight="1">
      <c r="A44" s="1516">
        <v>60015</v>
      </c>
      <c r="B44" s="1517" t="s">
        <v>186</v>
      </c>
      <c r="C44" s="1467">
        <f>SUM(C45:C73)-SUM(C50:C61)</f>
        <v>39027980</v>
      </c>
      <c r="D44" s="1467">
        <f>SUM(D45:D73)-SUM(D50:D61)</f>
        <v>39262830</v>
      </c>
      <c r="E44" s="1518">
        <f>SUM(E45:E73)-SUM(E50:E61)</f>
        <v>46239000</v>
      </c>
      <c r="F44" s="1467">
        <f>SUM(F45:F73)-SUM(F50:F61)</f>
        <v>25950000</v>
      </c>
      <c r="G44" s="1519">
        <f t="shared" si="2"/>
        <v>66.4907586813358</v>
      </c>
      <c r="H44" s="1520">
        <f t="shared" si="3"/>
        <v>66.09304525425192</v>
      </c>
      <c r="I44" s="1471"/>
      <c r="J44" s="1470"/>
      <c r="K44" s="1467"/>
      <c r="L44" s="1467"/>
      <c r="M44" s="1467"/>
      <c r="N44" s="1467"/>
      <c r="O44" s="1467"/>
      <c r="P44" s="1471"/>
      <c r="Q44" s="1468">
        <f aca="true" t="shared" si="12" ref="Q44:W44">SUM(Q45:Q73)-SUM(Q50:Q61)</f>
        <v>0</v>
      </c>
      <c r="R44" s="1470">
        <f t="shared" si="12"/>
        <v>39262830</v>
      </c>
      <c r="S44" s="1467">
        <f t="shared" si="12"/>
        <v>500000</v>
      </c>
      <c r="T44" s="1467">
        <f t="shared" si="12"/>
        <v>23500000</v>
      </c>
      <c r="U44" s="1467">
        <f t="shared" si="12"/>
        <v>0</v>
      </c>
      <c r="V44" s="1467">
        <f t="shared" si="12"/>
        <v>1950000</v>
      </c>
      <c r="W44" s="1471">
        <f t="shared" si="12"/>
        <v>25950000</v>
      </c>
      <c r="X44" s="1454">
        <f aca="true" t="shared" si="13" ref="X44:X49">W44/R44*100</f>
        <v>66.09304525425192</v>
      </c>
      <c r="Y44" s="1444"/>
    </row>
    <row r="45" spans="1:25" ht="12.75">
      <c r="A45" s="1497">
        <v>4210</v>
      </c>
      <c r="B45" s="1498" t="s">
        <v>560</v>
      </c>
      <c r="C45" s="1457">
        <v>45000</v>
      </c>
      <c r="D45" s="1457">
        <f aca="true" t="shared" si="14" ref="D45:D73">J45+R45</f>
        <v>45000</v>
      </c>
      <c r="E45" s="1514">
        <v>40000</v>
      </c>
      <c r="F45" s="1457">
        <f>P45+W45</f>
        <v>40000</v>
      </c>
      <c r="G45" s="1499">
        <f t="shared" si="2"/>
        <v>88.88888888888889</v>
      </c>
      <c r="H45" s="1515">
        <f t="shared" si="3"/>
        <v>88.88888888888889</v>
      </c>
      <c r="I45" s="1501"/>
      <c r="J45" s="1461"/>
      <c r="K45" s="1457"/>
      <c r="L45" s="1457"/>
      <c r="M45" s="1457"/>
      <c r="N45" s="1457"/>
      <c r="O45" s="1457"/>
      <c r="P45" s="1462"/>
      <c r="Q45" s="1495"/>
      <c r="R45" s="1461">
        <v>45000</v>
      </c>
      <c r="S45" s="1457">
        <v>40000</v>
      </c>
      <c r="T45" s="1457"/>
      <c r="U45" s="1457"/>
      <c r="V45" s="1457"/>
      <c r="W45" s="1462">
        <f>SUM(S45:V45)</f>
        <v>40000</v>
      </c>
      <c r="X45" s="1496">
        <f t="shared" si="13"/>
        <v>88.88888888888889</v>
      </c>
      <c r="Y45" s="1444"/>
    </row>
    <row r="46" spans="1:25" ht="12.75">
      <c r="A46" s="1497">
        <v>4260</v>
      </c>
      <c r="B46" s="1498" t="s">
        <v>575</v>
      </c>
      <c r="C46" s="1457">
        <v>50000</v>
      </c>
      <c r="D46" s="1457">
        <f t="shared" si="14"/>
        <v>60000</v>
      </c>
      <c r="E46" s="1514">
        <v>100000</v>
      </c>
      <c r="F46" s="1457">
        <f>P46+W46</f>
        <v>60000</v>
      </c>
      <c r="G46" s="1499">
        <f t="shared" si="2"/>
        <v>120</v>
      </c>
      <c r="H46" s="1515">
        <f t="shared" si="3"/>
        <v>100</v>
      </c>
      <c r="I46" s="1501"/>
      <c r="J46" s="1461"/>
      <c r="K46" s="1457"/>
      <c r="L46" s="1457"/>
      <c r="M46" s="1457"/>
      <c r="N46" s="1457"/>
      <c r="O46" s="1457"/>
      <c r="P46" s="1462"/>
      <c r="Q46" s="1495"/>
      <c r="R46" s="1461">
        <v>60000</v>
      </c>
      <c r="S46" s="1457">
        <v>60000</v>
      </c>
      <c r="T46" s="1457"/>
      <c r="U46" s="1457"/>
      <c r="V46" s="1457"/>
      <c r="W46" s="1462">
        <f>SUM(S46:V46)</f>
        <v>60000</v>
      </c>
      <c r="X46" s="1496">
        <f t="shared" si="13"/>
        <v>100</v>
      </c>
      <c r="Y46" s="1444"/>
    </row>
    <row r="47" spans="1:25" ht="12.75">
      <c r="A47" s="1497">
        <v>4270</v>
      </c>
      <c r="B47" s="1513" t="s">
        <v>576</v>
      </c>
      <c r="C47" s="1457">
        <v>3000000</v>
      </c>
      <c r="D47" s="1457">
        <f t="shared" si="14"/>
        <v>1956000</v>
      </c>
      <c r="E47" s="1514">
        <v>3129000</v>
      </c>
      <c r="F47" s="1457">
        <f>P47+W47</f>
        <v>1950000</v>
      </c>
      <c r="G47" s="1499">
        <f t="shared" si="2"/>
        <v>65</v>
      </c>
      <c r="H47" s="1515">
        <f t="shared" si="3"/>
        <v>99.69325153374233</v>
      </c>
      <c r="I47" s="1501"/>
      <c r="J47" s="1461"/>
      <c r="K47" s="1457"/>
      <c r="L47" s="1457"/>
      <c r="M47" s="1457"/>
      <c r="N47" s="1457"/>
      <c r="O47" s="1457"/>
      <c r="P47" s="1462"/>
      <c r="Q47" s="1495"/>
      <c r="R47" s="1461">
        <v>1956000</v>
      </c>
      <c r="S47" s="1457"/>
      <c r="T47" s="1457"/>
      <c r="U47" s="1457"/>
      <c r="V47" s="1457">
        <f>2000000-50000</f>
        <v>1950000</v>
      </c>
      <c r="W47" s="1462">
        <f>SUM(S47:V47)</f>
        <v>1950000</v>
      </c>
      <c r="X47" s="1496">
        <f t="shared" si="13"/>
        <v>99.69325153374233</v>
      </c>
      <c r="Y47" s="1444"/>
    </row>
    <row r="48" spans="1:25" ht="12.75">
      <c r="A48" s="1497">
        <v>4300</v>
      </c>
      <c r="B48" s="1513" t="s">
        <v>564</v>
      </c>
      <c r="C48" s="1457">
        <v>200000</v>
      </c>
      <c r="D48" s="1457">
        <f t="shared" si="14"/>
        <v>350000</v>
      </c>
      <c r="E48" s="1514">
        <v>770000</v>
      </c>
      <c r="F48" s="1457">
        <f>P48+W48</f>
        <v>400000</v>
      </c>
      <c r="G48" s="1499">
        <f t="shared" si="2"/>
        <v>200</v>
      </c>
      <c r="H48" s="1515">
        <f t="shared" si="3"/>
        <v>114.28571428571428</v>
      </c>
      <c r="I48" s="1501"/>
      <c r="J48" s="1461"/>
      <c r="K48" s="1457"/>
      <c r="L48" s="1457"/>
      <c r="M48" s="1457"/>
      <c r="N48" s="1457"/>
      <c r="O48" s="1457"/>
      <c r="P48" s="1462"/>
      <c r="Q48" s="1495"/>
      <c r="R48" s="1461">
        <v>350000</v>
      </c>
      <c r="S48" s="1457">
        <f>200000+200000</f>
        <v>400000</v>
      </c>
      <c r="T48" s="1457"/>
      <c r="U48" s="1457"/>
      <c r="V48" s="1457"/>
      <c r="W48" s="1462">
        <f>SUM(S48:V48)</f>
        <v>400000</v>
      </c>
      <c r="X48" s="1496">
        <f t="shared" si="13"/>
        <v>114.28571428571428</v>
      </c>
      <c r="Y48" s="1444"/>
    </row>
    <row r="49" spans="1:25" ht="24">
      <c r="A49" s="1497">
        <v>6050</v>
      </c>
      <c r="B49" s="1513" t="s">
        <v>658</v>
      </c>
      <c r="C49" s="1457">
        <v>0</v>
      </c>
      <c r="D49" s="1457">
        <f t="shared" si="14"/>
        <v>2031808</v>
      </c>
      <c r="E49" s="1514">
        <f>SUM(E50:E61)</f>
        <v>25000000</v>
      </c>
      <c r="F49" s="1457">
        <f>P49+W49</f>
        <v>6300000</v>
      </c>
      <c r="G49" s="1499"/>
      <c r="H49" s="1515">
        <f t="shared" si="3"/>
        <v>310.06866790562884</v>
      </c>
      <c r="I49" s="1501"/>
      <c r="J49" s="1461"/>
      <c r="K49" s="1457"/>
      <c r="L49" s="1457"/>
      <c r="M49" s="1457"/>
      <c r="N49" s="1457"/>
      <c r="O49" s="1457"/>
      <c r="P49" s="1462"/>
      <c r="Q49" s="1495"/>
      <c r="R49" s="1461">
        <v>2031808</v>
      </c>
      <c r="S49" s="1457">
        <f>SUM(S50:S61)</f>
        <v>0</v>
      </c>
      <c r="T49" s="1457">
        <f>SUM(T50:T61)</f>
        <v>6300000</v>
      </c>
      <c r="U49" s="1457">
        <f>SUM(U50:U61)</f>
        <v>0</v>
      </c>
      <c r="V49" s="1457">
        <f>SUM(V50:V61)</f>
        <v>0</v>
      </c>
      <c r="W49" s="1462">
        <f>SUM(W50:W61)</f>
        <v>6300000</v>
      </c>
      <c r="X49" s="1496">
        <f t="shared" si="13"/>
        <v>310.06866790562884</v>
      </c>
      <c r="Y49" s="1444"/>
    </row>
    <row r="50" spans="1:25" s="618" customFormat="1" ht="24" hidden="1">
      <c r="A50" s="1521"/>
      <c r="B50" s="1522" t="s">
        <v>659</v>
      </c>
      <c r="C50" s="1523"/>
      <c r="D50" s="1523"/>
      <c r="E50" s="1524">
        <v>5600000</v>
      </c>
      <c r="F50" s="1523">
        <f aca="true" t="shared" si="15" ref="F50:F61">P50+W50</f>
        <v>0</v>
      </c>
      <c r="G50" s="1499"/>
      <c r="H50" s="1515"/>
      <c r="I50" s="1525"/>
      <c r="J50" s="1526"/>
      <c r="K50" s="1523"/>
      <c r="L50" s="1523"/>
      <c r="M50" s="1523"/>
      <c r="N50" s="1523"/>
      <c r="O50" s="1523"/>
      <c r="P50" s="1527"/>
      <c r="Q50" s="1528"/>
      <c r="R50" s="1526"/>
      <c r="S50" s="1523"/>
      <c r="T50" s="1523"/>
      <c r="U50" s="1523"/>
      <c r="V50" s="1523"/>
      <c r="W50" s="1462">
        <f aca="true" t="shared" si="16" ref="W50:W61">SUM(S50:V50)</f>
        <v>0</v>
      </c>
      <c r="X50" s="1529"/>
      <c r="Y50" s="1305"/>
    </row>
    <row r="51" spans="1:25" s="618" customFormat="1" ht="24">
      <c r="A51" s="1521"/>
      <c r="B51" s="1522" t="s">
        <v>660</v>
      </c>
      <c r="C51" s="1523"/>
      <c r="D51" s="1523"/>
      <c r="E51" s="1524">
        <v>1600000</v>
      </c>
      <c r="F51" s="1523">
        <f t="shared" si="15"/>
        <v>1600000</v>
      </c>
      <c r="G51" s="1499"/>
      <c r="H51" s="1499"/>
      <c r="I51" s="1530"/>
      <c r="J51" s="1526"/>
      <c r="K51" s="1523"/>
      <c r="L51" s="1523"/>
      <c r="M51" s="1523"/>
      <c r="N51" s="1523"/>
      <c r="O51" s="1523"/>
      <c r="P51" s="1527"/>
      <c r="Q51" s="1528"/>
      <c r="R51" s="1526"/>
      <c r="S51" s="1523"/>
      <c r="T51" s="1523">
        <v>1600000</v>
      </c>
      <c r="U51" s="1523"/>
      <c r="V51" s="1523"/>
      <c r="W51" s="1462">
        <f t="shared" si="16"/>
        <v>1600000</v>
      </c>
      <c r="X51" s="1529"/>
      <c r="Y51" s="1305"/>
    </row>
    <row r="52" spans="1:25" s="618" customFormat="1" ht="12.75">
      <c r="A52" s="1521"/>
      <c r="B52" s="1522" t="s">
        <v>330</v>
      </c>
      <c r="C52" s="1523"/>
      <c r="D52" s="1523"/>
      <c r="E52" s="1524">
        <v>1600000</v>
      </c>
      <c r="F52" s="1523">
        <f t="shared" si="15"/>
        <v>1600000</v>
      </c>
      <c r="G52" s="1499"/>
      <c r="H52" s="1499"/>
      <c r="I52" s="1530"/>
      <c r="J52" s="1526"/>
      <c r="K52" s="1523"/>
      <c r="L52" s="1523"/>
      <c r="M52" s="1523"/>
      <c r="N52" s="1523"/>
      <c r="O52" s="1523"/>
      <c r="P52" s="1527"/>
      <c r="Q52" s="1528"/>
      <c r="R52" s="1526"/>
      <c r="S52" s="1523"/>
      <c r="T52" s="1523">
        <f>1600000-600000+600000</f>
        <v>1600000</v>
      </c>
      <c r="U52" s="1523"/>
      <c r="V52" s="1523"/>
      <c r="W52" s="1462">
        <f t="shared" si="16"/>
        <v>1600000</v>
      </c>
      <c r="X52" s="1529"/>
      <c r="Y52" s="1305"/>
    </row>
    <row r="53" spans="1:25" s="618" customFormat="1" ht="12.75">
      <c r="A53" s="1521"/>
      <c r="B53" s="1522" t="s">
        <v>193</v>
      </c>
      <c r="C53" s="1523"/>
      <c r="D53" s="1523"/>
      <c r="E53" s="1524">
        <v>5300000</v>
      </c>
      <c r="F53" s="1523">
        <f t="shared" si="15"/>
        <v>3000000</v>
      </c>
      <c r="G53" s="1499"/>
      <c r="H53" s="1499"/>
      <c r="I53" s="1530"/>
      <c r="J53" s="1526"/>
      <c r="K53" s="1523"/>
      <c r="L53" s="1523"/>
      <c r="M53" s="1523"/>
      <c r="N53" s="1523"/>
      <c r="O53" s="1523"/>
      <c r="P53" s="1527"/>
      <c r="Q53" s="1528"/>
      <c r="R53" s="1526"/>
      <c r="S53" s="1523"/>
      <c r="T53" s="1523">
        <v>3000000</v>
      </c>
      <c r="U53" s="1523"/>
      <c r="V53" s="1523"/>
      <c r="W53" s="1462">
        <f t="shared" si="16"/>
        <v>3000000</v>
      </c>
      <c r="X53" s="1529"/>
      <c r="Y53" s="1305"/>
    </row>
    <row r="54" spans="1:25" s="618" customFormat="1" ht="12.75" hidden="1">
      <c r="A54" s="1521"/>
      <c r="B54" s="1522" t="s">
        <v>661</v>
      </c>
      <c r="C54" s="1523"/>
      <c r="D54" s="1523"/>
      <c r="E54" s="1524">
        <v>2900000</v>
      </c>
      <c r="F54" s="1523">
        <f t="shared" si="15"/>
        <v>0</v>
      </c>
      <c r="G54" s="1499"/>
      <c r="H54" s="1499"/>
      <c r="I54" s="1530"/>
      <c r="J54" s="1526"/>
      <c r="K54" s="1523"/>
      <c r="L54" s="1523"/>
      <c r="M54" s="1523"/>
      <c r="N54" s="1523"/>
      <c r="O54" s="1523"/>
      <c r="P54" s="1527"/>
      <c r="Q54" s="1528"/>
      <c r="R54" s="1526"/>
      <c r="S54" s="1523"/>
      <c r="T54" s="1523"/>
      <c r="U54" s="1523"/>
      <c r="V54" s="1523"/>
      <c r="W54" s="1462">
        <f t="shared" si="16"/>
        <v>0</v>
      </c>
      <c r="X54" s="1529"/>
      <c r="Y54" s="1305"/>
    </row>
    <row r="55" spans="1:25" s="618" customFormat="1" ht="12.75" hidden="1">
      <c r="A55" s="1521"/>
      <c r="B55" s="1522" t="s">
        <v>662</v>
      </c>
      <c r="C55" s="1523"/>
      <c r="D55" s="1523"/>
      <c r="E55" s="1524">
        <v>4000000</v>
      </c>
      <c r="F55" s="1523">
        <f t="shared" si="15"/>
        <v>0</v>
      </c>
      <c r="G55" s="1499"/>
      <c r="H55" s="1499"/>
      <c r="I55" s="1530"/>
      <c r="J55" s="1526"/>
      <c r="K55" s="1523"/>
      <c r="L55" s="1523"/>
      <c r="M55" s="1523"/>
      <c r="N55" s="1523"/>
      <c r="O55" s="1523"/>
      <c r="P55" s="1527"/>
      <c r="Q55" s="1528"/>
      <c r="R55" s="1526"/>
      <c r="S55" s="1523"/>
      <c r="T55" s="1523"/>
      <c r="U55" s="1523"/>
      <c r="V55" s="1523"/>
      <c r="W55" s="1462">
        <f t="shared" si="16"/>
        <v>0</v>
      </c>
      <c r="X55" s="1529"/>
      <c r="Y55" s="1305"/>
    </row>
    <row r="56" spans="1:25" s="618" customFormat="1" ht="12.75" hidden="1">
      <c r="A56" s="1521"/>
      <c r="B56" s="1522" t="s">
        <v>663</v>
      </c>
      <c r="C56" s="1523"/>
      <c r="D56" s="1523"/>
      <c r="E56" s="1524">
        <v>1200000</v>
      </c>
      <c r="F56" s="1523">
        <f t="shared" si="15"/>
        <v>0</v>
      </c>
      <c r="G56" s="1499"/>
      <c r="H56" s="1499"/>
      <c r="I56" s="1530"/>
      <c r="J56" s="1526"/>
      <c r="K56" s="1523"/>
      <c r="L56" s="1523"/>
      <c r="M56" s="1523"/>
      <c r="N56" s="1523"/>
      <c r="O56" s="1523"/>
      <c r="P56" s="1527"/>
      <c r="Q56" s="1528"/>
      <c r="R56" s="1526"/>
      <c r="S56" s="1523"/>
      <c r="T56" s="1523"/>
      <c r="U56" s="1523"/>
      <c r="V56" s="1523"/>
      <c r="W56" s="1462">
        <f t="shared" si="16"/>
        <v>0</v>
      </c>
      <c r="X56" s="1529"/>
      <c r="Y56" s="1305"/>
    </row>
    <row r="57" spans="1:25" s="618" customFormat="1" ht="15.75" customHeight="1" hidden="1">
      <c r="A57" s="1521"/>
      <c r="B57" s="1522" t="s">
        <v>664</v>
      </c>
      <c r="C57" s="1523"/>
      <c r="D57" s="1523"/>
      <c r="E57" s="1524">
        <v>400000</v>
      </c>
      <c r="F57" s="1523">
        <f t="shared" si="15"/>
        <v>0</v>
      </c>
      <c r="G57" s="1499"/>
      <c r="H57" s="1499"/>
      <c r="I57" s="1530"/>
      <c r="J57" s="1526"/>
      <c r="K57" s="1523"/>
      <c r="L57" s="1523"/>
      <c r="M57" s="1523"/>
      <c r="N57" s="1523"/>
      <c r="O57" s="1523"/>
      <c r="P57" s="1527"/>
      <c r="Q57" s="1528"/>
      <c r="R57" s="1526"/>
      <c r="S57" s="1523"/>
      <c r="T57" s="1523"/>
      <c r="U57" s="1523"/>
      <c r="V57" s="1523"/>
      <c r="W57" s="1462">
        <f t="shared" si="16"/>
        <v>0</v>
      </c>
      <c r="X57" s="1529"/>
      <c r="Y57" s="1305"/>
    </row>
    <row r="58" spans="1:25" s="618" customFormat="1" ht="24" hidden="1">
      <c r="A58" s="1521"/>
      <c r="B58" s="1522" t="s">
        <v>665</v>
      </c>
      <c r="C58" s="1523"/>
      <c r="D58" s="1523"/>
      <c r="E58" s="1524"/>
      <c r="F58" s="1523">
        <f t="shared" si="15"/>
        <v>0</v>
      </c>
      <c r="G58" s="1499"/>
      <c r="H58" s="1499"/>
      <c r="I58" s="1530"/>
      <c r="J58" s="1526"/>
      <c r="K58" s="1523"/>
      <c r="L58" s="1523"/>
      <c r="M58" s="1523"/>
      <c r="N58" s="1523"/>
      <c r="O58" s="1523"/>
      <c r="P58" s="1527"/>
      <c r="Q58" s="1528"/>
      <c r="R58" s="1526"/>
      <c r="S58" s="1523"/>
      <c r="T58" s="1523"/>
      <c r="U58" s="1523"/>
      <c r="V58" s="1523"/>
      <c r="W58" s="1462">
        <f t="shared" si="16"/>
        <v>0</v>
      </c>
      <c r="X58" s="1529"/>
      <c r="Y58" s="1305"/>
    </row>
    <row r="59" spans="1:25" s="618" customFormat="1" ht="36" hidden="1">
      <c r="A59" s="1521"/>
      <c r="B59" s="1522" t="s">
        <v>666</v>
      </c>
      <c r="C59" s="1523"/>
      <c r="D59" s="1523"/>
      <c r="E59" s="1524">
        <v>2100000</v>
      </c>
      <c r="F59" s="1523">
        <f t="shared" si="15"/>
        <v>0</v>
      </c>
      <c r="G59" s="1499"/>
      <c r="H59" s="1499"/>
      <c r="I59" s="1530"/>
      <c r="J59" s="1526"/>
      <c r="K59" s="1523"/>
      <c r="L59" s="1523"/>
      <c r="M59" s="1523"/>
      <c r="N59" s="1523"/>
      <c r="O59" s="1523"/>
      <c r="P59" s="1527"/>
      <c r="Q59" s="1528"/>
      <c r="R59" s="1526"/>
      <c r="S59" s="1523"/>
      <c r="T59" s="1523"/>
      <c r="U59" s="1523"/>
      <c r="V59" s="1523"/>
      <c r="W59" s="1462">
        <f t="shared" si="16"/>
        <v>0</v>
      </c>
      <c r="X59" s="1529"/>
      <c r="Y59" s="1305"/>
    </row>
    <row r="60" spans="1:25" s="618" customFormat="1" ht="12.75" hidden="1">
      <c r="A60" s="1521"/>
      <c r="B60" s="1522"/>
      <c r="C60" s="1523"/>
      <c r="D60" s="1523"/>
      <c r="E60" s="1524"/>
      <c r="F60" s="1523">
        <f t="shared" si="15"/>
        <v>0</v>
      </c>
      <c r="G60" s="1499"/>
      <c r="H60" s="1499"/>
      <c r="I60" s="1530"/>
      <c r="J60" s="1526"/>
      <c r="K60" s="1523"/>
      <c r="L60" s="1523"/>
      <c r="M60" s="1523"/>
      <c r="N60" s="1523"/>
      <c r="O60" s="1523"/>
      <c r="P60" s="1527"/>
      <c r="Q60" s="1528"/>
      <c r="R60" s="1526"/>
      <c r="S60" s="1523"/>
      <c r="T60" s="1523"/>
      <c r="U60" s="1523"/>
      <c r="V60" s="1523"/>
      <c r="W60" s="1462">
        <f t="shared" si="16"/>
        <v>0</v>
      </c>
      <c r="X60" s="1529"/>
      <c r="Y60" s="1305"/>
    </row>
    <row r="61" spans="1:25" s="618" customFormat="1" ht="12.75">
      <c r="A61" s="1521"/>
      <c r="B61" s="1522" t="s">
        <v>194</v>
      </c>
      <c r="C61" s="1523"/>
      <c r="D61" s="1523"/>
      <c r="E61" s="1524">
        <v>300000</v>
      </c>
      <c r="F61" s="1523">
        <f t="shared" si="15"/>
        <v>100000</v>
      </c>
      <c r="G61" s="1499"/>
      <c r="H61" s="1499"/>
      <c r="I61" s="1530"/>
      <c r="J61" s="1526"/>
      <c r="K61" s="1523"/>
      <c r="L61" s="1523"/>
      <c r="M61" s="1523"/>
      <c r="N61" s="1523"/>
      <c r="O61" s="1523"/>
      <c r="P61" s="1527"/>
      <c r="Q61" s="1528"/>
      <c r="R61" s="1526"/>
      <c r="S61" s="1523"/>
      <c r="T61" s="1523">
        <v>100000</v>
      </c>
      <c r="U61" s="1523"/>
      <c r="V61" s="1523"/>
      <c r="W61" s="1462">
        <f t="shared" si="16"/>
        <v>100000</v>
      </c>
      <c r="X61" s="1529"/>
      <c r="Y61" s="1305"/>
    </row>
    <row r="62" spans="1:25" ht="36">
      <c r="A62" s="1497">
        <v>6051</v>
      </c>
      <c r="B62" s="1513" t="s">
        <v>667</v>
      </c>
      <c r="C62" s="1457">
        <v>3460296</v>
      </c>
      <c r="D62" s="1457">
        <f t="shared" si="14"/>
        <v>0</v>
      </c>
      <c r="E62" s="1458"/>
      <c r="F62" s="1459">
        <f>P62+W62</f>
        <v>0</v>
      </c>
      <c r="G62" s="1499">
        <f t="shared" si="2"/>
        <v>0</v>
      </c>
      <c r="H62" s="1499"/>
      <c r="I62" s="1450"/>
      <c r="J62" s="1461"/>
      <c r="K62" s="1457"/>
      <c r="L62" s="1457"/>
      <c r="M62" s="1457"/>
      <c r="N62" s="1457"/>
      <c r="O62" s="1457"/>
      <c r="P62" s="1462"/>
      <c r="Q62" s="1495"/>
      <c r="R62" s="1461"/>
      <c r="S62" s="1457"/>
      <c r="T62" s="1457"/>
      <c r="U62" s="1457"/>
      <c r="V62" s="1457"/>
      <c r="W62" s="1462">
        <f>SUM(S62:V62)</f>
        <v>0</v>
      </c>
      <c r="X62" s="1496"/>
      <c r="Y62" s="1444"/>
    </row>
    <row r="63" spans="1:25" ht="36">
      <c r="A63" s="1497">
        <v>6058</v>
      </c>
      <c r="B63" s="1513" t="s">
        <v>667</v>
      </c>
      <c r="C63" s="1457"/>
      <c r="D63" s="1457">
        <f t="shared" si="14"/>
        <v>3460296</v>
      </c>
      <c r="E63" s="1458"/>
      <c r="F63" s="1459">
        <f>P63+W63</f>
        <v>0</v>
      </c>
      <c r="G63" s="1499"/>
      <c r="H63" s="1499">
        <f t="shared" si="3"/>
        <v>0</v>
      </c>
      <c r="I63" s="1450"/>
      <c r="J63" s="1461"/>
      <c r="K63" s="1457"/>
      <c r="L63" s="1457"/>
      <c r="M63" s="1457"/>
      <c r="N63" s="1457"/>
      <c r="O63" s="1457"/>
      <c r="P63" s="1462"/>
      <c r="Q63" s="1495"/>
      <c r="R63" s="1461">
        <v>3460296</v>
      </c>
      <c r="S63" s="1457"/>
      <c r="T63" s="1457"/>
      <c r="U63" s="1457"/>
      <c r="V63" s="1457"/>
      <c r="W63" s="1462"/>
      <c r="X63" s="1496"/>
      <c r="Y63" s="1444"/>
    </row>
    <row r="64" spans="1:25" ht="36">
      <c r="A64" s="1497">
        <v>6052</v>
      </c>
      <c r="B64" s="1513" t="s">
        <v>667</v>
      </c>
      <c r="C64" s="1457">
        <v>1153432</v>
      </c>
      <c r="D64" s="1457">
        <f t="shared" si="14"/>
        <v>0</v>
      </c>
      <c r="E64" s="1458"/>
      <c r="F64" s="1459">
        <f>P64+W64</f>
        <v>0</v>
      </c>
      <c r="G64" s="1499">
        <f t="shared" si="2"/>
        <v>0</v>
      </c>
      <c r="H64" s="1499"/>
      <c r="I64" s="1450"/>
      <c r="J64" s="1461"/>
      <c r="K64" s="1457"/>
      <c r="L64" s="1457"/>
      <c r="M64" s="1457"/>
      <c r="N64" s="1457"/>
      <c r="O64" s="1457"/>
      <c r="P64" s="1462"/>
      <c r="Q64" s="1495"/>
      <c r="R64" s="1461"/>
      <c r="S64" s="1457"/>
      <c r="T64" s="1457"/>
      <c r="U64" s="1457"/>
      <c r="V64" s="1457"/>
      <c r="W64" s="1462">
        <f>SUM(S64:V64)</f>
        <v>0</v>
      </c>
      <c r="X64" s="1496"/>
      <c r="Y64" s="1444"/>
    </row>
    <row r="65" spans="1:25" ht="36">
      <c r="A65" s="1497">
        <v>6059</v>
      </c>
      <c r="B65" s="1513" t="s">
        <v>667</v>
      </c>
      <c r="C65" s="1457"/>
      <c r="D65" s="1457">
        <f t="shared" si="14"/>
        <v>1092074</v>
      </c>
      <c r="E65" s="1458"/>
      <c r="F65" s="1459">
        <f>P65+W65</f>
        <v>0</v>
      </c>
      <c r="G65" s="1499"/>
      <c r="H65" s="1499">
        <f t="shared" si="3"/>
        <v>0</v>
      </c>
      <c r="I65" s="1450"/>
      <c r="J65" s="1461"/>
      <c r="K65" s="1457"/>
      <c r="L65" s="1457"/>
      <c r="M65" s="1457"/>
      <c r="N65" s="1457"/>
      <c r="O65" s="1457"/>
      <c r="P65" s="1462"/>
      <c r="Q65" s="1495"/>
      <c r="R65" s="1461">
        <v>1092074</v>
      </c>
      <c r="S65" s="1457"/>
      <c r="T65" s="1457"/>
      <c r="U65" s="1457"/>
      <c r="V65" s="1457"/>
      <c r="W65" s="1462"/>
      <c r="X65" s="1496"/>
      <c r="Y65" s="1444"/>
    </row>
    <row r="66" spans="1:25" ht="36">
      <c r="A66" s="1497">
        <v>6051</v>
      </c>
      <c r="B66" s="1513" t="s">
        <v>668</v>
      </c>
      <c r="C66" s="1457">
        <v>3089439</v>
      </c>
      <c r="D66" s="1457">
        <f t="shared" si="14"/>
        <v>0</v>
      </c>
      <c r="E66" s="1458"/>
      <c r="F66" s="1459">
        <f>P66+W66</f>
        <v>0</v>
      </c>
      <c r="G66" s="1499">
        <f t="shared" si="2"/>
        <v>0</v>
      </c>
      <c r="H66" s="1499"/>
      <c r="I66" s="1450"/>
      <c r="J66" s="1461"/>
      <c r="K66" s="1457"/>
      <c r="L66" s="1457"/>
      <c r="M66" s="1457"/>
      <c r="N66" s="1457"/>
      <c r="O66" s="1457"/>
      <c r="P66" s="1462"/>
      <c r="Q66" s="1495"/>
      <c r="R66" s="1461"/>
      <c r="S66" s="1457"/>
      <c r="T66" s="1457"/>
      <c r="U66" s="1457"/>
      <c r="V66" s="1457"/>
      <c r="W66" s="1462">
        <f>SUM(S66:V66)</f>
        <v>0</v>
      </c>
      <c r="X66" s="1496"/>
      <c r="Y66" s="1444"/>
    </row>
    <row r="67" spans="1:25" ht="36">
      <c r="A67" s="1497">
        <v>6058</v>
      </c>
      <c r="B67" s="1513" t="s">
        <v>668</v>
      </c>
      <c r="C67" s="1457"/>
      <c r="D67" s="1457">
        <f t="shared" si="14"/>
        <v>3089439</v>
      </c>
      <c r="E67" s="1458"/>
      <c r="F67" s="1459"/>
      <c r="G67" s="1499"/>
      <c r="H67" s="1499">
        <f t="shared" si="3"/>
        <v>0</v>
      </c>
      <c r="I67" s="1450"/>
      <c r="J67" s="1461"/>
      <c r="K67" s="1457"/>
      <c r="L67" s="1457"/>
      <c r="M67" s="1457"/>
      <c r="N67" s="1457"/>
      <c r="O67" s="1457"/>
      <c r="P67" s="1462"/>
      <c r="Q67" s="1495"/>
      <c r="R67" s="1461">
        <v>3089439</v>
      </c>
      <c r="S67" s="1457"/>
      <c r="T67" s="1457"/>
      <c r="U67" s="1457"/>
      <c r="V67" s="1457"/>
      <c r="W67" s="1462"/>
      <c r="X67" s="1496"/>
      <c r="Y67" s="1444"/>
    </row>
    <row r="68" spans="1:25" ht="36">
      <c r="A68" s="1497">
        <v>6052</v>
      </c>
      <c r="B68" s="1513" t="s">
        <v>669</v>
      </c>
      <c r="C68" s="1457">
        <v>1029813</v>
      </c>
      <c r="D68" s="1457">
        <f t="shared" si="14"/>
        <v>0</v>
      </c>
      <c r="E68" s="1458"/>
      <c r="F68" s="1459">
        <f aca="true" t="shared" si="17" ref="F68:F73">P68+W68</f>
        <v>0</v>
      </c>
      <c r="G68" s="1499">
        <f t="shared" si="2"/>
        <v>0</v>
      </c>
      <c r="H68" s="1499"/>
      <c r="I68" s="1450"/>
      <c r="J68" s="1461"/>
      <c r="K68" s="1457"/>
      <c r="L68" s="1457"/>
      <c r="M68" s="1457"/>
      <c r="N68" s="1457"/>
      <c r="O68" s="1457"/>
      <c r="P68" s="1462"/>
      <c r="Q68" s="1495"/>
      <c r="R68" s="1461"/>
      <c r="S68" s="1457"/>
      <c r="T68" s="1457"/>
      <c r="U68" s="1457"/>
      <c r="V68" s="1457"/>
      <c r="W68" s="1462">
        <f aca="true" t="shared" si="18" ref="W68:W73">SUM(S68:V68)</f>
        <v>0</v>
      </c>
      <c r="X68" s="1496"/>
      <c r="Y68" s="1444"/>
    </row>
    <row r="69" spans="1:25" ht="36">
      <c r="A69" s="1497">
        <v>6059</v>
      </c>
      <c r="B69" s="1513" t="s">
        <v>670</v>
      </c>
      <c r="C69" s="1457"/>
      <c r="D69" s="1457">
        <f t="shared" si="14"/>
        <v>943363</v>
      </c>
      <c r="E69" s="1458"/>
      <c r="F69" s="1459">
        <f t="shared" si="17"/>
        <v>0</v>
      </c>
      <c r="G69" s="1499"/>
      <c r="H69" s="1499">
        <f t="shared" si="3"/>
        <v>0</v>
      </c>
      <c r="I69" s="1450"/>
      <c r="J69" s="1461"/>
      <c r="K69" s="1457"/>
      <c r="L69" s="1457"/>
      <c r="M69" s="1457"/>
      <c r="N69" s="1457"/>
      <c r="O69" s="1457"/>
      <c r="P69" s="1462"/>
      <c r="Q69" s="1495"/>
      <c r="R69" s="1461">
        <v>943363</v>
      </c>
      <c r="S69" s="1457"/>
      <c r="T69" s="1457"/>
      <c r="U69" s="1457"/>
      <c r="V69" s="1457"/>
      <c r="W69" s="1462">
        <f t="shared" si="18"/>
        <v>0</v>
      </c>
      <c r="X69" s="1496"/>
      <c r="Y69" s="1444"/>
    </row>
    <row r="70" spans="1:25" ht="24">
      <c r="A70" s="1497">
        <v>6058</v>
      </c>
      <c r="B70" s="1513" t="s">
        <v>671</v>
      </c>
      <c r="C70" s="1457"/>
      <c r="D70" s="1457">
        <f t="shared" si="14"/>
        <v>0</v>
      </c>
      <c r="E70" s="1458">
        <f>3900000-16725</f>
        <v>3883275</v>
      </c>
      <c r="F70" s="1459">
        <f t="shared" si="17"/>
        <v>3883275</v>
      </c>
      <c r="G70" s="1499"/>
      <c r="H70" s="1499"/>
      <c r="I70" s="1450"/>
      <c r="J70" s="1461"/>
      <c r="K70" s="1457"/>
      <c r="L70" s="1457"/>
      <c r="M70" s="1457"/>
      <c r="N70" s="1457"/>
      <c r="O70" s="1457"/>
      <c r="P70" s="1462"/>
      <c r="Q70" s="1495"/>
      <c r="R70" s="1461"/>
      <c r="S70" s="1457"/>
      <c r="T70" s="1457">
        <f>3900000-16725</f>
        <v>3883275</v>
      </c>
      <c r="U70" s="1457"/>
      <c r="V70" s="1457"/>
      <c r="W70" s="1462">
        <f t="shared" si="18"/>
        <v>3883275</v>
      </c>
      <c r="X70" s="1496"/>
      <c r="Y70" s="1444"/>
    </row>
    <row r="71" spans="1:25" ht="24">
      <c r="A71" s="1497">
        <v>6059</v>
      </c>
      <c r="B71" s="1513" t="s">
        <v>672</v>
      </c>
      <c r="C71" s="1457"/>
      <c r="D71" s="1457">
        <f t="shared" si="14"/>
        <v>0</v>
      </c>
      <c r="E71" s="1458">
        <f>1300000+16725</f>
        <v>1316725</v>
      </c>
      <c r="F71" s="1459">
        <f t="shared" si="17"/>
        <v>1316725</v>
      </c>
      <c r="G71" s="1499"/>
      <c r="H71" s="1499"/>
      <c r="I71" s="1450"/>
      <c r="J71" s="1461"/>
      <c r="K71" s="1457"/>
      <c r="L71" s="1457"/>
      <c r="M71" s="1457"/>
      <c r="N71" s="1457"/>
      <c r="O71" s="1457"/>
      <c r="P71" s="1462"/>
      <c r="Q71" s="1495"/>
      <c r="R71" s="1461"/>
      <c r="S71" s="1457"/>
      <c r="T71" s="1457">
        <f>1300000+16725</f>
        <v>1316725</v>
      </c>
      <c r="U71" s="1457"/>
      <c r="V71" s="1457"/>
      <c r="W71" s="1462">
        <f t="shared" si="18"/>
        <v>1316725</v>
      </c>
      <c r="X71" s="1496"/>
      <c r="Y71" s="1444"/>
    </row>
    <row r="72" spans="1:25" ht="36">
      <c r="A72" s="1497">
        <v>6051</v>
      </c>
      <c r="B72" s="1513" t="s">
        <v>673</v>
      </c>
      <c r="C72" s="1457">
        <v>8640000</v>
      </c>
      <c r="D72" s="1457">
        <f t="shared" si="14"/>
        <v>13950000</v>
      </c>
      <c r="E72" s="1458">
        <v>9500000</v>
      </c>
      <c r="F72" s="1459">
        <f t="shared" si="17"/>
        <v>9500000</v>
      </c>
      <c r="G72" s="1499">
        <f t="shared" si="2"/>
        <v>109.9537037037037</v>
      </c>
      <c r="H72" s="1499">
        <f t="shared" si="3"/>
        <v>68.10035842293907</v>
      </c>
      <c r="I72" s="1450"/>
      <c r="J72" s="1461"/>
      <c r="K72" s="1457"/>
      <c r="L72" s="1457"/>
      <c r="M72" s="1457"/>
      <c r="N72" s="1457"/>
      <c r="O72" s="1457"/>
      <c r="P72" s="1462"/>
      <c r="Q72" s="1495"/>
      <c r="R72" s="1461">
        <v>13950000</v>
      </c>
      <c r="S72" s="1457"/>
      <c r="T72" s="1457">
        <v>9500000</v>
      </c>
      <c r="U72" s="1457"/>
      <c r="V72" s="1457"/>
      <c r="W72" s="1462">
        <f t="shared" si="18"/>
        <v>9500000</v>
      </c>
      <c r="X72" s="1496"/>
      <c r="Y72" s="1444"/>
    </row>
    <row r="73" spans="1:25" ht="45" customHeight="1">
      <c r="A73" s="1497">
        <v>6052</v>
      </c>
      <c r="B73" s="1513" t="s">
        <v>673</v>
      </c>
      <c r="C73" s="1457">
        <v>18360000</v>
      </c>
      <c r="D73" s="1457">
        <f t="shared" si="14"/>
        <v>12284850</v>
      </c>
      <c r="E73" s="1514">
        <v>2500000</v>
      </c>
      <c r="F73" s="1457">
        <f t="shared" si="17"/>
        <v>2500000</v>
      </c>
      <c r="G73" s="1499">
        <f aca="true" t="shared" si="19" ref="G73:G136">F73/C73*100</f>
        <v>13.616557734204793</v>
      </c>
      <c r="H73" s="1499">
        <f aca="true" t="shared" si="20" ref="H73:H137">F73/D73*100</f>
        <v>20.350268827051206</v>
      </c>
      <c r="I73" s="1501"/>
      <c r="J73" s="1459"/>
      <c r="K73" s="1457"/>
      <c r="L73" s="1457"/>
      <c r="M73" s="1457"/>
      <c r="N73" s="1457"/>
      <c r="O73" s="1457"/>
      <c r="P73" s="1462"/>
      <c r="Q73" s="1495"/>
      <c r="R73" s="1461">
        <v>12284850</v>
      </c>
      <c r="S73" s="1457">
        <v>0</v>
      </c>
      <c r="T73" s="1457">
        <v>2500000</v>
      </c>
      <c r="U73" s="1457"/>
      <c r="V73" s="1457"/>
      <c r="W73" s="1462">
        <f t="shared" si="18"/>
        <v>2500000</v>
      </c>
      <c r="X73" s="1496">
        <f>W73/R73*100</f>
        <v>20.350268827051206</v>
      </c>
      <c r="Y73" s="1444"/>
    </row>
    <row r="74" spans="1:25" s="581" customFormat="1" ht="21" customHeight="1">
      <c r="A74" s="1516">
        <v>60016</v>
      </c>
      <c r="B74" s="1517" t="s">
        <v>674</v>
      </c>
      <c r="C74" s="1467">
        <f>SUM(C75:C88)-SUM(C78:C83)</f>
        <v>3060000</v>
      </c>
      <c r="D74" s="1467">
        <f>SUM(D75:D88)-SUM(D78:D83)</f>
        <v>4577683</v>
      </c>
      <c r="E74" s="1518">
        <f>SUM(E75:E88)-SUM(E78:E83)</f>
        <v>12477820</v>
      </c>
      <c r="F74" s="1467">
        <f>SUM(F75:F88)-SUM(F78:F83)</f>
        <v>7207800</v>
      </c>
      <c r="G74" s="1531">
        <f t="shared" si="19"/>
        <v>235.54901960784315</v>
      </c>
      <c r="H74" s="1532">
        <f t="shared" si="20"/>
        <v>157.45520168172413</v>
      </c>
      <c r="I74" s="1471"/>
      <c r="J74" s="1469">
        <f aca="true" t="shared" si="21" ref="J74:P74">SUM(J75:J88)-SUM(J78:J83)</f>
        <v>4577683</v>
      </c>
      <c r="K74" s="1467">
        <f t="shared" si="21"/>
        <v>307600</v>
      </c>
      <c r="L74" s="1467">
        <f t="shared" si="21"/>
        <v>4880200</v>
      </c>
      <c r="M74" s="1467">
        <f t="shared" si="21"/>
        <v>0</v>
      </c>
      <c r="N74" s="1467">
        <f t="shared" si="21"/>
        <v>2020000</v>
      </c>
      <c r="O74" s="1467">
        <f t="shared" si="21"/>
        <v>0</v>
      </c>
      <c r="P74" s="1471">
        <f t="shared" si="21"/>
        <v>7207800</v>
      </c>
      <c r="Q74" s="1453">
        <f>P74/J74*100</f>
        <v>157.45520168172413</v>
      </c>
      <c r="R74" s="1470"/>
      <c r="S74" s="1467"/>
      <c r="T74" s="1467"/>
      <c r="U74" s="1467"/>
      <c r="V74" s="1467"/>
      <c r="W74" s="1471"/>
      <c r="X74" s="1454"/>
      <c r="Y74" s="1444"/>
    </row>
    <row r="75" spans="1:25" s="571" customFormat="1" ht="12.75">
      <c r="A75" s="1497">
        <v>4170</v>
      </c>
      <c r="B75" s="1498" t="s">
        <v>572</v>
      </c>
      <c r="C75" s="1457"/>
      <c r="D75" s="1457">
        <f>J75+R75</f>
        <v>11100</v>
      </c>
      <c r="E75" s="1514"/>
      <c r="F75" s="1457">
        <f aca="true" t="shared" si="22" ref="F75:F109">P75+W75</f>
        <v>0</v>
      </c>
      <c r="G75" s="1499"/>
      <c r="H75" s="1499">
        <f t="shared" si="20"/>
        <v>0</v>
      </c>
      <c r="I75" s="1533"/>
      <c r="J75" s="1459">
        <v>11100</v>
      </c>
      <c r="K75" s="1457">
        <v>0</v>
      </c>
      <c r="L75" s="1457"/>
      <c r="M75" s="1457"/>
      <c r="N75" s="1457"/>
      <c r="O75" s="1457"/>
      <c r="P75" s="1462">
        <f>SUM(K75:N75)</f>
        <v>0</v>
      </c>
      <c r="Q75" s="1495"/>
      <c r="R75" s="1461"/>
      <c r="S75" s="1457"/>
      <c r="T75" s="1457"/>
      <c r="U75" s="1457"/>
      <c r="V75" s="1457"/>
      <c r="W75" s="1462"/>
      <c r="X75" s="1496"/>
      <c r="Y75" s="1300"/>
    </row>
    <row r="76" spans="1:25" ht="12.75">
      <c r="A76" s="1497">
        <v>4210</v>
      </c>
      <c r="B76" s="1498" t="s">
        <v>560</v>
      </c>
      <c r="C76" s="1457">
        <v>10000</v>
      </c>
      <c r="D76" s="1457">
        <f>J76+R76</f>
        <v>10000</v>
      </c>
      <c r="E76" s="1514">
        <v>5000</v>
      </c>
      <c r="F76" s="1457">
        <f t="shared" si="22"/>
        <v>5000</v>
      </c>
      <c r="G76" s="1499">
        <f t="shared" si="19"/>
        <v>50</v>
      </c>
      <c r="H76" s="1499">
        <f t="shared" si="20"/>
        <v>50</v>
      </c>
      <c r="I76" s="1534"/>
      <c r="J76" s="1459">
        <v>10000</v>
      </c>
      <c r="K76" s="1457">
        <v>5000</v>
      </c>
      <c r="L76" s="1457"/>
      <c r="M76" s="1457"/>
      <c r="N76" s="1457"/>
      <c r="O76" s="1457"/>
      <c r="P76" s="1462">
        <f>SUM(K76:N76)</f>
        <v>5000</v>
      </c>
      <c r="Q76" s="1495">
        <f>P76/J76*100</f>
        <v>50</v>
      </c>
      <c r="R76" s="1461"/>
      <c r="S76" s="1457"/>
      <c r="T76" s="1457"/>
      <c r="U76" s="1457"/>
      <c r="V76" s="1457"/>
      <c r="W76" s="1462"/>
      <c r="X76" s="1496"/>
      <c r="Y76" s="1444"/>
    </row>
    <row r="77" spans="1:25" s="691" customFormat="1" ht="12.75">
      <c r="A77" s="1497">
        <v>4270</v>
      </c>
      <c r="B77" s="1513" t="s">
        <v>576</v>
      </c>
      <c r="C77" s="1457">
        <v>2000000</v>
      </c>
      <c r="D77" s="1457">
        <f>J77</f>
        <v>1115808</v>
      </c>
      <c r="E77" s="1514">
        <f>SUM(E78:E83)</f>
        <v>4270000</v>
      </c>
      <c r="F77" s="1457">
        <f t="shared" si="22"/>
        <v>2020000</v>
      </c>
      <c r="G77" s="1499">
        <f t="shared" si="19"/>
        <v>101</v>
      </c>
      <c r="H77" s="1499">
        <f t="shared" si="20"/>
        <v>181.03472998938886</v>
      </c>
      <c r="I77" s="1534"/>
      <c r="J77" s="1459">
        <v>1115808</v>
      </c>
      <c r="K77" s="1457"/>
      <c r="L77" s="1457"/>
      <c r="M77" s="1457"/>
      <c r="N77" s="1457">
        <f>6080000-4080000+SUM(N78:N83)-100000</f>
        <v>2020000</v>
      </c>
      <c r="O77" s="1457"/>
      <c r="P77" s="1462">
        <f aca="true" t="shared" si="23" ref="P77:P104">SUM(K77:N77)</f>
        <v>2020000</v>
      </c>
      <c r="Q77" s="1495">
        <f>P77/J77*100</f>
        <v>181.03472998938886</v>
      </c>
      <c r="R77" s="1535"/>
      <c r="S77" s="1536"/>
      <c r="T77" s="1536"/>
      <c r="U77" s="1457"/>
      <c r="V77" s="1536"/>
      <c r="W77" s="1462"/>
      <c r="X77" s="1496"/>
      <c r="Y77" s="1537"/>
    </row>
    <row r="78" spans="1:25" s="1052" customFormat="1" ht="12.75" hidden="1">
      <c r="A78" s="1521"/>
      <c r="B78" s="1522" t="s">
        <v>675</v>
      </c>
      <c r="C78" s="1523"/>
      <c r="D78" s="1523"/>
      <c r="E78" s="1524">
        <v>1600000</v>
      </c>
      <c r="F78" s="1523">
        <f t="shared" si="22"/>
        <v>0</v>
      </c>
      <c r="G78" s="1538"/>
      <c r="H78" s="1538"/>
      <c r="I78" s="1530"/>
      <c r="J78" s="1526"/>
      <c r="K78" s="1523"/>
      <c r="L78" s="1523"/>
      <c r="M78" s="1523"/>
      <c r="N78" s="1523"/>
      <c r="O78" s="1523"/>
      <c r="P78" s="1527">
        <f t="shared" si="23"/>
        <v>0</v>
      </c>
      <c r="Q78" s="1528"/>
      <c r="R78" s="1539"/>
      <c r="S78" s="1540"/>
      <c r="T78" s="1540"/>
      <c r="U78" s="1523"/>
      <c r="V78" s="1540"/>
      <c r="W78" s="1527"/>
      <c r="X78" s="1529"/>
      <c r="Y78" s="1541"/>
    </row>
    <row r="79" spans="1:25" s="1052" customFormat="1" ht="12.75" hidden="1">
      <c r="A79" s="1521"/>
      <c r="B79" s="1522" t="s">
        <v>676</v>
      </c>
      <c r="C79" s="1523"/>
      <c r="D79" s="1523"/>
      <c r="E79" s="1524">
        <v>120000</v>
      </c>
      <c r="F79" s="1523">
        <f t="shared" si="22"/>
        <v>120000</v>
      </c>
      <c r="G79" s="1538"/>
      <c r="H79" s="1538"/>
      <c r="I79" s="1530"/>
      <c r="J79" s="1526"/>
      <c r="K79" s="1523"/>
      <c r="L79" s="1523"/>
      <c r="M79" s="1523"/>
      <c r="N79" s="1523">
        <v>120000</v>
      </c>
      <c r="O79" s="1523"/>
      <c r="P79" s="1527">
        <f t="shared" si="23"/>
        <v>120000</v>
      </c>
      <c r="Q79" s="1528"/>
      <c r="R79" s="1539"/>
      <c r="S79" s="1540"/>
      <c r="T79" s="1540"/>
      <c r="U79" s="1523"/>
      <c r="V79" s="1540"/>
      <c r="W79" s="1527"/>
      <c r="X79" s="1529"/>
      <c r="Y79" s="1541"/>
    </row>
    <row r="80" spans="1:25" s="1052" customFormat="1" ht="12.75" hidden="1">
      <c r="A80" s="1521"/>
      <c r="B80" s="1522" t="s">
        <v>677</v>
      </c>
      <c r="C80" s="1523"/>
      <c r="D80" s="1523"/>
      <c r="E80" s="1524">
        <v>150000</v>
      </c>
      <c r="F80" s="1523">
        <f t="shared" si="22"/>
        <v>0</v>
      </c>
      <c r="G80" s="1538"/>
      <c r="H80" s="1538"/>
      <c r="I80" s="1530"/>
      <c r="J80" s="1526"/>
      <c r="K80" s="1523"/>
      <c r="L80" s="1523"/>
      <c r="M80" s="1523"/>
      <c r="N80" s="1523"/>
      <c r="O80" s="1523"/>
      <c r="P80" s="1527">
        <f t="shared" si="23"/>
        <v>0</v>
      </c>
      <c r="Q80" s="1528"/>
      <c r="R80" s="1539"/>
      <c r="S80" s="1540"/>
      <c r="T80" s="1540"/>
      <c r="U80" s="1523"/>
      <c r="V80" s="1540"/>
      <c r="W80" s="1527"/>
      <c r="X80" s="1529"/>
      <c r="Y80" s="1541"/>
    </row>
    <row r="81" spans="1:25" s="1052" customFormat="1" ht="12.75" hidden="1">
      <c r="A81" s="1521"/>
      <c r="B81" s="1522" t="s">
        <v>678</v>
      </c>
      <c r="C81" s="1523"/>
      <c r="D81" s="1523"/>
      <c r="E81" s="1524">
        <v>400000</v>
      </c>
      <c r="F81" s="1523">
        <f t="shared" si="22"/>
        <v>0</v>
      </c>
      <c r="G81" s="1538"/>
      <c r="H81" s="1538"/>
      <c r="I81" s="1530"/>
      <c r="J81" s="1526"/>
      <c r="K81" s="1523"/>
      <c r="L81" s="1523"/>
      <c r="M81" s="1523"/>
      <c r="N81" s="1523"/>
      <c r="O81" s="1523"/>
      <c r="P81" s="1527">
        <f t="shared" si="23"/>
        <v>0</v>
      </c>
      <c r="Q81" s="1528"/>
      <c r="R81" s="1539"/>
      <c r="S81" s="1540"/>
      <c r="T81" s="1540"/>
      <c r="U81" s="1523"/>
      <c r="V81" s="1540"/>
      <c r="W81" s="1527"/>
      <c r="X81" s="1529"/>
      <c r="Y81" s="1541"/>
    </row>
    <row r="82" spans="1:25" s="1052" customFormat="1" ht="12.75" hidden="1">
      <c r="A82" s="1521"/>
      <c r="B82" s="1522" t="s">
        <v>679</v>
      </c>
      <c r="C82" s="1523"/>
      <c r="D82" s="1523"/>
      <c r="E82" s="1524">
        <v>1000000</v>
      </c>
      <c r="F82" s="1523">
        <f t="shared" si="22"/>
        <v>0</v>
      </c>
      <c r="G82" s="1538"/>
      <c r="H82" s="1538"/>
      <c r="I82" s="1530"/>
      <c r="J82" s="1526"/>
      <c r="K82" s="1523"/>
      <c r="L82" s="1523"/>
      <c r="M82" s="1523"/>
      <c r="N82" s="1523" t="s">
        <v>185</v>
      </c>
      <c r="O82" s="1523"/>
      <c r="P82" s="1527">
        <f t="shared" si="23"/>
        <v>0</v>
      </c>
      <c r="Q82" s="1528"/>
      <c r="R82" s="1539"/>
      <c r="S82" s="1540"/>
      <c r="T82" s="1540"/>
      <c r="U82" s="1523"/>
      <c r="V82" s="1540"/>
      <c r="W82" s="1527"/>
      <c r="X82" s="1529"/>
      <c r="Y82" s="1541"/>
    </row>
    <row r="83" spans="1:25" s="1052" customFormat="1" ht="12.75" hidden="1">
      <c r="A83" s="1521"/>
      <c r="B83" s="1522" t="s">
        <v>680</v>
      </c>
      <c r="C83" s="1523"/>
      <c r="D83" s="1523"/>
      <c r="E83" s="1524">
        <v>1000000</v>
      </c>
      <c r="F83" s="1523">
        <f t="shared" si="22"/>
        <v>0</v>
      </c>
      <c r="G83" s="1538"/>
      <c r="H83" s="1538"/>
      <c r="I83" s="1530"/>
      <c r="J83" s="1526"/>
      <c r="K83" s="1523"/>
      <c r="L83" s="1523"/>
      <c r="M83" s="1523"/>
      <c r="N83" s="1523"/>
      <c r="O83" s="1523"/>
      <c r="P83" s="1527">
        <f t="shared" si="23"/>
        <v>0</v>
      </c>
      <c r="Q83" s="1528"/>
      <c r="R83" s="1539"/>
      <c r="S83" s="1540"/>
      <c r="T83" s="1540"/>
      <c r="U83" s="1523"/>
      <c r="V83" s="1540"/>
      <c r="W83" s="1527"/>
      <c r="X83" s="1529"/>
      <c r="Y83" s="1541"/>
    </row>
    <row r="84" spans="1:25" ht="12.75">
      <c r="A84" s="1497">
        <v>4300</v>
      </c>
      <c r="B84" s="1513" t="s">
        <v>564</v>
      </c>
      <c r="C84" s="1457">
        <v>100000</v>
      </c>
      <c r="D84" s="1457">
        <f>J84+R84</f>
        <v>100000</v>
      </c>
      <c r="E84" s="1514">
        <v>720000</v>
      </c>
      <c r="F84" s="1457">
        <f t="shared" si="22"/>
        <v>300000</v>
      </c>
      <c r="G84" s="1499">
        <f t="shared" si="19"/>
        <v>300</v>
      </c>
      <c r="H84" s="1499">
        <f t="shared" si="20"/>
        <v>300</v>
      </c>
      <c r="I84" s="1450"/>
      <c r="J84" s="1461">
        <v>100000</v>
      </c>
      <c r="K84" s="1457">
        <f>100000+200000</f>
        <v>300000</v>
      </c>
      <c r="L84" s="1457"/>
      <c r="M84" s="1457"/>
      <c r="N84" s="1457"/>
      <c r="O84" s="1457"/>
      <c r="P84" s="1462">
        <f t="shared" si="23"/>
        <v>300000</v>
      </c>
      <c r="Q84" s="1495">
        <f>P84/J84*100</f>
        <v>300</v>
      </c>
      <c r="R84" s="1461"/>
      <c r="S84" s="1457"/>
      <c r="T84" s="1457"/>
      <c r="U84" s="1457"/>
      <c r="V84" s="1457"/>
      <c r="W84" s="1462"/>
      <c r="X84" s="1496"/>
      <c r="Y84" s="1444"/>
    </row>
    <row r="85" spans="1:25" ht="12.75">
      <c r="A85" s="1497">
        <v>4430</v>
      </c>
      <c r="B85" s="1513" t="s">
        <v>582</v>
      </c>
      <c r="C85" s="1457"/>
      <c r="D85" s="1457">
        <f>J85+R85</f>
        <v>2620</v>
      </c>
      <c r="E85" s="1458">
        <v>2620</v>
      </c>
      <c r="F85" s="1459">
        <f t="shared" si="22"/>
        <v>2600</v>
      </c>
      <c r="G85" s="1499"/>
      <c r="H85" s="1499">
        <f t="shared" si="20"/>
        <v>99.23664122137404</v>
      </c>
      <c r="I85" s="1450"/>
      <c r="J85" s="1461">
        <v>2620</v>
      </c>
      <c r="K85" s="1457">
        <v>2600</v>
      </c>
      <c r="L85" s="1457"/>
      <c r="M85" s="1457"/>
      <c r="N85" s="1457"/>
      <c r="O85" s="1457"/>
      <c r="P85" s="1462">
        <f t="shared" si="23"/>
        <v>2600</v>
      </c>
      <c r="Q85" s="1495"/>
      <c r="R85" s="1461"/>
      <c r="S85" s="1457"/>
      <c r="T85" s="1457"/>
      <c r="U85" s="1457"/>
      <c r="V85" s="1457"/>
      <c r="W85" s="1462"/>
      <c r="X85" s="1496"/>
      <c r="Y85" s="1444"/>
    </row>
    <row r="86" spans="1:25" ht="24">
      <c r="A86" s="1497">
        <v>6058</v>
      </c>
      <c r="B86" s="1513" t="s">
        <v>681</v>
      </c>
      <c r="C86" s="1457"/>
      <c r="D86" s="1457"/>
      <c r="E86" s="1458">
        <v>1485200</v>
      </c>
      <c r="F86" s="1459">
        <f t="shared" si="22"/>
        <v>1485167</v>
      </c>
      <c r="G86" s="1499"/>
      <c r="H86" s="1499"/>
      <c r="I86" s="1450"/>
      <c r="J86" s="1461"/>
      <c r="K86" s="1457"/>
      <c r="L86" s="1457">
        <f>1485200-33</f>
        <v>1485167</v>
      </c>
      <c r="M86" s="1457"/>
      <c r="N86" s="1457"/>
      <c r="O86" s="1457"/>
      <c r="P86" s="1462">
        <f t="shared" si="23"/>
        <v>1485167</v>
      </c>
      <c r="Q86" s="1495"/>
      <c r="R86" s="1461"/>
      <c r="S86" s="1457"/>
      <c r="T86" s="1457"/>
      <c r="U86" s="1457"/>
      <c r="V86" s="1457"/>
      <c r="W86" s="1462"/>
      <c r="X86" s="1496"/>
      <c r="Y86" s="1444"/>
    </row>
    <row r="87" spans="1:25" ht="24">
      <c r="A87" s="1497">
        <v>6059</v>
      </c>
      <c r="B87" s="1513" t="s">
        <v>681</v>
      </c>
      <c r="C87" s="1457"/>
      <c r="D87" s="1457"/>
      <c r="E87" s="1458">
        <v>495000</v>
      </c>
      <c r="F87" s="1459">
        <f t="shared" si="22"/>
        <v>495033</v>
      </c>
      <c r="G87" s="1499"/>
      <c r="H87" s="1499"/>
      <c r="I87" s="1450"/>
      <c r="J87" s="1461"/>
      <c r="K87" s="1457"/>
      <c r="L87" s="1457">
        <f>495000+33</f>
        <v>495033</v>
      </c>
      <c r="M87" s="1457"/>
      <c r="N87" s="1457"/>
      <c r="O87" s="1457"/>
      <c r="P87" s="1462">
        <f t="shared" si="23"/>
        <v>495033</v>
      </c>
      <c r="Q87" s="1495"/>
      <c r="R87" s="1461"/>
      <c r="S87" s="1457"/>
      <c r="T87" s="1457"/>
      <c r="U87" s="1457"/>
      <c r="V87" s="1457"/>
      <c r="W87" s="1462"/>
      <c r="X87" s="1496"/>
      <c r="Y87" s="1444"/>
    </row>
    <row r="88" spans="1:25" ht="24">
      <c r="A88" s="1497">
        <v>6050</v>
      </c>
      <c r="B88" s="1513" t="s">
        <v>682</v>
      </c>
      <c r="C88" s="1457">
        <f>SUM(C89:C103)</f>
        <v>950000</v>
      </c>
      <c r="D88" s="1457">
        <f>J88+R88</f>
        <v>3338155</v>
      </c>
      <c r="E88" s="1458">
        <f>SUM(E89:E109)</f>
        <v>5500000</v>
      </c>
      <c r="F88" s="1459">
        <f t="shared" si="22"/>
        <v>2900000</v>
      </c>
      <c r="G88" s="1499">
        <f t="shared" si="19"/>
        <v>305.2631578947369</v>
      </c>
      <c r="H88" s="1499">
        <f t="shared" si="20"/>
        <v>86.87433627258171</v>
      </c>
      <c r="I88" s="1450"/>
      <c r="J88" s="1461">
        <f>SUM(J89:J103)</f>
        <v>3338155</v>
      </c>
      <c r="K88" s="1457">
        <f>SUM(K89:K103)</f>
        <v>0</v>
      </c>
      <c r="L88" s="1457">
        <f>SUM(L89:L109)</f>
        <v>2900000</v>
      </c>
      <c r="M88" s="1457"/>
      <c r="N88" s="1457"/>
      <c r="O88" s="1457"/>
      <c r="P88" s="1462">
        <f t="shared" si="23"/>
        <v>2900000</v>
      </c>
      <c r="Q88" s="1495">
        <f aca="true" t="shared" si="24" ref="Q88:Q101">P88/J88*100</f>
        <v>86.87433627258171</v>
      </c>
      <c r="R88" s="1461"/>
      <c r="S88" s="1457"/>
      <c r="T88" s="1457"/>
      <c r="U88" s="1457"/>
      <c r="V88" s="1457"/>
      <c r="W88" s="1462"/>
      <c r="X88" s="1496"/>
      <c r="Y88" s="1444"/>
    </row>
    <row r="89" spans="1:25" s="618" customFormat="1" ht="24">
      <c r="A89" s="1521"/>
      <c r="B89" s="1542" t="s">
        <v>683</v>
      </c>
      <c r="C89" s="1523"/>
      <c r="D89" s="1457">
        <f aca="true" t="shared" si="25" ref="D89:D107">J89+R89</f>
        <v>0</v>
      </c>
      <c r="E89" s="1543">
        <v>250000</v>
      </c>
      <c r="F89" s="1544">
        <f t="shared" si="22"/>
        <v>250000</v>
      </c>
      <c r="G89" s="1538"/>
      <c r="H89" s="1538"/>
      <c r="I89" s="1530"/>
      <c r="J89" s="1526"/>
      <c r="K89" s="1523"/>
      <c r="L89" s="1523">
        <v>250000</v>
      </c>
      <c r="M89" s="1523"/>
      <c r="N89" s="1523"/>
      <c r="O89" s="1523"/>
      <c r="P89" s="1527">
        <f t="shared" si="23"/>
        <v>250000</v>
      </c>
      <c r="Q89" s="1528" t="e">
        <f t="shared" si="24"/>
        <v>#DIV/0!</v>
      </c>
      <c r="R89" s="1526"/>
      <c r="S89" s="1523"/>
      <c r="T89" s="1523"/>
      <c r="U89" s="1523"/>
      <c r="V89" s="1523"/>
      <c r="W89" s="1527"/>
      <c r="X89" s="1529"/>
      <c r="Y89" s="1305"/>
    </row>
    <row r="90" spans="1:25" s="618" customFormat="1" ht="12.75">
      <c r="A90" s="1521"/>
      <c r="B90" s="1542" t="s">
        <v>684</v>
      </c>
      <c r="C90" s="1523"/>
      <c r="D90" s="1457">
        <f t="shared" si="25"/>
        <v>100000</v>
      </c>
      <c r="E90" s="1543">
        <v>1000000</v>
      </c>
      <c r="F90" s="1544">
        <f t="shared" si="22"/>
        <v>500000</v>
      </c>
      <c r="G90" s="1538"/>
      <c r="H90" s="1538">
        <f t="shared" si="20"/>
        <v>500</v>
      </c>
      <c r="I90" s="1530"/>
      <c r="J90" s="1526">
        <v>100000</v>
      </c>
      <c r="K90" s="1523"/>
      <c r="L90" s="1523">
        <f>1000000-500000</f>
        <v>500000</v>
      </c>
      <c r="M90" s="1523"/>
      <c r="N90" s="1523"/>
      <c r="O90" s="1523"/>
      <c r="P90" s="1527">
        <f t="shared" si="23"/>
        <v>500000</v>
      </c>
      <c r="Q90" s="1528">
        <f t="shared" si="24"/>
        <v>500</v>
      </c>
      <c r="R90" s="1526"/>
      <c r="S90" s="1523"/>
      <c r="T90" s="1523"/>
      <c r="U90" s="1523"/>
      <c r="V90" s="1523"/>
      <c r="W90" s="1527"/>
      <c r="X90" s="1529"/>
      <c r="Y90" s="1305"/>
    </row>
    <row r="91" spans="1:25" s="618" customFormat="1" ht="12.75">
      <c r="A91" s="1521"/>
      <c r="B91" s="1542" t="s">
        <v>685</v>
      </c>
      <c r="C91" s="1523">
        <v>50000</v>
      </c>
      <c r="D91" s="1457">
        <f t="shared" si="25"/>
        <v>150000</v>
      </c>
      <c r="E91" s="1543">
        <v>300000</v>
      </c>
      <c r="F91" s="1544">
        <f t="shared" si="22"/>
        <v>200000</v>
      </c>
      <c r="G91" s="1538">
        <f t="shared" si="19"/>
        <v>400</v>
      </c>
      <c r="H91" s="1538">
        <f t="shared" si="20"/>
        <v>133.33333333333331</v>
      </c>
      <c r="I91" s="1530"/>
      <c r="J91" s="1526">
        <v>150000</v>
      </c>
      <c r="K91" s="1523"/>
      <c r="L91" s="1523">
        <f>300000-100000</f>
        <v>200000</v>
      </c>
      <c r="M91" s="1523"/>
      <c r="N91" s="1523"/>
      <c r="O91" s="1523"/>
      <c r="P91" s="1527">
        <f t="shared" si="23"/>
        <v>200000</v>
      </c>
      <c r="Q91" s="1528">
        <f t="shared" si="24"/>
        <v>133.33333333333331</v>
      </c>
      <c r="R91" s="1526"/>
      <c r="S91" s="1523"/>
      <c r="T91" s="1523"/>
      <c r="U91" s="1523"/>
      <c r="V91" s="1523"/>
      <c r="W91" s="1527"/>
      <c r="X91" s="1529"/>
      <c r="Y91" s="1305"/>
    </row>
    <row r="92" spans="1:25" s="618" customFormat="1" ht="12.75">
      <c r="A92" s="1521"/>
      <c r="B92" s="1542" t="s">
        <v>686</v>
      </c>
      <c r="C92" s="1523">
        <v>100000</v>
      </c>
      <c r="D92" s="1457">
        <f t="shared" si="25"/>
        <v>100000</v>
      </c>
      <c r="E92" s="1543">
        <v>300000</v>
      </c>
      <c r="F92" s="1544">
        <f t="shared" si="22"/>
        <v>300000</v>
      </c>
      <c r="G92" s="1538">
        <f t="shared" si="19"/>
        <v>300</v>
      </c>
      <c r="H92" s="1538">
        <f t="shared" si="20"/>
        <v>300</v>
      </c>
      <c r="I92" s="1530"/>
      <c r="J92" s="1526">
        <v>100000</v>
      </c>
      <c r="K92" s="1523"/>
      <c r="L92" s="1523">
        <v>300000</v>
      </c>
      <c r="M92" s="1523"/>
      <c r="N92" s="1523"/>
      <c r="O92" s="1523"/>
      <c r="P92" s="1527">
        <f t="shared" si="23"/>
        <v>300000</v>
      </c>
      <c r="Q92" s="1528">
        <f t="shared" si="24"/>
        <v>300</v>
      </c>
      <c r="R92" s="1526"/>
      <c r="S92" s="1523"/>
      <c r="T92" s="1523"/>
      <c r="U92" s="1523"/>
      <c r="V92" s="1523"/>
      <c r="W92" s="1527"/>
      <c r="X92" s="1529"/>
      <c r="Y92" s="1305"/>
    </row>
    <row r="93" spans="1:25" s="618" customFormat="1" ht="12.75">
      <c r="A93" s="1521"/>
      <c r="B93" s="1542" t="s">
        <v>687</v>
      </c>
      <c r="C93" s="1523">
        <v>50000</v>
      </c>
      <c r="D93" s="1457">
        <f t="shared" si="25"/>
        <v>150000</v>
      </c>
      <c r="E93" s="1543">
        <v>250000</v>
      </c>
      <c r="F93" s="1544">
        <f t="shared" si="22"/>
        <v>0</v>
      </c>
      <c r="G93" s="1538">
        <f t="shared" si="19"/>
        <v>0</v>
      </c>
      <c r="H93" s="1538">
        <f t="shared" si="20"/>
        <v>0</v>
      </c>
      <c r="I93" s="1530"/>
      <c r="J93" s="1526">
        <v>150000</v>
      </c>
      <c r="K93" s="1523"/>
      <c r="L93" s="1523"/>
      <c r="M93" s="1523"/>
      <c r="N93" s="1523"/>
      <c r="O93" s="1523"/>
      <c r="P93" s="1527">
        <f t="shared" si="23"/>
        <v>0</v>
      </c>
      <c r="Q93" s="1528">
        <f t="shared" si="24"/>
        <v>0</v>
      </c>
      <c r="R93" s="1526"/>
      <c r="S93" s="1523"/>
      <c r="T93" s="1523"/>
      <c r="U93" s="1523"/>
      <c r="V93" s="1523"/>
      <c r="W93" s="1527"/>
      <c r="X93" s="1529"/>
      <c r="Y93" s="1305"/>
    </row>
    <row r="94" spans="1:25" s="618" customFormat="1" ht="12.75">
      <c r="A94" s="1521"/>
      <c r="B94" s="1542" t="s">
        <v>688</v>
      </c>
      <c r="C94" s="1523">
        <v>200000</v>
      </c>
      <c r="D94" s="1457">
        <f t="shared" si="25"/>
        <v>300000</v>
      </c>
      <c r="E94" s="1543">
        <v>400000</v>
      </c>
      <c r="F94" s="1544">
        <f t="shared" si="22"/>
        <v>0</v>
      </c>
      <c r="G94" s="1538">
        <f t="shared" si="19"/>
        <v>0</v>
      </c>
      <c r="H94" s="1538">
        <f t="shared" si="20"/>
        <v>0</v>
      </c>
      <c r="I94" s="1530"/>
      <c r="J94" s="1526">
        <v>300000</v>
      </c>
      <c r="K94" s="1523"/>
      <c r="L94" s="1523"/>
      <c r="M94" s="1523"/>
      <c r="N94" s="1523"/>
      <c r="O94" s="1523"/>
      <c r="P94" s="1527">
        <f t="shared" si="23"/>
        <v>0</v>
      </c>
      <c r="Q94" s="1528">
        <f t="shared" si="24"/>
        <v>0</v>
      </c>
      <c r="R94" s="1526"/>
      <c r="S94" s="1523"/>
      <c r="T94" s="1523"/>
      <c r="U94" s="1523"/>
      <c r="V94" s="1523"/>
      <c r="W94" s="1527"/>
      <c r="X94" s="1529"/>
      <c r="Y94" s="1305"/>
    </row>
    <row r="95" spans="1:25" s="618" customFormat="1" ht="12" customHeight="1">
      <c r="A95" s="1521"/>
      <c r="B95" s="1542" t="s">
        <v>689</v>
      </c>
      <c r="C95" s="1523">
        <v>450000</v>
      </c>
      <c r="D95" s="1457">
        <f t="shared" si="25"/>
        <v>450000</v>
      </c>
      <c r="E95" s="1543">
        <v>150000</v>
      </c>
      <c r="F95" s="1544">
        <f t="shared" si="22"/>
        <v>0</v>
      </c>
      <c r="G95" s="1538">
        <f t="shared" si="19"/>
        <v>0</v>
      </c>
      <c r="H95" s="1538">
        <f t="shared" si="20"/>
        <v>0</v>
      </c>
      <c r="I95" s="1530"/>
      <c r="J95" s="1526">
        <v>450000</v>
      </c>
      <c r="K95" s="1523"/>
      <c r="L95" s="1523"/>
      <c r="M95" s="1523"/>
      <c r="N95" s="1523"/>
      <c r="O95" s="1523"/>
      <c r="P95" s="1527">
        <f t="shared" si="23"/>
        <v>0</v>
      </c>
      <c r="Q95" s="1528">
        <f t="shared" si="24"/>
        <v>0</v>
      </c>
      <c r="R95" s="1526"/>
      <c r="S95" s="1523"/>
      <c r="T95" s="1523"/>
      <c r="U95" s="1523"/>
      <c r="V95" s="1523"/>
      <c r="W95" s="1527"/>
      <c r="X95" s="1529"/>
      <c r="Y95" s="1305"/>
    </row>
    <row r="96" spans="1:25" s="618" customFormat="1" ht="12.75">
      <c r="A96" s="1521"/>
      <c r="B96" s="1542" t="s">
        <v>690</v>
      </c>
      <c r="C96" s="1523"/>
      <c r="D96" s="1457">
        <f t="shared" si="25"/>
        <v>0</v>
      </c>
      <c r="E96" s="1543">
        <v>50000</v>
      </c>
      <c r="F96" s="1544">
        <f t="shared" si="22"/>
        <v>0</v>
      </c>
      <c r="G96" s="1538"/>
      <c r="H96" s="1538"/>
      <c r="I96" s="1530"/>
      <c r="J96" s="1526"/>
      <c r="K96" s="1523"/>
      <c r="L96" s="1523"/>
      <c r="M96" s="1523"/>
      <c r="N96" s="1523"/>
      <c r="O96" s="1523"/>
      <c r="P96" s="1527">
        <f t="shared" si="23"/>
        <v>0</v>
      </c>
      <c r="Q96" s="1528" t="e">
        <f t="shared" si="24"/>
        <v>#DIV/0!</v>
      </c>
      <c r="R96" s="1526"/>
      <c r="S96" s="1523"/>
      <c r="T96" s="1523"/>
      <c r="U96" s="1523"/>
      <c r="V96" s="1523"/>
      <c r="W96" s="1527"/>
      <c r="X96" s="1529"/>
      <c r="Y96" s="1305"/>
    </row>
    <row r="97" spans="1:25" s="618" customFormat="1" ht="12.75">
      <c r="A97" s="1521"/>
      <c r="B97" s="1542" t="s">
        <v>691</v>
      </c>
      <c r="C97" s="1523">
        <v>50000</v>
      </c>
      <c r="D97" s="1457">
        <f t="shared" si="25"/>
        <v>50000</v>
      </c>
      <c r="E97" s="1543">
        <v>300000</v>
      </c>
      <c r="F97" s="1544">
        <f t="shared" si="22"/>
        <v>0</v>
      </c>
      <c r="G97" s="1538">
        <f t="shared" si="19"/>
        <v>0</v>
      </c>
      <c r="H97" s="1538">
        <f t="shared" si="20"/>
        <v>0</v>
      </c>
      <c r="I97" s="1530"/>
      <c r="J97" s="1526">
        <v>50000</v>
      </c>
      <c r="K97" s="1523"/>
      <c r="L97" s="1523"/>
      <c r="M97" s="1523"/>
      <c r="N97" s="1523"/>
      <c r="O97" s="1523"/>
      <c r="P97" s="1527">
        <f t="shared" si="23"/>
        <v>0</v>
      </c>
      <c r="Q97" s="1528">
        <f t="shared" si="24"/>
        <v>0</v>
      </c>
      <c r="R97" s="1526"/>
      <c r="S97" s="1523"/>
      <c r="T97" s="1523"/>
      <c r="U97" s="1523"/>
      <c r="V97" s="1523"/>
      <c r="W97" s="1527"/>
      <c r="X97" s="1529"/>
      <c r="Y97" s="1305"/>
    </row>
    <row r="98" spans="1:25" s="618" customFormat="1" ht="12.75">
      <c r="A98" s="1521"/>
      <c r="B98" s="1542" t="s">
        <v>332</v>
      </c>
      <c r="C98" s="1523">
        <v>50000</v>
      </c>
      <c r="D98" s="1457">
        <f t="shared" si="25"/>
        <v>50000</v>
      </c>
      <c r="E98" s="1543"/>
      <c r="F98" s="1544">
        <f t="shared" si="22"/>
        <v>0</v>
      </c>
      <c r="G98" s="1538">
        <f t="shared" si="19"/>
        <v>0</v>
      </c>
      <c r="H98" s="1538">
        <f t="shared" si="20"/>
        <v>0</v>
      </c>
      <c r="I98" s="1530"/>
      <c r="J98" s="1526">
        <v>50000</v>
      </c>
      <c r="K98" s="1523"/>
      <c r="L98" s="1523"/>
      <c r="M98" s="1523"/>
      <c r="N98" s="1523"/>
      <c r="O98" s="1523"/>
      <c r="P98" s="1527">
        <f t="shared" si="23"/>
        <v>0</v>
      </c>
      <c r="Q98" s="1528">
        <f t="shared" si="24"/>
        <v>0</v>
      </c>
      <c r="R98" s="1526"/>
      <c r="S98" s="1523"/>
      <c r="T98" s="1523"/>
      <c r="U98" s="1523"/>
      <c r="V98" s="1523"/>
      <c r="W98" s="1527"/>
      <c r="X98" s="1529"/>
      <c r="Y98" s="1305"/>
    </row>
    <row r="99" spans="1:25" s="618" customFormat="1" ht="12.75">
      <c r="A99" s="1521"/>
      <c r="B99" s="1542" t="s">
        <v>692</v>
      </c>
      <c r="C99" s="1523"/>
      <c r="D99" s="1457">
        <f t="shared" si="25"/>
        <v>40000</v>
      </c>
      <c r="E99" s="1543"/>
      <c r="F99" s="1544">
        <f t="shared" si="22"/>
        <v>0</v>
      </c>
      <c r="G99" s="1538"/>
      <c r="H99" s="1538">
        <f t="shared" si="20"/>
        <v>0</v>
      </c>
      <c r="I99" s="1530"/>
      <c r="J99" s="1526">
        <v>40000</v>
      </c>
      <c r="K99" s="1523"/>
      <c r="L99" s="1523"/>
      <c r="M99" s="1523"/>
      <c r="N99" s="1523"/>
      <c r="O99" s="1523"/>
      <c r="P99" s="1527">
        <f t="shared" si="23"/>
        <v>0</v>
      </c>
      <c r="Q99" s="1528">
        <f t="shared" si="24"/>
        <v>0</v>
      </c>
      <c r="R99" s="1526"/>
      <c r="S99" s="1523"/>
      <c r="T99" s="1523"/>
      <c r="U99" s="1523"/>
      <c r="V99" s="1523"/>
      <c r="W99" s="1527"/>
      <c r="X99" s="1529"/>
      <c r="Y99" s="1305"/>
    </row>
    <row r="100" spans="1:25" s="618" customFormat="1" ht="12.75">
      <c r="A100" s="1521"/>
      <c r="B100" s="1542" t="s">
        <v>693</v>
      </c>
      <c r="C100" s="1523"/>
      <c r="D100" s="1457">
        <f t="shared" si="25"/>
        <v>140000</v>
      </c>
      <c r="E100" s="1543"/>
      <c r="F100" s="1544">
        <f t="shared" si="22"/>
        <v>0</v>
      </c>
      <c r="G100" s="1538"/>
      <c r="H100" s="1538">
        <f t="shared" si="20"/>
        <v>0</v>
      </c>
      <c r="I100" s="1530"/>
      <c r="J100" s="1526">
        <v>140000</v>
      </c>
      <c r="K100" s="1523"/>
      <c r="L100" s="1523"/>
      <c r="M100" s="1523"/>
      <c r="N100" s="1523"/>
      <c r="O100" s="1523"/>
      <c r="P100" s="1527">
        <f t="shared" si="23"/>
        <v>0</v>
      </c>
      <c r="Q100" s="1528">
        <f t="shared" si="24"/>
        <v>0</v>
      </c>
      <c r="R100" s="1526"/>
      <c r="S100" s="1523"/>
      <c r="T100" s="1523"/>
      <c r="U100" s="1523"/>
      <c r="V100" s="1523"/>
      <c r="W100" s="1527">
        <f>SUM(S100:V100)</f>
        <v>0</v>
      </c>
      <c r="X100" s="1529" t="e">
        <f>W100/R100*100</f>
        <v>#DIV/0!</v>
      </c>
      <c r="Y100" s="1305"/>
    </row>
    <row r="101" spans="1:25" s="618" customFormat="1" ht="24">
      <c r="A101" s="1521"/>
      <c r="B101" s="1542" t="s">
        <v>694</v>
      </c>
      <c r="C101" s="1523"/>
      <c r="D101" s="1457">
        <f t="shared" si="25"/>
        <v>1700000</v>
      </c>
      <c r="E101" s="1543"/>
      <c r="F101" s="1544">
        <f t="shared" si="22"/>
        <v>0</v>
      </c>
      <c r="G101" s="1538"/>
      <c r="H101" s="1538">
        <f t="shared" si="20"/>
        <v>0</v>
      </c>
      <c r="I101" s="1530"/>
      <c r="J101" s="1526">
        <v>1700000</v>
      </c>
      <c r="K101" s="1523"/>
      <c r="L101" s="1523"/>
      <c r="M101" s="1523"/>
      <c r="N101" s="1523"/>
      <c r="O101" s="1523"/>
      <c r="P101" s="1527">
        <f t="shared" si="23"/>
        <v>0</v>
      </c>
      <c r="Q101" s="1528">
        <f t="shared" si="24"/>
        <v>0</v>
      </c>
      <c r="R101" s="1526"/>
      <c r="S101" s="1523"/>
      <c r="T101" s="1523"/>
      <c r="U101" s="1523"/>
      <c r="V101" s="1523"/>
      <c r="W101" s="1527">
        <f>SUM(S101:V101)</f>
        <v>0</v>
      </c>
      <c r="X101" s="1529" t="e">
        <f>W101/R101*100</f>
        <v>#DIV/0!</v>
      </c>
      <c r="Y101" s="1305"/>
    </row>
    <row r="102" spans="1:25" s="618" customFormat="1" ht="24">
      <c r="A102" s="1521"/>
      <c r="B102" s="1542" t="s">
        <v>695</v>
      </c>
      <c r="C102" s="1523"/>
      <c r="D102" s="1457">
        <f t="shared" si="25"/>
        <v>0</v>
      </c>
      <c r="E102" s="1543">
        <v>1500000</v>
      </c>
      <c r="F102" s="1544">
        <f t="shared" si="22"/>
        <v>1500000</v>
      </c>
      <c r="G102" s="1538"/>
      <c r="H102" s="1538"/>
      <c r="I102" s="1530"/>
      <c r="J102" s="1526"/>
      <c r="K102" s="1523"/>
      <c r="L102" s="1523">
        <v>1500000</v>
      </c>
      <c r="M102" s="1523"/>
      <c r="N102" s="1523"/>
      <c r="O102" s="1523"/>
      <c r="P102" s="1527">
        <f t="shared" si="23"/>
        <v>1500000</v>
      </c>
      <c r="Q102" s="1528"/>
      <c r="R102" s="1526"/>
      <c r="S102" s="1523"/>
      <c r="T102" s="1523"/>
      <c r="U102" s="1523"/>
      <c r="V102" s="1523"/>
      <c r="W102" s="1527"/>
      <c r="X102" s="1529"/>
      <c r="Y102" s="1305"/>
    </row>
    <row r="103" spans="1:25" s="618" customFormat="1" ht="12.75">
      <c r="A103" s="1521"/>
      <c r="B103" s="1542"/>
      <c r="C103" s="1523"/>
      <c r="D103" s="1457">
        <f t="shared" si="25"/>
        <v>108155</v>
      </c>
      <c r="E103" s="1543"/>
      <c r="F103" s="1544">
        <f t="shared" si="22"/>
        <v>0</v>
      </c>
      <c r="G103" s="1538"/>
      <c r="H103" s="1538">
        <f t="shared" si="20"/>
        <v>0</v>
      </c>
      <c r="I103" s="1530"/>
      <c r="J103" s="1526">
        <v>108155</v>
      </c>
      <c r="K103" s="1523"/>
      <c r="L103" s="1523"/>
      <c r="M103" s="1523"/>
      <c r="N103" s="1523"/>
      <c r="O103" s="1523"/>
      <c r="P103" s="1527">
        <f t="shared" si="23"/>
        <v>0</v>
      </c>
      <c r="Q103" s="1528"/>
      <c r="R103" s="1526"/>
      <c r="S103" s="1523"/>
      <c r="T103" s="1523"/>
      <c r="U103" s="1523"/>
      <c r="V103" s="1523"/>
      <c r="W103" s="1527"/>
      <c r="X103" s="1529"/>
      <c r="Y103" s="1305"/>
    </row>
    <row r="104" spans="1:25" s="618" customFormat="1" ht="24">
      <c r="A104" s="1521"/>
      <c r="B104" s="1542" t="s">
        <v>696</v>
      </c>
      <c r="C104" s="1523"/>
      <c r="D104" s="1457">
        <f t="shared" si="25"/>
        <v>0</v>
      </c>
      <c r="E104" s="1543">
        <v>150000</v>
      </c>
      <c r="F104" s="1544">
        <f t="shared" si="22"/>
        <v>150000</v>
      </c>
      <c r="G104" s="1538"/>
      <c r="H104" s="1538"/>
      <c r="I104" s="1530"/>
      <c r="J104" s="1526"/>
      <c r="K104" s="1523"/>
      <c r="L104" s="1523">
        <v>150000</v>
      </c>
      <c r="M104" s="1523"/>
      <c r="N104" s="1523"/>
      <c r="O104" s="1523"/>
      <c r="P104" s="1527">
        <f t="shared" si="23"/>
        <v>150000</v>
      </c>
      <c r="Q104" s="1528"/>
      <c r="R104" s="1526"/>
      <c r="S104" s="1523"/>
      <c r="T104" s="1523"/>
      <c r="U104" s="1523"/>
      <c r="V104" s="1523"/>
      <c r="W104" s="1527"/>
      <c r="X104" s="1529"/>
      <c r="Y104" s="1305"/>
    </row>
    <row r="105" spans="1:25" s="618" customFormat="1" ht="12.75" hidden="1">
      <c r="A105" s="1521"/>
      <c r="B105" s="1542" t="s">
        <v>697</v>
      </c>
      <c r="C105" s="1523"/>
      <c r="D105" s="1457">
        <f t="shared" si="25"/>
        <v>0</v>
      </c>
      <c r="E105" s="1543">
        <v>200000</v>
      </c>
      <c r="F105" s="1544">
        <f t="shared" si="22"/>
        <v>0</v>
      </c>
      <c r="G105" s="1538"/>
      <c r="H105" s="1538"/>
      <c r="I105" s="1530"/>
      <c r="J105" s="1526"/>
      <c r="K105" s="1523"/>
      <c r="L105" s="1523"/>
      <c r="M105" s="1523"/>
      <c r="N105" s="1523"/>
      <c r="O105" s="1523"/>
      <c r="P105" s="1527"/>
      <c r="Q105" s="1528"/>
      <c r="R105" s="1526"/>
      <c r="S105" s="1523"/>
      <c r="T105" s="1523"/>
      <c r="U105" s="1523"/>
      <c r="V105" s="1523"/>
      <c r="W105" s="1527"/>
      <c r="X105" s="1529"/>
      <c r="Y105" s="1305"/>
    </row>
    <row r="106" spans="1:25" s="618" customFormat="1" ht="12.75" hidden="1">
      <c r="A106" s="1521"/>
      <c r="B106" s="1542" t="s">
        <v>698</v>
      </c>
      <c r="C106" s="1523"/>
      <c r="D106" s="1457">
        <f t="shared" si="25"/>
        <v>0</v>
      </c>
      <c r="E106" s="1543">
        <v>50000</v>
      </c>
      <c r="F106" s="1544">
        <f t="shared" si="22"/>
        <v>0</v>
      </c>
      <c r="G106" s="1538"/>
      <c r="H106" s="1538"/>
      <c r="I106" s="1530"/>
      <c r="J106" s="1526"/>
      <c r="K106" s="1523"/>
      <c r="L106" s="1523"/>
      <c r="M106" s="1523"/>
      <c r="N106" s="1523"/>
      <c r="O106" s="1523"/>
      <c r="P106" s="1527"/>
      <c r="Q106" s="1528"/>
      <c r="R106" s="1526"/>
      <c r="S106" s="1523"/>
      <c r="T106" s="1523"/>
      <c r="U106" s="1523"/>
      <c r="V106" s="1523"/>
      <c r="W106" s="1527"/>
      <c r="X106" s="1529"/>
      <c r="Y106" s="1305"/>
    </row>
    <row r="107" spans="1:25" s="618" customFormat="1" ht="12.75" hidden="1">
      <c r="A107" s="1521"/>
      <c r="B107" s="1542" t="s">
        <v>699</v>
      </c>
      <c r="C107" s="1523"/>
      <c r="D107" s="1457">
        <f t="shared" si="25"/>
        <v>0</v>
      </c>
      <c r="E107" s="1543">
        <v>400000</v>
      </c>
      <c r="F107" s="1544">
        <f t="shared" si="22"/>
        <v>0</v>
      </c>
      <c r="G107" s="1538"/>
      <c r="H107" s="1538"/>
      <c r="I107" s="1530"/>
      <c r="J107" s="1526"/>
      <c r="K107" s="1523"/>
      <c r="L107" s="1523"/>
      <c r="M107" s="1523"/>
      <c r="N107" s="1523"/>
      <c r="O107" s="1523"/>
      <c r="P107" s="1527"/>
      <c r="Q107" s="1528"/>
      <c r="R107" s="1526"/>
      <c r="S107" s="1523"/>
      <c r="T107" s="1523"/>
      <c r="U107" s="1523"/>
      <c r="V107" s="1523"/>
      <c r="W107" s="1527"/>
      <c r="X107" s="1529"/>
      <c r="Y107" s="1305"/>
    </row>
    <row r="108" spans="1:25" s="618" customFormat="1" ht="12.75" hidden="1">
      <c r="A108" s="1521"/>
      <c r="B108" s="1542" t="s">
        <v>700</v>
      </c>
      <c r="C108" s="1523"/>
      <c r="D108" s="1457"/>
      <c r="E108" s="1543">
        <v>100000</v>
      </c>
      <c r="F108" s="1544">
        <f t="shared" si="22"/>
        <v>0</v>
      </c>
      <c r="G108" s="1538"/>
      <c r="H108" s="1538"/>
      <c r="I108" s="1530"/>
      <c r="J108" s="1526"/>
      <c r="K108" s="1523"/>
      <c r="L108" s="1523"/>
      <c r="M108" s="1523"/>
      <c r="N108" s="1523"/>
      <c r="O108" s="1523"/>
      <c r="P108" s="1527"/>
      <c r="Q108" s="1528"/>
      <c r="R108" s="1526"/>
      <c r="S108" s="1523"/>
      <c r="T108" s="1523"/>
      <c r="U108" s="1523"/>
      <c r="V108" s="1523"/>
      <c r="W108" s="1527"/>
      <c r="X108" s="1529"/>
      <c r="Y108" s="1305"/>
    </row>
    <row r="109" spans="1:25" s="618" customFormat="1" ht="36" hidden="1">
      <c r="A109" s="1521"/>
      <c r="B109" s="1542" t="s">
        <v>701</v>
      </c>
      <c r="C109" s="1523"/>
      <c r="D109" s="1523"/>
      <c r="E109" s="1543">
        <v>100000</v>
      </c>
      <c r="F109" s="1544">
        <f t="shared" si="22"/>
        <v>0</v>
      </c>
      <c r="G109" s="1538"/>
      <c r="H109" s="1538"/>
      <c r="I109" s="1530"/>
      <c r="J109" s="1526"/>
      <c r="K109" s="1523"/>
      <c r="L109" s="1523"/>
      <c r="M109" s="1523"/>
      <c r="N109" s="1523"/>
      <c r="O109" s="1523"/>
      <c r="P109" s="1527"/>
      <c r="Q109" s="1528"/>
      <c r="R109" s="1526"/>
      <c r="S109" s="1523"/>
      <c r="T109" s="1523"/>
      <c r="U109" s="1523"/>
      <c r="V109" s="1523"/>
      <c r="W109" s="1527"/>
      <c r="X109" s="1529"/>
      <c r="Y109" s="1305"/>
    </row>
    <row r="110" spans="1:25" s="581" customFormat="1" ht="21" customHeight="1">
      <c r="A110" s="1516">
        <v>60017</v>
      </c>
      <c r="B110" s="1545" t="s">
        <v>203</v>
      </c>
      <c r="C110" s="1467">
        <f>SUM(C111:C112)+SUM(C123:C126)</f>
        <v>334600</v>
      </c>
      <c r="D110" s="1467">
        <f>SUM(D111:D112)+SUM(D123:D126)</f>
        <v>1279050</v>
      </c>
      <c r="E110" s="1518">
        <f>SUM(E111:E112)+SUM(E123:E126)</f>
        <v>4649700</v>
      </c>
      <c r="F110" s="1467">
        <f>SUM(F111:F112)+SUM(F123:F126)</f>
        <v>2344700</v>
      </c>
      <c r="G110" s="1531">
        <f t="shared" si="19"/>
        <v>700.7471607890018</v>
      </c>
      <c r="H110" s="1532">
        <f t="shared" si="20"/>
        <v>183.3157421523787</v>
      </c>
      <c r="I110" s="1471"/>
      <c r="J110" s="1469">
        <f aca="true" t="shared" si="26" ref="J110:P110">SUM(J111:J112)+SUM(J123:J126)</f>
        <v>1279050</v>
      </c>
      <c r="K110" s="1467">
        <f t="shared" si="26"/>
        <v>3000</v>
      </c>
      <c r="L110" s="1467">
        <f t="shared" si="26"/>
        <v>1350000</v>
      </c>
      <c r="M110" s="1467">
        <f t="shared" si="26"/>
        <v>0</v>
      </c>
      <c r="N110" s="1467">
        <f t="shared" si="26"/>
        <v>991700</v>
      </c>
      <c r="O110" s="1467">
        <f t="shared" si="26"/>
        <v>0</v>
      </c>
      <c r="P110" s="1467">
        <f t="shared" si="26"/>
        <v>2344700</v>
      </c>
      <c r="Q110" s="1453">
        <f>P110/J110*100</f>
        <v>183.3157421523787</v>
      </c>
      <c r="R110" s="1470"/>
      <c r="S110" s="1467"/>
      <c r="T110" s="1467"/>
      <c r="U110" s="1467"/>
      <c r="V110" s="1467"/>
      <c r="W110" s="1471"/>
      <c r="X110" s="1454"/>
      <c r="Y110" s="1444"/>
    </row>
    <row r="111" spans="1:25" s="581" customFormat="1" ht="12.75">
      <c r="A111" s="1497">
        <v>4270</v>
      </c>
      <c r="B111" s="1546" t="s">
        <v>702</v>
      </c>
      <c r="C111" s="1457">
        <v>200000</v>
      </c>
      <c r="D111" s="1457">
        <f>J111+R111</f>
        <v>688650</v>
      </c>
      <c r="E111" s="1458">
        <v>4135000</v>
      </c>
      <c r="F111" s="1459">
        <f>P111+W111</f>
        <v>880000</v>
      </c>
      <c r="G111" s="1499">
        <f t="shared" si="19"/>
        <v>440.00000000000006</v>
      </c>
      <c r="H111" s="1499">
        <f t="shared" si="20"/>
        <v>127.78624845712628</v>
      </c>
      <c r="I111" s="1450"/>
      <c r="J111" s="1461">
        <v>688650</v>
      </c>
      <c r="K111" s="1467"/>
      <c r="L111" s="1467"/>
      <c r="M111" s="1467"/>
      <c r="N111" s="1457">
        <f>200000+680000</f>
        <v>880000</v>
      </c>
      <c r="O111" s="1457"/>
      <c r="P111" s="1462">
        <f>SUM(K111:N111)</f>
        <v>880000</v>
      </c>
      <c r="Q111" s="1453"/>
      <c r="R111" s="1470"/>
      <c r="S111" s="1467"/>
      <c r="T111" s="1467"/>
      <c r="U111" s="1467"/>
      <c r="V111" s="1467"/>
      <c r="W111" s="1471"/>
      <c r="X111" s="1454"/>
      <c r="Y111" s="1444"/>
    </row>
    <row r="112" spans="1:25" ht="12.75">
      <c r="A112" s="1497">
        <v>4270</v>
      </c>
      <c r="B112" s="1546" t="s">
        <v>703</v>
      </c>
      <c r="C112" s="1457">
        <v>127600</v>
      </c>
      <c r="D112" s="1457">
        <f>J112+R112</f>
        <v>117400</v>
      </c>
      <c r="E112" s="1458">
        <f>SUM(E113:E122)</f>
        <v>111700</v>
      </c>
      <c r="F112" s="1459">
        <f>P112+W112</f>
        <v>111700</v>
      </c>
      <c r="G112" s="1499">
        <f t="shared" si="19"/>
        <v>87.53918495297806</v>
      </c>
      <c r="H112" s="1499">
        <f t="shared" si="20"/>
        <v>95.14480408858603</v>
      </c>
      <c r="I112" s="1450"/>
      <c r="J112" s="1461">
        <f>SUM(J113:J122)</f>
        <v>117400</v>
      </c>
      <c r="K112" s="1457">
        <f>SUM(K113:K122)</f>
        <v>0</v>
      </c>
      <c r="L112" s="1457">
        <f>SUM(L113:L122)</f>
        <v>0</v>
      </c>
      <c r="M112" s="1457">
        <f>SUM(M113:M122)</f>
        <v>0</v>
      </c>
      <c r="N112" s="1457">
        <f>SUM(N113:N122)</f>
        <v>111700</v>
      </c>
      <c r="O112" s="1457"/>
      <c r="P112" s="1462">
        <f>SUM(K112:N112)</f>
        <v>111700</v>
      </c>
      <c r="Q112" s="1495">
        <f>P112/J112*100</f>
        <v>95.14480408858603</v>
      </c>
      <c r="R112" s="1461"/>
      <c r="S112" s="1457"/>
      <c r="T112" s="1457"/>
      <c r="U112" s="1457"/>
      <c r="V112" s="1457"/>
      <c r="W112" s="1462"/>
      <c r="X112" s="1496"/>
      <c r="Y112" s="1444"/>
    </row>
    <row r="113" spans="1:25" s="618" customFormat="1" ht="15.75" customHeight="1">
      <c r="A113" s="1521"/>
      <c r="B113" s="1542" t="s">
        <v>704</v>
      </c>
      <c r="C113" s="1523">
        <v>14200</v>
      </c>
      <c r="D113" s="1457">
        <f aca="true" t="shared" si="27" ref="D113:D122">J113+R113</f>
        <v>0</v>
      </c>
      <c r="E113" s="1543"/>
      <c r="F113" s="1544">
        <f aca="true" t="shared" si="28" ref="F113:F122">P113+W113</f>
        <v>0</v>
      </c>
      <c r="G113" s="1538">
        <f t="shared" si="19"/>
        <v>0</v>
      </c>
      <c r="H113" s="1538"/>
      <c r="I113" s="1530"/>
      <c r="J113" s="1526"/>
      <c r="K113" s="1523"/>
      <c r="L113" s="1523"/>
      <c r="M113" s="1523"/>
      <c r="N113" s="1523"/>
      <c r="O113" s="1523"/>
      <c r="P113" s="1527">
        <f aca="true" t="shared" si="29" ref="P113:P122">SUM(K113:N113)</f>
        <v>0</v>
      </c>
      <c r="Q113" s="1528"/>
      <c r="R113" s="1526"/>
      <c r="S113" s="1523"/>
      <c r="T113" s="1523"/>
      <c r="U113" s="1523"/>
      <c r="V113" s="1523"/>
      <c r="W113" s="1527"/>
      <c r="X113" s="1529"/>
      <c r="Y113" s="1444"/>
    </row>
    <row r="114" spans="1:25" s="618" customFormat="1" ht="15.75" customHeight="1">
      <c r="A114" s="1521"/>
      <c r="B114" s="1542" t="s">
        <v>705</v>
      </c>
      <c r="C114" s="1523"/>
      <c r="D114" s="1457">
        <f t="shared" si="27"/>
        <v>32000</v>
      </c>
      <c r="E114" s="1543">
        <v>20000</v>
      </c>
      <c r="F114" s="1544">
        <f t="shared" si="28"/>
        <v>20000</v>
      </c>
      <c r="G114" s="1538"/>
      <c r="H114" s="1538">
        <f t="shared" si="20"/>
        <v>62.5</v>
      </c>
      <c r="I114" s="1530"/>
      <c r="J114" s="1526">
        <v>32000</v>
      </c>
      <c r="K114" s="1523"/>
      <c r="L114" s="1523"/>
      <c r="M114" s="1523"/>
      <c r="N114" s="1523">
        <v>20000</v>
      </c>
      <c r="O114" s="1523"/>
      <c r="P114" s="1527">
        <f t="shared" si="29"/>
        <v>20000</v>
      </c>
      <c r="Q114" s="1528"/>
      <c r="R114" s="1526"/>
      <c r="S114" s="1523"/>
      <c r="T114" s="1523"/>
      <c r="U114" s="1523"/>
      <c r="V114" s="1523"/>
      <c r="W114" s="1527"/>
      <c r="X114" s="1529"/>
      <c r="Y114" s="1444"/>
    </row>
    <row r="115" spans="1:25" s="618" customFormat="1" ht="15.75" customHeight="1">
      <c r="A115" s="1521"/>
      <c r="B115" s="1542" t="s">
        <v>706</v>
      </c>
      <c r="C115" s="1523">
        <v>27000</v>
      </c>
      <c r="D115" s="1457">
        <f t="shared" si="27"/>
        <v>27000</v>
      </c>
      <c r="E115" s="1543"/>
      <c r="F115" s="1544">
        <f t="shared" si="28"/>
        <v>0</v>
      </c>
      <c r="G115" s="1538">
        <f t="shared" si="19"/>
        <v>0</v>
      </c>
      <c r="H115" s="1538">
        <f t="shared" si="20"/>
        <v>0</v>
      </c>
      <c r="I115" s="1530"/>
      <c r="J115" s="1526">
        <v>27000</v>
      </c>
      <c r="K115" s="1523"/>
      <c r="L115" s="1523"/>
      <c r="M115" s="1523"/>
      <c r="N115" s="1523"/>
      <c r="O115" s="1523"/>
      <c r="P115" s="1527">
        <f t="shared" si="29"/>
        <v>0</v>
      </c>
      <c r="Q115" s="1528"/>
      <c r="R115" s="1526"/>
      <c r="S115" s="1523"/>
      <c r="T115" s="1523"/>
      <c r="U115" s="1523"/>
      <c r="V115" s="1523"/>
      <c r="W115" s="1527"/>
      <c r="X115" s="1529"/>
      <c r="Y115" s="1444"/>
    </row>
    <row r="116" spans="1:25" s="618" customFormat="1" ht="15.75" customHeight="1">
      <c r="A116" s="1521"/>
      <c r="B116" s="1542" t="s">
        <v>707</v>
      </c>
      <c r="C116" s="1523">
        <v>10000</v>
      </c>
      <c r="D116" s="1457">
        <f t="shared" si="27"/>
        <v>10000</v>
      </c>
      <c r="E116" s="1543">
        <v>8000</v>
      </c>
      <c r="F116" s="1544">
        <f t="shared" si="28"/>
        <v>8000</v>
      </c>
      <c r="G116" s="1538">
        <f t="shared" si="19"/>
        <v>80</v>
      </c>
      <c r="H116" s="1538">
        <f t="shared" si="20"/>
        <v>80</v>
      </c>
      <c r="I116" s="1530"/>
      <c r="J116" s="1526">
        <v>10000</v>
      </c>
      <c r="K116" s="1523"/>
      <c r="L116" s="1523"/>
      <c r="M116" s="1523"/>
      <c r="N116" s="1523">
        <v>8000</v>
      </c>
      <c r="O116" s="1523"/>
      <c r="P116" s="1527">
        <f t="shared" si="29"/>
        <v>8000</v>
      </c>
      <c r="Q116" s="1528"/>
      <c r="R116" s="1526"/>
      <c r="S116" s="1523"/>
      <c r="T116" s="1523"/>
      <c r="U116" s="1523"/>
      <c r="V116" s="1523"/>
      <c r="W116" s="1527"/>
      <c r="X116" s="1529"/>
      <c r="Y116" s="1444"/>
    </row>
    <row r="117" spans="1:25" s="618" customFormat="1" ht="15.75" customHeight="1">
      <c r="A117" s="1521"/>
      <c r="B117" s="1542" t="s">
        <v>708</v>
      </c>
      <c r="C117" s="1523">
        <v>2000</v>
      </c>
      <c r="D117" s="1457">
        <f t="shared" si="27"/>
        <v>7500</v>
      </c>
      <c r="E117" s="1543"/>
      <c r="F117" s="1544">
        <f t="shared" si="28"/>
        <v>0</v>
      </c>
      <c r="G117" s="1538">
        <f t="shared" si="19"/>
        <v>0</v>
      </c>
      <c r="H117" s="1538">
        <f t="shared" si="20"/>
        <v>0</v>
      </c>
      <c r="I117" s="1530"/>
      <c r="J117" s="1526">
        <v>7500</v>
      </c>
      <c r="K117" s="1523"/>
      <c r="L117" s="1523"/>
      <c r="M117" s="1523"/>
      <c r="N117" s="1523"/>
      <c r="O117" s="1523"/>
      <c r="P117" s="1527">
        <f t="shared" si="29"/>
        <v>0</v>
      </c>
      <c r="Q117" s="1528"/>
      <c r="R117" s="1526"/>
      <c r="S117" s="1523"/>
      <c r="T117" s="1523"/>
      <c r="U117" s="1523"/>
      <c r="V117" s="1523"/>
      <c r="W117" s="1527"/>
      <c r="X117" s="1529"/>
      <c r="Y117" s="1444"/>
    </row>
    <row r="118" spans="1:25" s="618" customFormat="1" ht="15.75" customHeight="1">
      <c r="A118" s="1521"/>
      <c r="B118" s="1542" t="s">
        <v>706</v>
      </c>
      <c r="C118" s="1523"/>
      <c r="D118" s="1457">
        <f t="shared" si="27"/>
        <v>0</v>
      </c>
      <c r="E118" s="1543">
        <v>26000</v>
      </c>
      <c r="F118" s="1544">
        <f t="shared" si="28"/>
        <v>26000</v>
      </c>
      <c r="G118" s="1538"/>
      <c r="H118" s="1538"/>
      <c r="I118" s="1530"/>
      <c r="J118" s="1526"/>
      <c r="K118" s="1523"/>
      <c r="L118" s="1523"/>
      <c r="M118" s="1523"/>
      <c r="N118" s="1523">
        <v>26000</v>
      </c>
      <c r="O118" s="1523"/>
      <c r="P118" s="1527">
        <f t="shared" si="29"/>
        <v>26000</v>
      </c>
      <c r="Q118" s="1528"/>
      <c r="R118" s="1526"/>
      <c r="S118" s="1523"/>
      <c r="T118" s="1523"/>
      <c r="U118" s="1523"/>
      <c r="V118" s="1523"/>
      <c r="W118" s="1527"/>
      <c r="X118" s="1529"/>
      <c r="Y118" s="1444"/>
    </row>
    <row r="119" spans="1:25" s="618" customFormat="1" ht="15.75" customHeight="1">
      <c r="A119" s="1521"/>
      <c r="B119" s="1542" t="s">
        <v>709</v>
      </c>
      <c r="C119" s="1523">
        <v>10000</v>
      </c>
      <c r="D119" s="1457">
        <f t="shared" si="27"/>
        <v>0</v>
      </c>
      <c r="E119" s="1543">
        <v>6700</v>
      </c>
      <c r="F119" s="1544">
        <f t="shared" si="28"/>
        <v>6700</v>
      </c>
      <c r="G119" s="1538">
        <f t="shared" si="19"/>
        <v>67</v>
      </c>
      <c r="H119" s="1538"/>
      <c r="I119" s="1530"/>
      <c r="J119" s="1526"/>
      <c r="K119" s="1523"/>
      <c r="L119" s="1523"/>
      <c r="M119" s="1523"/>
      <c r="N119" s="1523">
        <v>6700</v>
      </c>
      <c r="O119" s="1523"/>
      <c r="P119" s="1527">
        <f t="shared" si="29"/>
        <v>6700</v>
      </c>
      <c r="Q119" s="1528"/>
      <c r="R119" s="1526"/>
      <c r="S119" s="1523"/>
      <c r="T119" s="1523"/>
      <c r="U119" s="1523"/>
      <c r="V119" s="1523"/>
      <c r="W119" s="1527"/>
      <c r="X119" s="1529"/>
      <c r="Y119" s="1444"/>
    </row>
    <row r="120" spans="1:25" s="618" customFormat="1" ht="15.75" customHeight="1">
      <c r="A120" s="1521"/>
      <c r="B120" s="1542" t="s">
        <v>710</v>
      </c>
      <c r="C120" s="1523"/>
      <c r="D120" s="1457">
        <f t="shared" si="27"/>
        <v>0</v>
      </c>
      <c r="E120" s="1543">
        <v>15000</v>
      </c>
      <c r="F120" s="1544">
        <f t="shared" si="28"/>
        <v>15000</v>
      </c>
      <c r="G120" s="1538"/>
      <c r="H120" s="1538"/>
      <c r="I120" s="1530"/>
      <c r="J120" s="1526"/>
      <c r="K120" s="1523"/>
      <c r="L120" s="1523"/>
      <c r="M120" s="1523"/>
      <c r="N120" s="1523">
        <v>15000</v>
      </c>
      <c r="O120" s="1523"/>
      <c r="P120" s="1527">
        <f t="shared" si="29"/>
        <v>15000</v>
      </c>
      <c r="Q120" s="1528"/>
      <c r="R120" s="1526"/>
      <c r="S120" s="1523"/>
      <c r="T120" s="1523"/>
      <c r="U120" s="1523"/>
      <c r="V120" s="1523"/>
      <c r="W120" s="1527"/>
      <c r="X120" s="1529"/>
      <c r="Y120" s="1444"/>
    </row>
    <row r="121" spans="1:25" s="618" customFormat="1" ht="15.75" customHeight="1">
      <c r="A121" s="1521"/>
      <c r="B121" s="1542" t="s">
        <v>711</v>
      </c>
      <c r="C121" s="1523"/>
      <c r="D121" s="1457">
        <f t="shared" si="27"/>
        <v>3500</v>
      </c>
      <c r="E121" s="1543"/>
      <c r="F121" s="1544">
        <f t="shared" si="28"/>
        <v>0</v>
      </c>
      <c r="G121" s="1538"/>
      <c r="H121" s="1538">
        <f t="shared" si="20"/>
        <v>0</v>
      </c>
      <c r="I121" s="1530"/>
      <c r="J121" s="1526">
        <v>3500</v>
      </c>
      <c r="K121" s="1523"/>
      <c r="L121" s="1523"/>
      <c r="M121" s="1523"/>
      <c r="N121" s="1523"/>
      <c r="O121" s="1523"/>
      <c r="P121" s="1527">
        <f t="shared" si="29"/>
        <v>0</v>
      </c>
      <c r="Q121" s="1528"/>
      <c r="R121" s="1526"/>
      <c r="S121" s="1523"/>
      <c r="T121" s="1523"/>
      <c r="U121" s="1523"/>
      <c r="V121" s="1523"/>
      <c r="W121" s="1527"/>
      <c r="X121" s="1529"/>
      <c r="Y121" s="1444"/>
    </row>
    <row r="122" spans="1:25" s="618" customFormat="1" ht="15.75" customHeight="1">
      <c r="A122" s="1521"/>
      <c r="B122" s="1542" t="s">
        <v>712</v>
      </c>
      <c r="C122" s="1523">
        <v>64400</v>
      </c>
      <c r="D122" s="1457">
        <f t="shared" si="27"/>
        <v>37400</v>
      </c>
      <c r="E122" s="1543">
        <v>36000</v>
      </c>
      <c r="F122" s="1544">
        <f t="shared" si="28"/>
        <v>36000</v>
      </c>
      <c r="G122" s="1538">
        <f t="shared" si="19"/>
        <v>55.90062111801242</v>
      </c>
      <c r="H122" s="1538">
        <f t="shared" si="20"/>
        <v>96.2566844919786</v>
      </c>
      <c r="I122" s="1530"/>
      <c r="J122" s="1526">
        <f>40400-3000</f>
        <v>37400</v>
      </c>
      <c r="K122" s="1523"/>
      <c r="L122" s="1523"/>
      <c r="M122" s="1523"/>
      <c r="N122" s="1523">
        <v>36000</v>
      </c>
      <c r="O122" s="1523"/>
      <c r="P122" s="1527">
        <f t="shared" si="29"/>
        <v>36000</v>
      </c>
      <c r="Q122" s="1528"/>
      <c r="R122" s="1526"/>
      <c r="S122" s="1523"/>
      <c r="T122" s="1523"/>
      <c r="U122" s="1523"/>
      <c r="V122" s="1523"/>
      <c r="W122" s="1527"/>
      <c r="X122" s="1529"/>
      <c r="Y122" s="1444"/>
    </row>
    <row r="123" spans="1:25" ht="12.75">
      <c r="A123" s="1497">
        <v>4300</v>
      </c>
      <c r="B123" s="1546" t="s">
        <v>564</v>
      </c>
      <c r="C123" s="1457">
        <v>5000</v>
      </c>
      <c r="D123" s="1457">
        <f>J123+R123</f>
        <v>5000</v>
      </c>
      <c r="E123" s="1458">
        <v>1000</v>
      </c>
      <c r="F123" s="1459">
        <f>P123+W123</f>
        <v>1000</v>
      </c>
      <c r="G123" s="1499">
        <f t="shared" si="19"/>
        <v>20</v>
      </c>
      <c r="H123" s="1499">
        <f t="shared" si="20"/>
        <v>20</v>
      </c>
      <c r="I123" s="1450"/>
      <c r="J123" s="1461">
        <v>5000</v>
      </c>
      <c r="K123" s="1457">
        <v>1000</v>
      </c>
      <c r="L123" s="1457"/>
      <c r="M123" s="1457"/>
      <c r="N123" s="1457"/>
      <c r="O123" s="1457"/>
      <c r="P123" s="1462">
        <f>SUM(K123:N123)</f>
        <v>1000</v>
      </c>
      <c r="Q123" s="1495">
        <f aca="true" t="shared" si="30" ref="Q123:Q154">P123/J123*100</f>
        <v>20</v>
      </c>
      <c r="R123" s="1461"/>
      <c r="S123" s="1457"/>
      <c r="T123" s="1457"/>
      <c r="U123" s="1457"/>
      <c r="V123" s="1457"/>
      <c r="W123" s="1462"/>
      <c r="X123" s="1496"/>
      <c r="Y123" s="1444"/>
    </row>
    <row r="124" spans="1:25" ht="12.75">
      <c r="A124" s="1497">
        <v>4430</v>
      </c>
      <c r="B124" s="1546" t="s">
        <v>582</v>
      </c>
      <c r="C124" s="1457">
        <v>2000</v>
      </c>
      <c r="D124" s="1457">
        <f>J124+R124</f>
        <v>2000</v>
      </c>
      <c r="E124" s="1458">
        <v>2000</v>
      </c>
      <c r="F124" s="1459">
        <f>P124+W124</f>
        <v>2000</v>
      </c>
      <c r="G124" s="1499">
        <f t="shared" si="19"/>
        <v>100</v>
      </c>
      <c r="H124" s="1515">
        <f t="shared" si="20"/>
        <v>100</v>
      </c>
      <c r="I124" s="1501"/>
      <c r="J124" s="1461">
        <v>2000</v>
      </c>
      <c r="K124" s="1457">
        <v>2000</v>
      </c>
      <c r="L124" s="1457"/>
      <c r="M124" s="1457"/>
      <c r="N124" s="1457"/>
      <c r="O124" s="1457"/>
      <c r="P124" s="1462">
        <f>SUM(K124:N124)</f>
        <v>2000</v>
      </c>
      <c r="Q124" s="1495">
        <f t="shared" si="30"/>
        <v>100</v>
      </c>
      <c r="R124" s="1461"/>
      <c r="S124" s="1457"/>
      <c r="T124" s="1457"/>
      <c r="U124" s="1457"/>
      <c r="V124" s="1457"/>
      <c r="W124" s="1462"/>
      <c r="X124" s="1496"/>
      <c r="Y124" s="1444"/>
    </row>
    <row r="125" spans="1:25" ht="24">
      <c r="A125" s="1497">
        <v>6050</v>
      </c>
      <c r="B125" s="1546" t="s">
        <v>713</v>
      </c>
      <c r="C125" s="1457"/>
      <c r="D125" s="1457"/>
      <c r="E125" s="1458"/>
      <c r="F125" s="1459">
        <f>P125+W125</f>
        <v>950000</v>
      </c>
      <c r="G125" s="1499"/>
      <c r="H125" s="1515"/>
      <c r="I125" s="1501"/>
      <c r="J125" s="1461"/>
      <c r="K125" s="1457"/>
      <c r="L125" s="1457">
        <v>950000</v>
      </c>
      <c r="M125" s="1457"/>
      <c r="N125" s="1457"/>
      <c r="O125" s="1457"/>
      <c r="P125" s="1462">
        <f>SUM(K125:N125)</f>
        <v>950000</v>
      </c>
      <c r="Q125" s="1495"/>
      <c r="R125" s="1461"/>
      <c r="S125" s="1457"/>
      <c r="T125" s="1457"/>
      <c r="U125" s="1457"/>
      <c r="V125" s="1457"/>
      <c r="W125" s="1462"/>
      <c r="X125" s="1496"/>
      <c r="Y125" s="1444"/>
    </row>
    <row r="126" spans="1:25" ht="36">
      <c r="A126" s="1497">
        <v>6050</v>
      </c>
      <c r="B126" s="1546" t="s">
        <v>714</v>
      </c>
      <c r="C126" s="1457"/>
      <c r="D126" s="1457">
        <f>J126+R126</f>
        <v>466000</v>
      </c>
      <c r="E126" s="1458">
        <v>400000</v>
      </c>
      <c r="F126" s="1459">
        <f>P126+W126</f>
        <v>400000</v>
      </c>
      <c r="G126" s="1499"/>
      <c r="H126" s="1515">
        <f t="shared" si="20"/>
        <v>85.83690987124464</v>
      </c>
      <c r="I126" s="1501"/>
      <c r="J126" s="1461">
        <v>466000</v>
      </c>
      <c r="K126" s="1457"/>
      <c r="L126" s="1457">
        <v>400000</v>
      </c>
      <c r="M126" s="1457"/>
      <c r="N126" s="1457"/>
      <c r="O126" s="1457"/>
      <c r="P126" s="1462">
        <f>SUM(K126:N126)</f>
        <v>400000</v>
      </c>
      <c r="Q126" s="1495"/>
      <c r="R126" s="1461"/>
      <c r="S126" s="1457"/>
      <c r="T126" s="1457"/>
      <c r="U126" s="1457"/>
      <c r="V126" s="1457"/>
      <c r="W126" s="1462"/>
      <c r="X126" s="1496"/>
      <c r="Y126" s="1444"/>
    </row>
    <row r="127" spans="1:28" s="581" customFormat="1" ht="21" customHeight="1">
      <c r="A127" s="1516">
        <v>60095</v>
      </c>
      <c r="B127" s="1547" t="s">
        <v>209</v>
      </c>
      <c r="C127" s="1467">
        <f>C130+C149+C150+C151+C128+C129</f>
        <v>1891590</v>
      </c>
      <c r="D127" s="1467">
        <f>D130+D149+D150+D151+D128+D129</f>
        <v>2427907</v>
      </c>
      <c r="E127" s="1468">
        <f>E130+E149+E150+E151+E128+E129</f>
        <v>2360200</v>
      </c>
      <c r="F127" s="1469">
        <f>F130+F149+F150+F151+F128+F129</f>
        <v>2277382</v>
      </c>
      <c r="G127" s="1519">
        <f t="shared" si="19"/>
        <v>120.39511733515191</v>
      </c>
      <c r="H127" s="1520">
        <f t="shared" si="20"/>
        <v>93.80021557662629</v>
      </c>
      <c r="I127" s="1501"/>
      <c r="J127" s="1470">
        <f>J130+J149+J150+J151+J128+J129</f>
        <v>2427907</v>
      </c>
      <c r="K127" s="1467">
        <f>K130+K149+K150+K151++K128</f>
        <v>2248382</v>
      </c>
      <c r="L127" s="1467">
        <f>L130+L149+L150+L151++L128</f>
        <v>1000</v>
      </c>
      <c r="M127" s="1467">
        <f>M130+M149+M150+M151++M128</f>
        <v>23000</v>
      </c>
      <c r="N127" s="1467">
        <f>N130+N149+N150+N151++N128</f>
        <v>5000</v>
      </c>
      <c r="O127" s="1467"/>
      <c r="P127" s="1471">
        <f>P130+P149+P150+P151+P128</f>
        <v>2277382</v>
      </c>
      <c r="Q127" s="1453">
        <f t="shared" si="30"/>
        <v>93.80021557662629</v>
      </c>
      <c r="R127" s="1470"/>
      <c r="S127" s="1467"/>
      <c r="T127" s="1467"/>
      <c r="U127" s="1467"/>
      <c r="V127" s="1467"/>
      <c r="W127" s="1471"/>
      <c r="X127" s="1454"/>
      <c r="Y127" s="1444"/>
      <c r="Z127" s="1444">
        <f>Z130</f>
        <v>1395487</v>
      </c>
      <c r="AB127" s="1444">
        <f>Z127+AA127</f>
        <v>1395487</v>
      </c>
    </row>
    <row r="128" spans="1:28" s="571" customFormat="1" ht="36">
      <c r="A128" s="1497">
        <v>4300</v>
      </c>
      <c r="B128" s="1513" t="s">
        <v>715</v>
      </c>
      <c r="C128" s="1457"/>
      <c r="D128" s="1457">
        <f>J128+R128</f>
        <v>250000</v>
      </c>
      <c r="E128" s="1458">
        <v>250000</v>
      </c>
      <c r="F128" s="1459">
        <f>P128+W128</f>
        <v>240000</v>
      </c>
      <c r="G128" s="1499"/>
      <c r="H128" s="1515">
        <f t="shared" si="20"/>
        <v>96</v>
      </c>
      <c r="I128" s="1548"/>
      <c r="J128" s="1461">
        <v>250000</v>
      </c>
      <c r="K128" s="1457">
        <f>250000-10000</f>
        <v>240000</v>
      </c>
      <c r="L128" s="1457"/>
      <c r="M128" s="1457"/>
      <c r="N128" s="1457"/>
      <c r="O128" s="1457"/>
      <c r="P128" s="1549">
        <f>SUM(K128:N128)</f>
        <v>240000</v>
      </c>
      <c r="Q128" s="1495"/>
      <c r="R128" s="1461"/>
      <c r="S128" s="1457"/>
      <c r="T128" s="1457"/>
      <c r="U128" s="1457"/>
      <c r="V128" s="1457"/>
      <c r="W128" s="1462"/>
      <c r="X128" s="1496"/>
      <c r="Y128" s="1300"/>
      <c r="Z128" s="1300"/>
      <c r="AB128" s="1300"/>
    </row>
    <row r="129" spans="1:28" s="571" customFormat="1" ht="21" customHeight="1" hidden="1">
      <c r="A129" s="1497">
        <v>4302</v>
      </c>
      <c r="B129" s="1513" t="s">
        <v>715</v>
      </c>
      <c r="C129" s="1457"/>
      <c r="D129" s="1457">
        <f>J129+R129</f>
        <v>0</v>
      </c>
      <c r="E129" s="1458"/>
      <c r="F129" s="1459"/>
      <c r="G129" s="1519" t="e">
        <f t="shared" si="19"/>
        <v>#DIV/0!</v>
      </c>
      <c r="H129" s="1520" t="e">
        <f t="shared" si="20"/>
        <v>#DIV/0!</v>
      </c>
      <c r="I129" s="1548"/>
      <c r="J129" s="1459"/>
      <c r="K129" s="1457"/>
      <c r="L129" s="1457"/>
      <c r="M129" s="1457"/>
      <c r="N129" s="1457"/>
      <c r="O129" s="1457"/>
      <c r="P129" s="1549"/>
      <c r="Q129" s="1495"/>
      <c r="R129" s="1461"/>
      <c r="S129" s="1457"/>
      <c r="T129" s="1457"/>
      <c r="U129" s="1457"/>
      <c r="V129" s="1457"/>
      <c r="W129" s="1462"/>
      <c r="X129" s="1496"/>
      <c r="Y129" s="1300"/>
      <c r="Z129" s="1300"/>
      <c r="AB129" s="1300"/>
    </row>
    <row r="130" spans="1:28" s="581" customFormat="1" ht="15.75" customHeight="1">
      <c r="A130" s="1516"/>
      <c r="B130" s="1550" t="s">
        <v>716</v>
      </c>
      <c r="C130" s="1467">
        <f>SUM(C131:C154)</f>
        <v>1891590</v>
      </c>
      <c r="D130" s="1467">
        <f>SUM(D131:D154)</f>
        <v>2177907</v>
      </c>
      <c r="E130" s="1518">
        <f>SUM(E131:E154)</f>
        <v>2110200</v>
      </c>
      <c r="F130" s="1467">
        <f>SUM(F131:F154)</f>
        <v>2037382</v>
      </c>
      <c r="G130" s="1519">
        <f t="shared" si="19"/>
        <v>107.70737844881819</v>
      </c>
      <c r="H130" s="1520">
        <f t="shared" si="20"/>
        <v>93.54770428673034</v>
      </c>
      <c r="I130" s="1501"/>
      <c r="J130" s="1469">
        <f aca="true" t="shared" si="31" ref="J130:P130">SUM(J131:J154)</f>
        <v>2177907</v>
      </c>
      <c r="K130" s="1469">
        <f t="shared" si="31"/>
        <v>2008382</v>
      </c>
      <c r="L130" s="1469">
        <f t="shared" si="31"/>
        <v>1000</v>
      </c>
      <c r="M130" s="1469">
        <f t="shared" si="31"/>
        <v>23000</v>
      </c>
      <c r="N130" s="1469">
        <f t="shared" si="31"/>
        <v>5000</v>
      </c>
      <c r="O130" s="1469">
        <f t="shared" si="31"/>
        <v>0</v>
      </c>
      <c r="P130" s="1469">
        <f t="shared" si="31"/>
        <v>2037382</v>
      </c>
      <c r="Q130" s="1453">
        <f t="shared" si="30"/>
        <v>93.54770428673034</v>
      </c>
      <c r="R130" s="1470"/>
      <c r="S130" s="1467"/>
      <c r="T130" s="1467"/>
      <c r="U130" s="1467"/>
      <c r="V130" s="1467"/>
      <c r="W130" s="1471"/>
      <c r="X130" s="1454"/>
      <c r="Y130" s="1444"/>
      <c r="Z130" s="1444">
        <f>SUM(K132:K135)</f>
        <v>1395487</v>
      </c>
      <c r="AB130" s="1444">
        <f>Z130+AA130</f>
        <v>1395487</v>
      </c>
    </row>
    <row r="131" spans="1:25" ht="24">
      <c r="A131" s="1497">
        <v>3020</v>
      </c>
      <c r="B131" s="1513" t="s">
        <v>717</v>
      </c>
      <c r="C131" s="1457">
        <v>2500</v>
      </c>
      <c r="D131" s="1457">
        <f>J131+R131</f>
        <v>2500</v>
      </c>
      <c r="E131" s="1458">
        <v>2500</v>
      </c>
      <c r="F131" s="1459">
        <f>P131+W131</f>
        <v>2500</v>
      </c>
      <c r="G131" s="1499">
        <f t="shared" si="19"/>
        <v>100</v>
      </c>
      <c r="H131" s="1515">
        <f t="shared" si="20"/>
        <v>100</v>
      </c>
      <c r="I131" s="1501"/>
      <c r="J131" s="1461">
        <v>2500</v>
      </c>
      <c r="K131" s="1457">
        <v>2500</v>
      </c>
      <c r="L131" s="1457"/>
      <c r="M131" s="1457"/>
      <c r="N131" s="1457"/>
      <c r="O131" s="1457"/>
      <c r="P131" s="1462">
        <f>SUM(K131:N131)</f>
        <v>2500</v>
      </c>
      <c r="Q131" s="1495">
        <f t="shared" si="30"/>
        <v>100</v>
      </c>
      <c r="R131" s="1461"/>
      <c r="S131" s="1457"/>
      <c r="T131" s="1457"/>
      <c r="U131" s="1457"/>
      <c r="V131" s="1457"/>
      <c r="W131" s="1462"/>
      <c r="X131" s="1496"/>
      <c r="Y131" s="1444"/>
    </row>
    <row r="132" spans="1:25" ht="48">
      <c r="A132" s="1497">
        <v>4010</v>
      </c>
      <c r="B132" s="1513" t="s">
        <v>718</v>
      </c>
      <c r="C132" s="1457">
        <v>966860</v>
      </c>
      <c r="D132" s="1457">
        <f aca="true" t="shared" si="32" ref="D132:D154">J132+R132</f>
        <v>988860</v>
      </c>
      <c r="E132" s="1458">
        <f>981400+104300</f>
        <v>1085700</v>
      </c>
      <c r="F132" s="1459">
        <f aca="true" t="shared" si="33" ref="F132:F154">P132+W132</f>
        <v>1083287</v>
      </c>
      <c r="G132" s="1499">
        <f t="shared" si="19"/>
        <v>112.0417640609809</v>
      </c>
      <c r="H132" s="1515">
        <f t="shared" si="20"/>
        <v>109.54907671460066</v>
      </c>
      <c r="I132" s="1501"/>
      <c r="J132" s="1461">
        <v>988860</v>
      </c>
      <c r="K132" s="1457">
        <f>1085700-2413</f>
        <v>1083287</v>
      </c>
      <c r="L132" s="1457"/>
      <c r="M132" s="1457"/>
      <c r="N132" s="1457"/>
      <c r="O132" s="1457"/>
      <c r="P132" s="1462">
        <f aca="true" t="shared" si="34" ref="P132:P154">SUM(K132:N132)</f>
        <v>1083287</v>
      </c>
      <c r="Q132" s="1495">
        <f t="shared" si="30"/>
        <v>109.54907671460066</v>
      </c>
      <c r="R132" s="1461"/>
      <c r="S132" s="1457"/>
      <c r="T132" s="1457"/>
      <c r="U132" s="1457"/>
      <c r="V132" s="1457"/>
      <c r="W132" s="1462"/>
      <c r="X132" s="1496"/>
      <c r="Y132" s="1444"/>
    </row>
    <row r="133" spans="1:25" ht="12.75">
      <c r="A133" s="1551">
        <v>4040</v>
      </c>
      <c r="B133" s="1513" t="s">
        <v>719</v>
      </c>
      <c r="C133" s="1457">
        <v>78500</v>
      </c>
      <c r="D133" s="1457">
        <f t="shared" si="32"/>
        <v>74800</v>
      </c>
      <c r="E133" s="1458">
        <v>82200</v>
      </c>
      <c r="F133" s="1459">
        <f t="shared" si="33"/>
        <v>82200</v>
      </c>
      <c r="G133" s="1499">
        <f t="shared" si="19"/>
        <v>104.71337579617834</v>
      </c>
      <c r="H133" s="1515">
        <f t="shared" si="20"/>
        <v>109.89304812834224</v>
      </c>
      <c r="I133" s="1501"/>
      <c r="J133" s="1461">
        <v>74800</v>
      </c>
      <c r="K133" s="1457">
        <v>82200</v>
      </c>
      <c r="L133" s="1457"/>
      <c r="M133" s="1457"/>
      <c r="N133" s="1457"/>
      <c r="O133" s="1457"/>
      <c r="P133" s="1462">
        <f t="shared" si="34"/>
        <v>82200</v>
      </c>
      <c r="Q133" s="1495">
        <f t="shared" si="30"/>
        <v>109.89304812834224</v>
      </c>
      <c r="R133" s="1461"/>
      <c r="S133" s="1457"/>
      <c r="T133" s="1457"/>
      <c r="U133" s="1457"/>
      <c r="V133" s="1457"/>
      <c r="W133" s="1462"/>
      <c r="X133" s="1496"/>
      <c r="Y133" s="1444"/>
    </row>
    <row r="134" spans="1:25" ht="12.75">
      <c r="A134" s="1497">
        <v>4110</v>
      </c>
      <c r="B134" s="1513" t="s">
        <v>720</v>
      </c>
      <c r="C134" s="1457">
        <v>180000</v>
      </c>
      <c r="D134" s="1457">
        <f t="shared" si="32"/>
        <v>182150</v>
      </c>
      <c r="E134" s="1458">
        <v>211300</v>
      </c>
      <c r="F134" s="1459">
        <f t="shared" si="33"/>
        <v>202000</v>
      </c>
      <c r="G134" s="1499">
        <f t="shared" si="19"/>
        <v>112.22222222222223</v>
      </c>
      <c r="H134" s="1515">
        <f t="shared" si="20"/>
        <v>110.89761185835849</v>
      </c>
      <c r="I134" s="1501"/>
      <c r="J134" s="1461">
        <v>182150</v>
      </c>
      <c r="K134" s="1457">
        <f>202300-300</f>
        <v>202000</v>
      </c>
      <c r="L134" s="1457"/>
      <c r="M134" s="1457"/>
      <c r="N134" s="1457"/>
      <c r="O134" s="1457"/>
      <c r="P134" s="1462">
        <f t="shared" si="34"/>
        <v>202000</v>
      </c>
      <c r="Q134" s="1495">
        <f t="shared" si="30"/>
        <v>110.89761185835849</v>
      </c>
      <c r="R134" s="1461"/>
      <c r="S134" s="1457"/>
      <c r="T134" s="1457"/>
      <c r="U134" s="1457"/>
      <c r="V134" s="1457"/>
      <c r="W134" s="1462"/>
      <c r="X134" s="1496"/>
      <c r="Y134" s="1444"/>
    </row>
    <row r="135" spans="1:25" ht="12.75">
      <c r="A135" s="1497">
        <v>4120</v>
      </c>
      <c r="B135" s="1513" t="s">
        <v>721</v>
      </c>
      <c r="C135" s="1457">
        <v>24500</v>
      </c>
      <c r="D135" s="1457">
        <f t="shared" si="32"/>
        <v>24800</v>
      </c>
      <c r="E135" s="1458">
        <v>27700</v>
      </c>
      <c r="F135" s="1459">
        <f t="shared" si="33"/>
        <v>28000</v>
      </c>
      <c r="G135" s="1499">
        <f t="shared" si="19"/>
        <v>114.28571428571428</v>
      </c>
      <c r="H135" s="1499">
        <f t="shared" si="20"/>
        <v>112.90322580645163</v>
      </c>
      <c r="I135" s="1450"/>
      <c r="J135" s="1461">
        <v>24800</v>
      </c>
      <c r="K135" s="1457">
        <v>28000</v>
      </c>
      <c r="L135" s="1457"/>
      <c r="M135" s="1457"/>
      <c r="N135" s="1457"/>
      <c r="O135" s="1457"/>
      <c r="P135" s="1462">
        <f t="shared" si="34"/>
        <v>28000</v>
      </c>
      <c r="Q135" s="1495">
        <f t="shared" si="30"/>
        <v>112.90322580645163</v>
      </c>
      <c r="R135" s="1461"/>
      <c r="S135" s="1457"/>
      <c r="T135" s="1457"/>
      <c r="U135" s="1457"/>
      <c r="V135" s="1457"/>
      <c r="W135" s="1462"/>
      <c r="X135" s="1496"/>
      <c r="Y135" s="1444"/>
    </row>
    <row r="136" spans="1:25" ht="12.75">
      <c r="A136" s="1497">
        <v>4140</v>
      </c>
      <c r="B136" s="1513" t="s">
        <v>722</v>
      </c>
      <c r="C136" s="1457">
        <v>6930</v>
      </c>
      <c r="D136" s="1457">
        <f t="shared" si="32"/>
        <v>9830</v>
      </c>
      <c r="E136" s="1458">
        <v>9500</v>
      </c>
      <c r="F136" s="1459">
        <f t="shared" si="33"/>
        <v>9500</v>
      </c>
      <c r="G136" s="1499">
        <f t="shared" si="19"/>
        <v>137.08513708513706</v>
      </c>
      <c r="H136" s="1499">
        <f t="shared" si="20"/>
        <v>96.64292980671414</v>
      </c>
      <c r="I136" s="1450"/>
      <c r="J136" s="1461">
        <v>9830</v>
      </c>
      <c r="K136" s="1457">
        <v>9500</v>
      </c>
      <c r="L136" s="1457"/>
      <c r="M136" s="1457"/>
      <c r="N136" s="1457"/>
      <c r="O136" s="1457"/>
      <c r="P136" s="1462">
        <f t="shared" si="34"/>
        <v>9500</v>
      </c>
      <c r="Q136" s="1495">
        <f t="shared" si="30"/>
        <v>96.64292980671414</v>
      </c>
      <c r="R136" s="1461"/>
      <c r="S136" s="1457"/>
      <c r="T136" s="1457"/>
      <c r="U136" s="1457"/>
      <c r="V136" s="1457"/>
      <c r="W136" s="1462"/>
      <c r="X136" s="1496"/>
      <c r="Y136" s="1444"/>
    </row>
    <row r="137" spans="1:25" ht="12.75">
      <c r="A137" s="1497">
        <v>4170</v>
      </c>
      <c r="B137" s="1513" t="s">
        <v>572</v>
      </c>
      <c r="C137" s="1457"/>
      <c r="D137" s="1457">
        <f t="shared" si="32"/>
        <v>5500</v>
      </c>
      <c r="E137" s="1458">
        <v>6000</v>
      </c>
      <c r="F137" s="1459">
        <f t="shared" si="33"/>
        <v>6000</v>
      </c>
      <c r="G137" s="1499"/>
      <c r="H137" s="1499">
        <f t="shared" si="20"/>
        <v>109.09090909090908</v>
      </c>
      <c r="I137" s="1450"/>
      <c r="J137" s="1461">
        <v>5500</v>
      </c>
      <c r="K137" s="1457">
        <v>6000</v>
      </c>
      <c r="L137" s="1457"/>
      <c r="M137" s="1457"/>
      <c r="N137" s="1457"/>
      <c r="O137" s="1457"/>
      <c r="P137" s="1462">
        <f t="shared" si="34"/>
        <v>6000</v>
      </c>
      <c r="Q137" s="1495"/>
      <c r="R137" s="1461"/>
      <c r="S137" s="1457"/>
      <c r="T137" s="1457"/>
      <c r="U137" s="1457"/>
      <c r="V137" s="1457"/>
      <c r="W137" s="1462"/>
      <c r="X137" s="1496"/>
      <c r="Y137" s="1444"/>
    </row>
    <row r="138" spans="1:25" ht="12.75">
      <c r="A138" s="1497">
        <v>4210</v>
      </c>
      <c r="B138" s="1498" t="s">
        <v>560</v>
      </c>
      <c r="C138" s="1457">
        <v>62000</v>
      </c>
      <c r="D138" s="1457">
        <f t="shared" si="32"/>
        <v>66660</v>
      </c>
      <c r="E138" s="1458">
        <v>85000</v>
      </c>
      <c r="F138" s="1459">
        <f t="shared" si="33"/>
        <v>66000</v>
      </c>
      <c r="G138" s="1499">
        <f aca="true" t="shared" si="35" ref="G138:G194">F138/C138*100</f>
        <v>106.4516129032258</v>
      </c>
      <c r="H138" s="1499">
        <f aca="true" t="shared" si="36" ref="H138:H203">F138/D138*100</f>
        <v>99.00990099009901</v>
      </c>
      <c r="I138" s="1450"/>
      <c r="J138" s="1461">
        <v>66660</v>
      </c>
      <c r="K138" s="1457">
        <v>66000</v>
      </c>
      <c r="L138" s="1457"/>
      <c r="M138" s="1457"/>
      <c r="N138" s="1457"/>
      <c r="O138" s="1457"/>
      <c r="P138" s="1462">
        <f t="shared" si="34"/>
        <v>66000</v>
      </c>
      <c r="Q138" s="1495">
        <f t="shared" si="30"/>
        <v>99.00990099009901</v>
      </c>
      <c r="R138" s="1461"/>
      <c r="S138" s="1457"/>
      <c r="T138" s="1457"/>
      <c r="U138" s="1457"/>
      <c r="V138" s="1457"/>
      <c r="W138" s="1462"/>
      <c r="X138" s="1496"/>
      <c r="Y138" s="1444"/>
    </row>
    <row r="139" spans="1:25" ht="12.75">
      <c r="A139" s="1497">
        <v>4260</v>
      </c>
      <c r="B139" s="1498" t="s">
        <v>575</v>
      </c>
      <c r="C139" s="1457">
        <v>25000</v>
      </c>
      <c r="D139" s="1457">
        <f t="shared" si="32"/>
        <v>30000</v>
      </c>
      <c r="E139" s="1458">
        <v>30000</v>
      </c>
      <c r="F139" s="1459">
        <f>P139+W139</f>
        <v>30000</v>
      </c>
      <c r="G139" s="1499">
        <f t="shared" si="35"/>
        <v>120</v>
      </c>
      <c r="H139" s="1499">
        <f t="shared" si="36"/>
        <v>100</v>
      </c>
      <c r="I139" s="1450"/>
      <c r="J139" s="1461">
        <v>30000</v>
      </c>
      <c r="K139" s="1457">
        <v>30000</v>
      </c>
      <c r="L139" s="1457"/>
      <c r="M139" s="1457"/>
      <c r="N139" s="1457"/>
      <c r="O139" s="1457"/>
      <c r="P139" s="1462">
        <f t="shared" si="34"/>
        <v>30000</v>
      </c>
      <c r="Q139" s="1495">
        <f t="shared" si="30"/>
        <v>100</v>
      </c>
      <c r="R139" s="1461"/>
      <c r="S139" s="1457"/>
      <c r="T139" s="1457"/>
      <c r="U139" s="1457"/>
      <c r="V139" s="1457"/>
      <c r="W139" s="1462"/>
      <c r="X139" s="1496"/>
      <c r="Y139" s="1444"/>
    </row>
    <row r="140" spans="1:25" ht="12.75">
      <c r="A140" s="1497">
        <v>4270</v>
      </c>
      <c r="B140" s="1498" t="s">
        <v>576</v>
      </c>
      <c r="C140" s="1457"/>
      <c r="D140" s="1457">
        <f t="shared" si="32"/>
        <v>11000</v>
      </c>
      <c r="E140" s="1458">
        <v>5000</v>
      </c>
      <c r="F140" s="1459">
        <f>P140+W140</f>
        <v>5000</v>
      </c>
      <c r="G140" s="1499"/>
      <c r="H140" s="1499">
        <f t="shared" si="36"/>
        <v>45.45454545454545</v>
      </c>
      <c r="I140" s="1450"/>
      <c r="J140" s="1461">
        <v>11000</v>
      </c>
      <c r="K140" s="1457"/>
      <c r="L140" s="1457"/>
      <c r="M140" s="1457"/>
      <c r="N140" s="1457">
        <v>5000</v>
      </c>
      <c r="O140" s="1457"/>
      <c r="P140" s="1462">
        <f t="shared" si="34"/>
        <v>5000</v>
      </c>
      <c r="Q140" s="1495"/>
      <c r="R140" s="1461"/>
      <c r="S140" s="1457"/>
      <c r="T140" s="1457"/>
      <c r="U140" s="1457"/>
      <c r="V140" s="1457"/>
      <c r="W140" s="1462"/>
      <c r="X140" s="1496"/>
      <c r="Y140" s="1444"/>
    </row>
    <row r="141" spans="1:25" ht="12.75">
      <c r="A141" s="1497">
        <v>4280</v>
      </c>
      <c r="B141" s="1513" t="s">
        <v>723</v>
      </c>
      <c r="C141" s="1457">
        <v>2000</v>
      </c>
      <c r="D141" s="1457">
        <f t="shared" si="32"/>
        <v>2000</v>
      </c>
      <c r="E141" s="1458">
        <v>1500</v>
      </c>
      <c r="F141" s="1459">
        <f t="shared" si="33"/>
        <v>1500</v>
      </c>
      <c r="G141" s="1499">
        <f t="shared" si="35"/>
        <v>75</v>
      </c>
      <c r="H141" s="1499">
        <f t="shared" si="36"/>
        <v>75</v>
      </c>
      <c r="I141" s="1450"/>
      <c r="J141" s="1461">
        <v>2000</v>
      </c>
      <c r="K141" s="1457">
        <v>1500</v>
      </c>
      <c r="L141" s="1457"/>
      <c r="M141" s="1457"/>
      <c r="N141" s="1457"/>
      <c r="O141" s="1457"/>
      <c r="P141" s="1462">
        <f t="shared" si="34"/>
        <v>1500</v>
      </c>
      <c r="Q141" s="1495">
        <f t="shared" si="30"/>
        <v>75</v>
      </c>
      <c r="R141" s="1461"/>
      <c r="S141" s="1457"/>
      <c r="T141" s="1457"/>
      <c r="U141" s="1457"/>
      <c r="V141" s="1457"/>
      <c r="W141" s="1462"/>
      <c r="X141" s="1496"/>
      <c r="Y141" s="1444"/>
    </row>
    <row r="142" spans="1:25" ht="12.75">
      <c r="A142" s="1497">
        <v>4300</v>
      </c>
      <c r="B142" s="1513" t="s">
        <v>577</v>
      </c>
      <c r="C142" s="1457">
        <v>445000</v>
      </c>
      <c r="D142" s="1457">
        <f t="shared" si="32"/>
        <v>438540</v>
      </c>
      <c r="E142" s="1458">
        <v>468100</v>
      </c>
      <c r="F142" s="1459">
        <f t="shared" si="33"/>
        <v>445000</v>
      </c>
      <c r="G142" s="1499">
        <f t="shared" si="35"/>
        <v>100</v>
      </c>
      <c r="H142" s="1499">
        <f t="shared" si="36"/>
        <v>101.4730697313814</v>
      </c>
      <c r="I142" s="1450"/>
      <c r="J142" s="1461">
        <v>438540</v>
      </c>
      <c r="K142" s="1457">
        <v>445000</v>
      </c>
      <c r="L142" s="1457"/>
      <c r="M142" s="1457"/>
      <c r="N142" s="1457"/>
      <c r="O142" s="1457"/>
      <c r="P142" s="1462">
        <f t="shared" si="34"/>
        <v>445000</v>
      </c>
      <c r="Q142" s="1495">
        <f t="shared" si="30"/>
        <v>101.4730697313814</v>
      </c>
      <c r="R142" s="1461"/>
      <c r="S142" s="1457"/>
      <c r="T142" s="1457"/>
      <c r="U142" s="1457"/>
      <c r="V142" s="1457"/>
      <c r="W142" s="1462"/>
      <c r="X142" s="1496"/>
      <c r="Y142" s="1444"/>
    </row>
    <row r="143" spans="1:25" ht="12.75">
      <c r="A143" s="1497">
        <v>4350</v>
      </c>
      <c r="B143" s="1513" t="s">
        <v>724</v>
      </c>
      <c r="C143" s="1457"/>
      <c r="D143" s="1457">
        <f t="shared" si="32"/>
        <v>3800</v>
      </c>
      <c r="E143" s="1458">
        <v>4000</v>
      </c>
      <c r="F143" s="1459">
        <f t="shared" si="33"/>
        <v>4000</v>
      </c>
      <c r="G143" s="1499"/>
      <c r="H143" s="1499">
        <f t="shared" si="36"/>
        <v>105.26315789473684</v>
      </c>
      <c r="I143" s="1450"/>
      <c r="J143" s="1461">
        <v>3800</v>
      </c>
      <c r="K143" s="1457">
        <v>4000</v>
      </c>
      <c r="L143" s="1457"/>
      <c r="M143" s="1457"/>
      <c r="N143" s="1457"/>
      <c r="O143" s="1457"/>
      <c r="P143" s="1462">
        <f t="shared" si="34"/>
        <v>4000</v>
      </c>
      <c r="Q143" s="1495">
        <f t="shared" si="30"/>
        <v>105.26315789473684</v>
      </c>
      <c r="R143" s="1461"/>
      <c r="S143" s="1457"/>
      <c r="T143" s="1457"/>
      <c r="U143" s="1457"/>
      <c r="V143" s="1457"/>
      <c r="W143" s="1462"/>
      <c r="X143" s="1496"/>
      <c r="Y143" s="1444"/>
    </row>
    <row r="144" spans="1:25" ht="12.75">
      <c r="A144" s="1497">
        <v>4410</v>
      </c>
      <c r="B144" s="1513" t="s">
        <v>618</v>
      </c>
      <c r="C144" s="1457">
        <v>15800</v>
      </c>
      <c r="D144" s="1457">
        <f t="shared" si="32"/>
        <v>15800</v>
      </c>
      <c r="E144" s="1458">
        <v>10000</v>
      </c>
      <c r="F144" s="1459">
        <f t="shared" si="33"/>
        <v>10000</v>
      </c>
      <c r="G144" s="1499">
        <f t="shared" si="35"/>
        <v>63.29113924050633</v>
      </c>
      <c r="H144" s="1499">
        <f t="shared" si="36"/>
        <v>63.29113924050633</v>
      </c>
      <c r="I144" s="1450"/>
      <c r="J144" s="1461">
        <v>15800</v>
      </c>
      <c r="K144" s="1457">
        <v>10000</v>
      </c>
      <c r="L144" s="1457"/>
      <c r="M144" s="1457"/>
      <c r="N144" s="1457"/>
      <c r="O144" s="1457"/>
      <c r="P144" s="1462">
        <f t="shared" si="34"/>
        <v>10000</v>
      </c>
      <c r="Q144" s="1495">
        <f t="shared" si="30"/>
        <v>63.29113924050633</v>
      </c>
      <c r="R144" s="1461"/>
      <c r="S144" s="1457"/>
      <c r="T144" s="1457"/>
      <c r="U144" s="1457"/>
      <c r="V144" s="1457"/>
      <c r="W144" s="1462"/>
      <c r="X144" s="1496"/>
      <c r="Y144" s="1444"/>
    </row>
    <row r="145" spans="1:25" ht="12.75">
      <c r="A145" s="1497">
        <v>4420</v>
      </c>
      <c r="B145" s="1513" t="s">
        <v>725</v>
      </c>
      <c r="C145" s="1457">
        <v>1000</v>
      </c>
      <c r="D145" s="1457">
        <f t="shared" si="32"/>
        <v>1000</v>
      </c>
      <c r="E145" s="1458">
        <v>1000</v>
      </c>
      <c r="F145" s="1459">
        <f t="shared" si="33"/>
        <v>1000</v>
      </c>
      <c r="G145" s="1499">
        <f t="shared" si="35"/>
        <v>100</v>
      </c>
      <c r="H145" s="1499">
        <f t="shared" si="36"/>
        <v>100</v>
      </c>
      <c r="I145" s="1450"/>
      <c r="J145" s="1461">
        <v>1000</v>
      </c>
      <c r="K145" s="1457">
        <v>1000</v>
      </c>
      <c r="L145" s="1457"/>
      <c r="M145" s="1457"/>
      <c r="N145" s="1457"/>
      <c r="O145" s="1457"/>
      <c r="P145" s="1462">
        <f t="shared" si="34"/>
        <v>1000</v>
      </c>
      <c r="Q145" s="1495">
        <f t="shared" si="30"/>
        <v>100</v>
      </c>
      <c r="R145" s="1461"/>
      <c r="S145" s="1457"/>
      <c r="T145" s="1457"/>
      <c r="U145" s="1457"/>
      <c r="V145" s="1457"/>
      <c r="W145" s="1462"/>
      <c r="X145" s="1496"/>
      <c r="Y145" s="1444"/>
    </row>
    <row r="146" spans="1:25" ht="12.75">
      <c r="A146" s="1497">
        <v>4430</v>
      </c>
      <c r="B146" s="1513" t="s">
        <v>582</v>
      </c>
      <c r="C146" s="1457">
        <v>9000</v>
      </c>
      <c r="D146" s="1457">
        <f t="shared" si="32"/>
        <v>16500</v>
      </c>
      <c r="E146" s="1458">
        <v>9000</v>
      </c>
      <c r="F146" s="1459">
        <f t="shared" si="33"/>
        <v>9095</v>
      </c>
      <c r="G146" s="1499">
        <f t="shared" si="35"/>
        <v>101.05555555555557</v>
      </c>
      <c r="H146" s="1499">
        <f t="shared" si="36"/>
        <v>55.121212121212125</v>
      </c>
      <c r="I146" s="1450"/>
      <c r="J146" s="1461">
        <v>16500</v>
      </c>
      <c r="K146" s="1457">
        <f>9000+95</f>
        <v>9095</v>
      </c>
      <c r="L146" s="1457"/>
      <c r="M146" s="1457"/>
      <c r="N146" s="1457"/>
      <c r="O146" s="1457"/>
      <c r="P146" s="1462">
        <f t="shared" si="34"/>
        <v>9095</v>
      </c>
      <c r="Q146" s="1495">
        <f t="shared" si="30"/>
        <v>55.121212121212125</v>
      </c>
      <c r="R146" s="1461"/>
      <c r="S146" s="1457"/>
      <c r="T146" s="1457"/>
      <c r="U146" s="1457"/>
      <c r="V146" s="1457"/>
      <c r="W146" s="1462"/>
      <c r="X146" s="1496"/>
      <c r="Y146" s="1444"/>
    </row>
    <row r="147" spans="1:25" ht="12.75">
      <c r="A147" s="1497">
        <v>4440</v>
      </c>
      <c r="B147" s="1513" t="s">
        <v>641</v>
      </c>
      <c r="C147" s="1457">
        <v>21000</v>
      </c>
      <c r="D147" s="1457">
        <f t="shared" si="32"/>
        <v>22467</v>
      </c>
      <c r="E147" s="1458">
        <v>24200</v>
      </c>
      <c r="F147" s="1459">
        <f t="shared" si="33"/>
        <v>24200</v>
      </c>
      <c r="G147" s="1499">
        <f t="shared" si="35"/>
        <v>115.23809523809523</v>
      </c>
      <c r="H147" s="1499">
        <f t="shared" si="36"/>
        <v>107.71353540748653</v>
      </c>
      <c r="I147" s="1450"/>
      <c r="J147" s="1461">
        <v>22467</v>
      </c>
      <c r="K147" s="1457">
        <v>24200</v>
      </c>
      <c r="L147" s="1457"/>
      <c r="M147" s="1457"/>
      <c r="N147" s="1457"/>
      <c r="O147" s="1457"/>
      <c r="P147" s="1462">
        <f t="shared" si="34"/>
        <v>24200</v>
      </c>
      <c r="Q147" s="1495">
        <f t="shared" si="30"/>
        <v>107.71353540748653</v>
      </c>
      <c r="R147" s="1461"/>
      <c r="S147" s="1457"/>
      <c r="T147" s="1457"/>
      <c r="U147" s="1457"/>
      <c r="V147" s="1457"/>
      <c r="W147" s="1462"/>
      <c r="X147" s="1496"/>
      <c r="Y147" s="1444"/>
    </row>
    <row r="148" spans="1:25" ht="73.5" customHeight="1" hidden="1">
      <c r="A148" s="1497">
        <v>4560</v>
      </c>
      <c r="B148" s="1513" t="s">
        <v>726</v>
      </c>
      <c r="C148" s="1457"/>
      <c r="D148" s="1457">
        <f t="shared" si="32"/>
        <v>0</v>
      </c>
      <c r="E148" s="1458"/>
      <c r="F148" s="1459">
        <f t="shared" si="33"/>
        <v>0</v>
      </c>
      <c r="G148" s="1499" t="e">
        <f t="shared" si="35"/>
        <v>#DIV/0!</v>
      </c>
      <c r="H148" s="1499" t="e">
        <f t="shared" si="36"/>
        <v>#DIV/0!</v>
      </c>
      <c r="I148" s="1450"/>
      <c r="J148" s="1461"/>
      <c r="K148" s="1457"/>
      <c r="L148" s="1457"/>
      <c r="M148" s="1457"/>
      <c r="N148" s="1457"/>
      <c r="O148" s="1457"/>
      <c r="P148" s="1462">
        <f t="shared" si="34"/>
        <v>0</v>
      </c>
      <c r="Q148" s="1495" t="e">
        <f t="shared" si="30"/>
        <v>#DIV/0!</v>
      </c>
      <c r="R148" s="1461"/>
      <c r="S148" s="1457"/>
      <c r="T148" s="1457"/>
      <c r="U148" s="1457"/>
      <c r="V148" s="1457"/>
      <c r="W148" s="1462"/>
      <c r="X148" s="1496"/>
      <c r="Y148" s="1444"/>
    </row>
    <row r="149" spans="1:25" ht="21" customHeight="1" hidden="1">
      <c r="A149" s="1497">
        <v>4580</v>
      </c>
      <c r="B149" s="1513" t="s">
        <v>727</v>
      </c>
      <c r="C149" s="1457"/>
      <c r="D149" s="1457">
        <f t="shared" si="32"/>
        <v>0</v>
      </c>
      <c r="E149" s="1458"/>
      <c r="F149" s="1459">
        <f t="shared" si="33"/>
        <v>0</v>
      </c>
      <c r="G149" s="1499" t="e">
        <f t="shared" si="35"/>
        <v>#DIV/0!</v>
      </c>
      <c r="H149" s="1499" t="e">
        <f t="shared" si="36"/>
        <v>#DIV/0!</v>
      </c>
      <c r="I149" s="1450"/>
      <c r="J149" s="1461"/>
      <c r="K149" s="1457"/>
      <c r="L149" s="1457"/>
      <c r="M149" s="1457"/>
      <c r="N149" s="1457"/>
      <c r="O149" s="1457"/>
      <c r="P149" s="1462">
        <f t="shared" si="34"/>
        <v>0</v>
      </c>
      <c r="Q149" s="1495" t="e">
        <f t="shared" si="30"/>
        <v>#DIV/0!</v>
      </c>
      <c r="R149" s="1461"/>
      <c r="S149" s="1457"/>
      <c r="T149" s="1457"/>
      <c r="U149" s="1457"/>
      <c r="V149" s="1457"/>
      <c r="W149" s="1462"/>
      <c r="X149" s="1496"/>
      <c r="Y149" s="1444"/>
    </row>
    <row r="150" spans="1:25" ht="46.5" customHeight="1" hidden="1">
      <c r="A150" s="1497">
        <v>4600</v>
      </c>
      <c r="B150" s="1513" t="s">
        <v>728</v>
      </c>
      <c r="C150" s="1457"/>
      <c r="D150" s="1457">
        <f t="shared" si="32"/>
        <v>0</v>
      </c>
      <c r="E150" s="1458"/>
      <c r="F150" s="1459">
        <f t="shared" si="33"/>
        <v>0</v>
      </c>
      <c r="G150" s="1499" t="e">
        <f t="shared" si="35"/>
        <v>#DIV/0!</v>
      </c>
      <c r="H150" s="1499" t="e">
        <f t="shared" si="36"/>
        <v>#DIV/0!</v>
      </c>
      <c r="I150" s="1450"/>
      <c r="J150" s="1461"/>
      <c r="K150" s="1457"/>
      <c r="L150" s="1457"/>
      <c r="M150" s="1457"/>
      <c r="N150" s="1457"/>
      <c r="O150" s="1457"/>
      <c r="P150" s="1462">
        <f t="shared" si="34"/>
        <v>0</v>
      </c>
      <c r="Q150" s="1495" t="e">
        <f t="shared" si="30"/>
        <v>#DIV/0!</v>
      </c>
      <c r="R150" s="1461"/>
      <c r="S150" s="1457"/>
      <c r="T150" s="1457"/>
      <c r="U150" s="1457"/>
      <c r="V150" s="1457"/>
      <c r="W150" s="1462"/>
      <c r="X150" s="1496"/>
      <c r="Y150" s="1444"/>
    </row>
    <row r="151" spans="1:25" ht="44.25" customHeight="1" hidden="1">
      <c r="A151" s="1497">
        <v>4610</v>
      </c>
      <c r="B151" s="1513" t="s">
        <v>729</v>
      </c>
      <c r="C151" s="1457"/>
      <c r="D151" s="1457">
        <f t="shared" si="32"/>
        <v>0</v>
      </c>
      <c r="E151" s="1458"/>
      <c r="F151" s="1459">
        <f t="shared" si="33"/>
        <v>0</v>
      </c>
      <c r="G151" s="1499" t="e">
        <f t="shared" si="35"/>
        <v>#DIV/0!</v>
      </c>
      <c r="H151" s="1499" t="e">
        <f t="shared" si="36"/>
        <v>#DIV/0!</v>
      </c>
      <c r="I151" s="1450"/>
      <c r="J151" s="1461"/>
      <c r="K151" s="1457"/>
      <c r="L151" s="1457"/>
      <c r="M151" s="1457"/>
      <c r="N151" s="1457"/>
      <c r="O151" s="1457"/>
      <c r="P151" s="1462">
        <f t="shared" si="34"/>
        <v>0</v>
      </c>
      <c r="Q151" s="1495" t="e">
        <f t="shared" si="30"/>
        <v>#DIV/0!</v>
      </c>
      <c r="R151" s="1461"/>
      <c r="S151" s="1457"/>
      <c r="T151" s="1457"/>
      <c r="U151" s="1457"/>
      <c r="V151" s="1457"/>
      <c r="W151" s="1462"/>
      <c r="X151" s="1496"/>
      <c r="Y151" s="1444"/>
    </row>
    <row r="152" spans="1:25" ht="12.75">
      <c r="A152" s="1497">
        <v>4480</v>
      </c>
      <c r="B152" s="1456" t="s">
        <v>1327</v>
      </c>
      <c r="C152" s="1457">
        <v>4000</v>
      </c>
      <c r="D152" s="1457">
        <f t="shared" si="32"/>
        <v>4000</v>
      </c>
      <c r="E152" s="1458">
        <v>4500</v>
      </c>
      <c r="F152" s="1459">
        <f t="shared" si="33"/>
        <v>4100</v>
      </c>
      <c r="G152" s="1499">
        <f t="shared" si="35"/>
        <v>102.49999999999999</v>
      </c>
      <c r="H152" s="1499">
        <f t="shared" si="36"/>
        <v>102.49999999999999</v>
      </c>
      <c r="I152" s="1450"/>
      <c r="J152" s="1461">
        <v>4000</v>
      </c>
      <c r="K152" s="1457">
        <v>4100</v>
      </c>
      <c r="L152" s="1457"/>
      <c r="M152" s="1457"/>
      <c r="N152" s="1457"/>
      <c r="O152" s="1457"/>
      <c r="P152" s="1462">
        <f t="shared" si="34"/>
        <v>4100</v>
      </c>
      <c r="Q152" s="1495">
        <f t="shared" si="30"/>
        <v>102.49999999999999</v>
      </c>
      <c r="R152" s="1461"/>
      <c r="S152" s="1457"/>
      <c r="T152" s="1457"/>
      <c r="U152" s="1457"/>
      <c r="V152" s="1457"/>
      <c r="W152" s="1462"/>
      <c r="X152" s="1496"/>
      <c r="Y152" s="1444"/>
    </row>
    <row r="153" spans="1:25" ht="24">
      <c r="A153" s="1497">
        <v>6050</v>
      </c>
      <c r="B153" s="1513" t="s">
        <v>658</v>
      </c>
      <c r="C153" s="1457"/>
      <c r="D153" s="1457">
        <f t="shared" si="32"/>
        <v>185200</v>
      </c>
      <c r="E153" s="1458">
        <v>20000</v>
      </c>
      <c r="F153" s="1459">
        <f t="shared" si="33"/>
        <v>1000</v>
      </c>
      <c r="G153" s="1499"/>
      <c r="H153" s="1499">
        <f t="shared" si="36"/>
        <v>0.5399568034557235</v>
      </c>
      <c r="I153" s="1450"/>
      <c r="J153" s="1461">
        <v>185200</v>
      </c>
      <c r="K153" s="1457"/>
      <c r="L153" s="1457">
        <v>1000</v>
      </c>
      <c r="M153" s="1457"/>
      <c r="N153" s="1457"/>
      <c r="O153" s="1457"/>
      <c r="P153" s="1462">
        <f t="shared" si="34"/>
        <v>1000</v>
      </c>
      <c r="Q153" s="1495"/>
      <c r="R153" s="1461"/>
      <c r="S153" s="1457"/>
      <c r="T153" s="1457"/>
      <c r="U153" s="1457"/>
      <c r="V153" s="1457"/>
      <c r="W153" s="1462"/>
      <c r="X153" s="1496"/>
      <c r="Y153" s="1444"/>
    </row>
    <row r="154" spans="1:25" ht="24.75" thickBot="1">
      <c r="A154" s="1497">
        <v>6060</v>
      </c>
      <c r="B154" s="1513" t="s">
        <v>730</v>
      </c>
      <c r="C154" s="1457">
        <v>47500</v>
      </c>
      <c r="D154" s="1457">
        <f t="shared" si="32"/>
        <v>92500</v>
      </c>
      <c r="E154" s="1458">
        <v>23000</v>
      </c>
      <c r="F154" s="1459">
        <f t="shared" si="33"/>
        <v>23000</v>
      </c>
      <c r="G154" s="1481">
        <f t="shared" si="35"/>
        <v>48.421052631578945</v>
      </c>
      <c r="H154" s="1481">
        <f t="shared" si="36"/>
        <v>24.864864864864867</v>
      </c>
      <c r="I154" s="1450"/>
      <c r="J154" s="1461">
        <v>92500</v>
      </c>
      <c r="K154" s="1457"/>
      <c r="L154" s="1457"/>
      <c r="M154" s="1457">
        <v>23000</v>
      </c>
      <c r="N154" s="1457"/>
      <c r="O154" s="1457"/>
      <c r="P154" s="1462">
        <f t="shared" si="34"/>
        <v>23000</v>
      </c>
      <c r="Q154" s="1495">
        <f t="shared" si="30"/>
        <v>24.864864864864867</v>
      </c>
      <c r="R154" s="1461"/>
      <c r="S154" s="1457"/>
      <c r="T154" s="1457"/>
      <c r="U154" s="1457"/>
      <c r="V154" s="1457"/>
      <c r="W154" s="1462"/>
      <c r="X154" s="1496"/>
      <c r="Y154" s="1444"/>
    </row>
    <row r="155" spans="1:25" ht="62.25" customHeight="1" hidden="1">
      <c r="A155" s="1485">
        <v>6050</v>
      </c>
      <c r="B155" s="1502" t="s">
        <v>731</v>
      </c>
      <c r="C155" s="1478"/>
      <c r="D155" s="1478"/>
      <c r="E155" s="1479"/>
      <c r="F155" s="1480"/>
      <c r="G155" s="1437" t="e">
        <f t="shared" si="35"/>
        <v>#DIV/0!</v>
      </c>
      <c r="H155" s="1438" t="e">
        <f t="shared" si="36"/>
        <v>#DIV/0!</v>
      </c>
      <c r="I155" s="1486"/>
      <c r="J155" s="1483"/>
      <c r="K155" s="1478"/>
      <c r="L155" s="1478"/>
      <c r="M155" s="1478"/>
      <c r="N155" s="1478"/>
      <c r="O155" s="1478"/>
      <c r="P155" s="1484"/>
      <c r="Q155" s="1487"/>
      <c r="R155" s="1483"/>
      <c r="S155" s="1478"/>
      <c r="T155" s="1478"/>
      <c r="U155" s="1478"/>
      <c r="V155" s="1478"/>
      <c r="W155" s="1484"/>
      <c r="X155" s="1552"/>
      <c r="Y155" s="1444"/>
    </row>
    <row r="156" spans="1:25" s="581" customFormat="1" ht="14.25" thickBot="1" thickTop="1">
      <c r="A156" s="1489">
        <v>630</v>
      </c>
      <c r="B156" s="1490" t="s">
        <v>732</v>
      </c>
      <c r="C156" s="1434">
        <f>C157++C161</f>
        <v>150500</v>
      </c>
      <c r="D156" s="1434">
        <f>D157+D161</f>
        <v>147500</v>
      </c>
      <c r="E156" s="1435">
        <f>E157+E161</f>
        <v>493353</v>
      </c>
      <c r="F156" s="1434">
        <f>F157+F161</f>
        <v>455353</v>
      </c>
      <c r="G156" s="1437">
        <f t="shared" si="35"/>
        <v>302.5601328903655</v>
      </c>
      <c r="H156" s="1438">
        <f t="shared" si="36"/>
        <v>308.71389830508474</v>
      </c>
      <c r="I156" s="1553">
        <f>F156/F$1426*100</f>
        <v>0.16607541570069445</v>
      </c>
      <c r="J156" s="1440">
        <f aca="true" t="shared" si="37" ref="J156:P156">J157+J161</f>
        <v>147500</v>
      </c>
      <c r="K156" s="1434">
        <f t="shared" si="37"/>
        <v>455353</v>
      </c>
      <c r="L156" s="1434">
        <f t="shared" si="37"/>
        <v>0</v>
      </c>
      <c r="M156" s="1434">
        <f t="shared" si="37"/>
        <v>0</v>
      </c>
      <c r="N156" s="1434">
        <f t="shared" si="37"/>
        <v>0</v>
      </c>
      <c r="O156" s="1434">
        <f t="shared" si="37"/>
        <v>0</v>
      </c>
      <c r="P156" s="1441">
        <f t="shared" si="37"/>
        <v>455353</v>
      </c>
      <c r="Q156" s="1554">
        <f>Q157</f>
        <v>97.33840304182509</v>
      </c>
      <c r="R156" s="1440"/>
      <c r="S156" s="1434"/>
      <c r="T156" s="1434"/>
      <c r="U156" s="1434"/>
      <c r="V156" s="1434"/>
      <c r="W156" s="1434"/>
      <c r="X156" s="1443"/>
      <c r="Y156" s="1444"/>
    </row>
    <row r="157" spans="1:25" s="581" customFormat="1" ht="24.75" thickTop="1">
      <c r="A157" s="1493">
        <v>63003</v>
      </c>
      <c r="B157" s="1506" t="s">
        <v>733</v>
      </c>
      <c r="C157" s="1447">
        <f>SUM(C158:C160)</f>
        <v>150500</v>
      </c>
      <c r="D157" s="1447">
        <f>SUM(D158:D160)</f>
        <v>131500</v>
      </c>
      <c r="E157" s="1448">
        <f>SUM(E158:E160)</f>
        <v>166000</v>
      </c>
      <c r="F157" s="1449">
        <f>SUM(F158:F160)</f>
        <v>128000</v>
      </c>
      <c r="G157" s="1474">
        <f t="shared" si="35"/>
        <v>85.04983388704319</v>
      </c>
      <c r="H157" s="1475">
        <f t="shared" si="36"/>
        <v>97.33840304182509</v>
      </c>
      <c r="I157" s="1450"/>
      <c r="J157" s="1451">
        <f aca="true" t="shared" si="38" ref="J157:P157">SUM(J158:J160)</f>
        <v>131500</v>
      </c>
      <c r="K157" s="1447">
        <f t="shared" si="38"/>
        <v>128000</v>
      </c>
      <c r="L157" s="1447">
        <f t="shared" si="38"/>
        <v>0</v>
      </c>
      <c r="M157" s="1447">
        <f t="shared" si="38"/>
        <v>0</v>
      </c>
      <c r="N157" s="1447">
        <f t="shared" si="38"/>
        <v>0</v>
      </c>
      <c r="O157" s="1447"/>
      <c r="P157" s="1452">
        <f t="shared" si="38"/>
        <v>128000</v>
      </c>
      <c r="Q157" s="1453">
        <f aca="true" t="shared" si="39" ref="Q157:Q204">P157/J157*100</f>
        <v>97.33840304182509</v>
      </c>
      <c r="R157" s="1451"/>
      <c r="S157" s="1447"/>
      <c r="T157" s="1447"/>
      <c r="U157" s="1447"/>
      <c r="V157" s="1447"/>
      <c r="W157" s="1452"/>
      <c r="X157" s="1454"/>
      <c r="Y157" s="1444"/>
    </row>
    <row r="158" spans="1:25" ht="48">
      <c r="A158" s="1497">
        <v>2820</v>
      </c>
      <c r="B158" s="1513" t="s">
        <v>734</v>
      </c>
      <c r="C158" s="1457">
        <v>14000</v>
      </c>
      <c r="D158" s="1457">
        <f aca="true" t="shared" si="40" ref="D158:D169">J158+R158</f>
        <v>14000</v>
      </c>
      <c r="E158" s="1458">
        <v>14000</v>
      </c>
      <c r="F158" s="1459">
        <f>P158+W158</f>
        <v>14000</v>
      </c>
      <c r="G158" s="1499">
        <f t="shared" si="35"/>
        <v>100</v>
      </c>
      <c r="H158" s="1499">
        <f t="shared" si="36"/>
        <v>100</v>
      </c>
      <c r="I158" s="1450"/>
      <c r="J158" s="1461">
        <v>14000</v>
      </c>
      <c r="K158" s="1457">
        <v>14000</v>
      </c>
      <c r="L158" s="1457"/>
      <c r="M158" s="1457"/>
      <c r="N158" s="1457"/>
      <c r="O158" s="1457"/>
      <c r="P158" s="1462">
        <f>SUM(K158:N158)</f>
        <v>14000</v>
      </c>
      <c r="Q158" s="1495">
        <f t="shared" si="39"/>
        <v>100</v>
      </c>
      <c r="R158" s="1461"/>
      <c r="S158" s="1457"/>
      <c r="T158" s="1457"/>
      <c r="U158" s="1457"/>
      <c r="V158" s="1457"/>
      <c r="W158" s="1462"/>
      <c r="X158" s="1496"/>
      <c r="Y158" s="1444"/>
    </row>
    <row r="159" spans="1:25" ht="12.75">
      <c r="A159" s="1485">
        <v>4210</v>
      </c>
      <c r="B159" s="1498" t="s">
        <v>560</v>
      </c>
      <c r="C159" s="1478">
        <v>16500</v>
      </c>
      <c r="D159" s="1457">
        <f t="shared" si="40"/>
        <v>12000</v>
      </c>
      <c r="E159" s="1479">
        <v>9000</v>
      </c>
      <c r="F159" s="1459">
        <f>P159+W159</f>
        <v>9000</v>
      </c>
      <c r="G159" s="1499">
        <f t="shared" si="35"/>
        <v>54.54545454545454</v>
      </c>
      <c r="H159" s="1499">
        <f t="shared" si="36"/>
        <v>75</v>
      </c>
      <c r="I159" s="1501"/>
      <c r="J159" s="1483">
        <v>12000</v>
      </c>
      <c r="K159" s="1478">
        <v>9000</v>
      </c>
      <c r="L159" s="1478"/>
      <c r="M159" s="1478"/>
      <c r="N159" s="1478"/>
      <c r="O159" s="1478"/>
      <c r="P159" s="1462">
        <f>SUM(K159:N159)</f>
        <v>9000</v>
      </c>
      <c r="Q159" s="1495">
        <f t="shared" si="39"/>
        <v>75</v>
      </c>
      <c r="R159" s="1483"/>
      <c r="S159" s="1478"/>
      <c r="T159" s="1478"/>
      <c r="U159" s="1478"/>
      <c r="V159" s="1478"/>
      <c r="W159" s="1462"/>
      <c r="X159" s="1496"/>
      <c r="Y159" s="1444"/>
    </row>
    <row r="160" spans="1:25" ht="12.75">
      <c r="A160" s="1497">
        <v>4300</v>
      </c>
      <c r="B160" s="1513" t="s">
        <v>653</v>
      </c>
      <c r="C160" s="1457">
        <v>120000</v>
      </c>
      <c r="D160" s="1457">
        <f t="shared" si="40"/>
        <v>105500</v>
      </c>
      <c r="E160" s="1458">
        <v>143000</v>
      </c>
      <c r="F160" s="1459">
        <f aca="true" t="shared" si="41" ref="F160:F169">P160+W160</f>
        <v>105000</v>
      </c>
      <c r="G160" s="1499">
        <f t="shared" si="35"/>
        <v>87.5</v>
      </c>
      <c r="H160" s="1499">
        <f t="shared" si="36"/>
        <v>99.52606635071089</v>
      </c>
      <c r="I160" s="1450"/>
      <c r="J160" s="1461">
        <v>105500</v>
      </c>
      <c r="K160" s="1457">
        <v>105000</v>
      </c>
      <c r="L160" s="1457"/>
      <c r="M160" s="1457"/>
      <c r="N160" s="1457"/>
      <c r="O160" s="1457"/>
      <c r="P160" s="1462">
        <f>SUM(K160:N160)</f>
        <v>105000</v>
      </c>
      <c r="Q160" s="1495">
        <f t="shared" si="39"/>
        <v>99.52606635071089</v>
      </c>
      <c r="R160" s="1461"/>
      <c r="S160" s="1457"/>
      <c r="T160" s="1457"/>
      <c r="U160" s="1457"/>
      <c r="V160" s="1457"/>
      <c r="W160" s="1462"/>
      <c r="X160" s="1488"/>
      <c r="Y160" s="1444"/>
    </row>
    <row r="161" spans="1:25" s="581" customFormat="1" ht="16.5" customHeight="1">
      <c r="A161" s="1516">
        <v>63095</v>
      </c>
      <c r="B161" s="1550" t="s">
        <v>209</v>
      </c>
      <c r="C161" s="1467">
        <f>C162+C167</f>
        <v>0</v>
      </c>
      <c r="D161" s="1467">
        <f>J161+R161</f>
        <v>16000</v>
      </c>
      <c r="E161" s="1471">
        <f>E162+E167</f>
        <v>327353</v>
      </c>
      <c r="F161" s="1469">
        <f>F162+F167</f>
        <v>327353</v>
      </c>
      <c r="G161" s="1519"/>
      <c r="H161" s="1519">
        <f t="shared" si="36"/>
        <v>2045.95625</v>
      </c>
      <c r="I161" s="1460"/>
      <c r="J161" s="1555">
        <f>J162+J167</f>
        <v>16000</v>
      </c>
      <c r="K161" s="1467">
        <f>K162+K167</f>
        <v>327353</v>
      </c>
      <c r="L161" s="1556">
        <f>L162+L167</f>
        <v>0</v>
      </c>
      <c r="M161" s="1467"/>
      <c r="N161" s="1467"/>
      <c r="O161" s="1467"/>
      <c r="P161" s="1471">
        <f aca="true" t="shared" si="42" ref="P161:P169">SUM(K161:N161)</f>
        <v>327353</v>
      </c>
      <c r="Q161" s="1472"/>
      <c r="R161" s="1470"/>
      <c r="S161" s="1467"/>
      <c r="T161" s="1467"/>
      <c r="U161" s="1467"/>
      <c r="V161" s="1467"/>
      <c r="W161" s="1471"/>
      <c r="X161" s="1557"/>
      <c r="Y161" s="1444"/>
    </row>
    <row r="162" spans="1:25" s="581" customFormat="1" ht="16.5" customHeight="1">
      <c r="A162" s="1558"/>
      <c r="B162" s="1559" t="s">
        <v>735</v>
      </c>
      <c r="C162" s="1447">
        <f>SUM(C163:C166)</f>
        <v>0</v>
      </c>
      <c r="D162" s="1447">
        <f>SUM(D163:D166)</f>
        <v>16000</v>
      </c>
      <c r="E162" s="1452">
        <f>SUM(E163:E166)</f>
        <v>30351</v>
      </c>
      <c r="F162" s="1469">
        <f>SUM(F163:F166)</f>
        <v>30351</v>
      </c>
      <c r="G162" s="1519"/>
      <c r="H162" s="1519">
        <f t="shared" si="36"/>
        <v>189.69375</v>
      </c>
      <c r="I162" s="1486"/>
      <c r="J162" s="1560">
        <f>SUM(J163:J166)</f>
        <v>16000</v>
      </c>
      <c r="K162" s="1447">
        <f>SUM(K163:K166)</f>
        <v>30351</v>
      </c>
      <c r="L162" s="1561"/>
      <c r="M162" s="1562"/>
      <c r="N162" s="1562"/>
      <c r="O162" s="1562"/>
      <c r="P162" s="1471">
        <f t="shared" si="42"/>
        <v>30351</v>
      </c>
      <c r="Q162" s="1563"/>
      <c r="R162" s="1564"/>
      <c r="S162" s="1562"/>
      <c r="T162" s="1562"/>
      <c r="U162" s="1562"/>
      <c r="V162" s="1562"/>
      <c r="W162" s="1565"/>
      <c r="X162" s="1557"/>
      <c r="Y162" s="1444"/>
    </row>
    <row r="163" spans="1:25" ht="12.75">
      <c r="A163" s="1497">
        <v>4300</v>
      </c>
      <c r="B163" s="1513" t="s">
        <v>653</v>
      </c>
      <c r="C163" s="1457"/>
      <c r="D163" s="1457">
        <f t="shared" si="40"/>
        <v>11000</v>
      </c>
      <c r="E163" s="1462"/>
      <c r="F163" s="1459">
        <f t="shared" si="41"/>
        <v>0</v>
      </c>
      <c r="G163" s="1499"/>
      <c r="H163" s="1499">
        <f t="shared" si="36"/>
        <v>0</v>
      </c>
      <c r="I163" s="1460"/>
      <c r="J163" s="1566">
        <v>11000</v>
      </c>
      <c r="K163" s="1457"/>
      <c r="L163" s="1457"/>
      <c r="M163" s="1457"/>
      <c r="N163" s="1457"/>
      <c r="O163" s="1457"/>
      <c r="P163" s="1462">
        <f t="shared" si="42"/>
        <v>0</v>
      </c>
      <c r="Q163" s="1463"/>
      <c r="R163" s="1461"/>
      <c r="S163" s="1457"/>
      <c r="T163" s="1457"/>
      <c r="U163" s="1457"/>
      <c r="V163" s="1457"/>
      <c r="W163" s="1462"/>
      <c r="X163" s="1488"/>
      <c r="Y163" s="1444"/>
    </row>
    <row r="164" spans="1:25" ht="12.75">
      <c r="A164" s="1497">
        <v>4301</v>
      </c>
      <c r="B164" s="1513" t="s">
        <v>653</v>
      </c>
      <c r="C164" s="1457"/>
      <c r="D164" s="1457">
        <f t="shared" si="40"/>
        <v>0</v>
      </c>
      <c r="E164" s="1458">
        <v>22763</v>
      </c>
      <c r="F164" s="1459">
        <f t="shared" si="41"/>
        <v>22763</v>
      </c>
      <c r="G164" s="1499"/>
      <c r="H164" s="1499"/>
      <c r="I164" s="1460"/>
      <c r="J164" s="1566"/>
      <c r="K164" s="1457">
        <v>22763</v>
      </c>
      <c r="L164" s="1457"/>
      <c r="M164" s="1457"/>
      <c r="N164" s="1457"/>
      <c r="O164" s="1457"/>
      <c r="P164" s="1462">
        <f t="shared" si="42"/>
        <v>22763</v>
      </c>
      <c r="Q164" s="1463"/>
      <c r="R164" s="1461"/>
      <c r="S164" s="1457"/>
      <c r="T164" s="1457"/>
      <c r="U164" s="1457"/>
      <c r="V164" s="1457"/>
      <c r="W164" s="1462"/>
      <c r="X164" s="1488"/>
      <c r="Y164" s="1444"/>
    </row>
    <row r="165" spans="1:25" ht="12.75">
      <c r="A165" s="1497">
        <v>4302</v>
      </c>
      <c r="B165" s="1513" t="s">
        <v>653</v>
      </c>
      <c r="C165" s="1457"/>
      <c r="D165" s="1457">
        <f t="shared" si="40"/>
        <v>0</v>
      </c>
      <c r="E165" s="1458">
        <v>7588</v>
      </c>
      <c r="F165" s="1459">
        <f t="shared" si="41"/>
        <v>7588</v>
      </c>
      <c r="G165" s="1499"/>
      <c r="H165" s="1499"/>
      <c r="I165" s="1460"/>
      <c r="J165" s="1566"/>
      <c r="K165" s="1457">
        <v>7588</v>
      </c>
      <c r="L165" s="1457"/>
      <c r="M165" s="1457"/>
      <c r="N165" s="1457"/>
      <c r="O165" s="1457"/>
      <c r="P165" s="1462">
        <f t="shared" si="42"/>
        <v>7588</v>
      </c>
      <c r="Q165" s="1463"/>
      <c r="R165" s="1461"/>
      <c r="S165" s="1457"/>
      <c r="T165" s="1457"/>
      <c r="U165" s="1457"/>
      <c r="V165" s="1457"/>
      <c r="W165" s="1462"/>
      <c r="X165" s="1488"/>
      <c r="Y165" s="1444"/>
    </row>
    <row r="166" spans="1:25" ht="12.75">
      <c r="A166" s="1497">
        <v>4420</v>
      </c>
      <c r="B166" s="1513" t="s">
        <v>736</v>
      </c>
      <c r="C166" s="1457"/>
      <c r="D166" s="1457">
        <f t="shared" si="40"/>
        <v>5000</v>
      </c>
      <c r="E166" s="1458"/>
      <c r="F166" s="1459">
        <f t="shared" si="41"/>
        <v>0</v>
      </c>
      <c r="G166" s="1499"/>
      <c r="H166" s="1499">
        <f t="shared" si="36"/>
        <v>0</v>
      </c>
      <c r="I166" s="1460"/>
      <c r="J166" s="1566">
        <v>5000</v>
      </c>
      <c r="K166" s="1457"/>
      <c r="L166" s="1457"/>
      <c r="M166" s="1457"/>
      <c r="N166" s="1457"/>
      <c r="O166" s="1457"/>
      <c r="P166" s="1462">
        <f t="shared" si="42"/>
        <v>0</v>
      </c>
      <c r="Q166" s="1463"/>
      <c r="R166" s="1461"/>
      <c r="S166" s="1457"/>
      <c r="T166" s="1457"/>
      <c r="U166" s="1457"/>
      <c r="V166" s="1457"/>
      <c r="W166" s="1462"/>
      <c r="X166" s="1488"/>
      <c r="Y166" s="1444"/>
    </row>
    <row r="167" spans="1:25" s="581" customFormat="1" ht="12.75">
      <c r="A167" s="1516"/>
      <c r="B167" s="1550" t="s">
        <v>737</v>
      </c>
      <c r="C167" s="1467">
        <f>SUM(C168:C169)</f>
        <v>0</v>
      </c>
      <c r="D167" s="1467">
        <f>SUM(D168:D169)</f>
        <v>0</v>
      </c>
      <c r="E167" s="1468">
        <f>SUM(E168:E169)</f>
        <v>297002</v>
      </c>
      <c r="F167" s="1469">
        <f>SUM(F168:F169)</f>
        <v>297002</v>
      </c>
      <c r="G167" s="1519"/>
      <c r="H167" s="1519"/>
      <c r="I167" s="1460"/>
      <c r="J167" s="1555">
        <f>SUM(J168:J169)</f>
        <v>0</v>
      </c>
      <c r="K167" s="1467">
        <f>SUM(K168:K169)</f>
        <v>297002</v>
      </c>
      <c r="L167" s="1467"/>
      <c r="M167" s="1467"/>
      <c r="N167" s="1467"/>
      <c r="O167" s="1467"/>
      <c r="P167" s="1471">
        <f t="shared" si="42"/>
        <v>297002</v>
      </c>
      <c r="Q167" s="1472"/>
      <c r="R167" s="1470"/>
      <c r="S167" s="1467"/>
      <c r="T167" s="1467"/>
      <c r="U167" s="1467"/>
      <c r="V167" s="1467"/>
      <c r="W167" s="1471"/>
      <c r="X167" s="1557"/>
      <c r="Y167" s="1444"/>
    </row>
    <row r="168" spans="1:25" ht="12.75">
      <c r="A168" s="1497">
        <v>4301</v>
      </c>
      <c r="B168" s="1513" t="s">
        <v>653</v>
      </c>
      <c r="C168" s="1457"/>
      <c r="D168" s="1457">
        <f t="shared" si="40"/>
        <v>0</v>
      </c>
      <c r="E168" s="1458">
        <v>182582</v>
      </c>
      <c r="F168" s="1459">
        <f t="shared" si="41"/>
        <v>182582</v>
      </c>
      <c r="G168" s="1499"/>
      <c r="H168" s="1499"/>
      <c r="I168" s="1460"/>
      <c r="J168" s="1566"/>
      <c r="K168" s="1457">
        <v>182582</v>
      </c>
      <c r="L168" s="1457"/>
      <c r="M168" s="1457"/>
      <c r="N168" s="1457"/>
      <c r="O168" s="1457"/>
      <c r="P168" s="1462">
        <f t="shared" si="42"/>
        <v>182582</v>
      </c>
      <c r="Q168" s="1463"/>
      <c r="R168" s="1461"/>
      <c r="S168" s="1457"/>
      <c r="T168" s="1457"/>
      <c r="U168" s="1457"/>
      <c r="V168" s="1457"/>
      <c r="W168" s="1462"/>
      <c r="X168" s="1488"/>
      <c r="Y168" s="1444"/>
    </row>
    <row r="169" spans="1:25" ht="13.5" thickBot="1">
      <c r="A169" s="1497">
        <v>4302</v>
      </c>
      <c r="B169" s="1513" t="s">
        <v>653</v>
      </c>
      <c r="C169" s="1567"/>
      <c r="D169" s="1457">
        <f t="shared" si="40"/>
        <v>0</v>
      </c>
      <c r="E169" s="1568">
        <v>114420</v>
      </c>
      <c r="F169" s="1459">
        <f t="shared" si="41"/>
        <v>114420</v>
      </c>
      <c r="G169" s="1481"/>
      <c r="H169" s="1481"/>
      <c r="I169" s="1569"/>
      <c r="J169" s="1570"/>
      <c r="K169" s="1567">
        <v>114420</v>
      </c>
      <c r="L169" s="1567"/>
      <c r="M169" s="1567"/>
      <c r="N169" s="1567"/>
      <c r="O169" s="1567"/>
      <c r="P169" s="1462">
        <f t="shared" si="42"/>
        <v>114420</v>
      </c>
      <c r="Q169" s="1571"/>
      <c r="R169" s="1572"/>
      <c r="S169" s="1567"/>
      <c r="T169" s="1567"/>
      <c r="U169" s="1567"/>
      <c r="V169" s="1567"/>
      <c r="W169" s="1573"/>
      <c r="X169" s="1488"/>
      <c r="Y169" s="1444"/>
    </row>
    <row r="170" spans="1:25" s="581" customFormat="1" ht="23.25" customHeight="1" thickBot="1" thickTop="1">
      <c r="A170" s="1489">
        <v>700</v>
      </c>
      <c r="B170" s="1490" t="s">
        <v>211</v>
      </c>
      <c r="C170" s="1434">
        <f>C171+C180+C193+C191</f>
        <v>9657400</v>
      </c>
      <c r="D170" s="1434">
        <f>D171+D180+D193+D191</f>
        <v>16939350</v>
      </c>
      <c r="E170" s="1435">
        <f>E171+E180+E193+E191</f>
        <v>20995242</v>
      </c>
      <c r="F170" s="1436">
        <f>F171+F180+F193+F191</f>
        <v>15186400</v>
      </c>
      <c r="G170" s="1437">
        <f t="shared" si="35"/>
        <v>157.25143413341064</v>
      </c>
      <c r="H170" s="1438">
        <f t="shared" si="36"/>
        <v>89.6516100086485</v>
      </c>
      <c r="I170" s="1439">
        <f>F170/F$1426*100</f>
        <v>5.5387527764108855</v>
      </c>
      <c r="J170" s="1574">
        <f>J171+J180+J193+J191</f>
        <v>16939350</v>
      </c>
      <c r="K170" s="1434">
        <f>K171+K180+K193+K191</f>
        <v>1046400</v>
      </c>
      <c r="L170" s="1434">
        <f>L171+L180+L193+L191</f>
        <v>7570000</v>
      </c>
      <c r="M170" s="1434">
        <f>M171+M180+M193+M191</f>
        <v>6570000</v>
      </c>
      <c r="N170" s="1434">
        <f>N171+N180+N193+N191</f>
        <v>0</v>
      </c>
      <c r="O170" s="1434"/>
      <c r="P170" s="1441">
        <f>P171+P180+P193+P191</f>
        <v>15186400</v>
      </c>
      <c r="Q170" s="1442">
        <f t="shared" si="39"/>
        <v>89.6516100086485</v>
      </c>
      <c r="R170" s="1440"/>
      <c r="S170" s="1434"/>
      <c r="T170" s="1434"/>
      <c r="U170" s="1434"/>
      <c r="V170" s="1434"/>
      <c r="W170" s="1441"/>
      <c r="X170" s="1443"/>
      <c r="Y170" s="1444"/>
    </row>
    <row r="171" spans="1:25" s="581" customFormat="1" ht="34.5" customHeight="1" thickTop="1">
      <c r="A171" s="1493">
        <v>70001</v>
      </c>
      <c r="B171" s="1506" t="s">
        <v>738</v>
      </c>
      <c r="C171" s="1447">
        <f>C172+C179</f>
        <v>3000000</v>
      </c>
      <c r="D171" s="1447">
        <f>D172+D179</f>
        <v>6788500</v>
      </c>
      <c r="E171" s="1507">
        <f>SUM(E172)+E179</f>
        <v>10868842</v>
      </c>
      <c r="F171" s="1508">
        <f>F172++F179</f>
        <v>6500000</v>
      </c>
      <c r="G171" s="1474">
        <f t="shared" si="35"/>
        <v>216.66666666666666</v>
      </c>
      <c r="H171" s="1475">
        <f t="shared" si="36"/>
        <v>95.75016572144067</v>
      </c>
      <c r="I171" s="1509"/>
      <c r="J171" s="1510">
        <f>J172+J179</f>
        <v>6788500</v>
      </c>
      <c r="K171" s="1447">
        <f>K172+K179</f>
        <v>0</v>
      </c>
      <c r="L171" s="1447">
        <f>L172+L179</f>
        <v>6500000</v>
      </c>
      <c r="M171" s="1447">
        <f>M172+M179</f>
        <v>0</v>
      </c>
      <c r="N171" s="1447">
        <f>N172+N179</f>
        <v>0</v>
      </c>
      <c r="O171" s="1447">
        <f>O172</f>
        <v>0</v>
      </c>
      <c r="P171" s="1509">
        <f>P172++P179</f>
        <v>6500000</v>
      </c>
      <c r="Q171" s="1575">
        <f>Q172</f>
        <v>0</v>
      </c>
      <c r="R171" s="1510"/>
      <c r="S171" s="1447"/>
      <c r="T171" s="1447"/>
      <c r="U171" s="1447"/>
      <c r="V171" s="1447"/>
      <c r="W171" s="1452"/>
      <c r="X171" s="1454"/>
      <c r="Y171" s="1444"/>
    </row>
    <row r="172" spans="1:25" s="569" customFormat="1" ht="25.5" customHeight="1">
      <c r="A172" s="1497">
        <v>2510</v>
      </c>
      <c r="B172" s="1513" t="s">
        <v>739</v>
      </c>
      <c r="C172" s="1457">
        <f>SUM(C173:C178)</f>
        <v>3000000</v>
      </c>
      <c r="D172" s="1457">
        <f>J172+R172</f>
        <v>2538500</v>
      </c>
      <c r="E172" s="1549">
        <f>SUM(E173:E178)</f>
        <v>7868842</v>
      </c>
      <c r="F172" s="1457">
        <f aca="true" t="shared" si="43" ref="F172:F179">P172+W172</f>
        <v>0</v>
      </c>
      <c r="G172" s="1499">
        <f t="shared" si="35"/>
        <v>0</v>
      </c>
      <c r="H172" s="1499">
        <f t="shared" si="36"/>
        <v>0</v>
      </c>
      <c r="I172" s="1501"/>
      <c r="J172" s="1461">
        <v>2538500</v>
      </c>
      <c r="K172" s="1457">
        <f>SUM(K173:K178)</f>
        <v>0</v>
      </c>
      <c r="L172" s="1457">
        <f>SUM(L173:L178)</f>
        <v>0</v>
      </c>
      <c r="M172" s="1457">
        <f>SUM(M173:M178)</f>
        <v>0</v>
      </c>
      <c r="N172" s="1457">
        <f>SUM(N173:N178)</f>
        <v>0</v>
      </c>
      <c r="O172" s="1457"/>
      <c r="P172" s="1462">
        <f aca="true" t="shared" si="44" ref="P172:P179">SUM(K172:N172)</f>
        <v>0</v>
      </c>
      <c r="Q172" s="1472">
        <f t="shared" si="39"/>
        <v>0</v>
      </c>
      <c r="R172" s="1461"/>
      <c r="S172" s="1457"/>
      <c r="T172" s="1457"/>
      <c r="U172" s="1457"/>
      <c r="V172" s="1457"/>
      <c r="W172" s="1462"/>
      <c r="X172" s="1488"/>
      <c r="Y172" s="1444"/>
    </row>
    <row r="173" spans="1:25" s="1370" customFormat="1" ht="13.5" customHeight="1" hidden="1">
      <c r="A173" s="1521"/>
      <c r="B173" s="1522" t="s">
        <v>740</v>
      </c>
      <c r="C173" s="1523">
        <v>1500000</v>
      </c>
      <c r="D173" s="1457">
        <f>J173+R173</f>
        <v>0</v>
      </c>
      <c r="E173" s="1576"/>
      <c r="F173" s="1457">
        <f t="shared" si="43"/>
        <v>0</v>
      </c>
      <c r="G173" s="1538">
        <f t="shared" si="35"/>
        <v>0</v>
      </c>
      <c r="H173" s="1538"/>
      <c r="I173" s="1525"/>
      <c r="J173" s="1526"/>
      <c r="K173" s="1523"/>
      <c r="L173" s="1523"/>
      <c r="M173" s="1523"/>
      <c r="N173" s="1523"/>
      <c r="O173" s="1523"/>
      <c r="P173" s="1462">
        <f t="shared" si="44"/>
        <v>0</v>
      </c>
      <c r="Q173" s="1577"/>
      <c r="R173" s="1526"/>
      <c r="S173" s="1523"/>
      <c r="T173" s="1523"/>
      <c r="U173" s="1523"/>
      <c r="V173" s="1523"/>
      <c r="W173" s="1527"/>
      <c r="X173" s="1578"/>
      <c r="Y173" s="1444"/>
    </row>
    <row r="174" spans="1:25" s="1370" customFormat="1" ht="13.5" customHeight="1" hidden="1">
      <c r="A174" s="1521"/>
      <c r="B174" s="1522" t="s">
        <v>741</v>
      </c>
      <c r="C174" s="1523"/>
      <c r="D174" s="1457"/>
      <c r="E174" s="1576">
        <v>1000000</v>
      </c>
      <c r="F174" s="1457">
        <f t="shared" si="43"/>
        <v>0</v>
      </c>
      <c r="G174" s="1538"/>
      <c r="H174" s="1538"/>
      <c r="I174" s="1525"/>
      <c r="J174" s="1526"/>
      <c r="K174" s="1523"/>
      <c r="L174" s="1523"/>
      <c r="M174" s="1523"/>
      <c r="N174" s="1523"/>
      <c r="O174" s="1523"/>
      <c r="P174" s="1462">
        <f t="shared" si="44"/>
        <v>0</v>
      </c>
      <c r="Q174" s="1577"/>
      <c r="R174" s="1526"/>
      <c r="S174" s="1523"/>
      <c r="T174" s="1523"/>
      <c r="U174" s="1523"/>
      <c r="V174" s="1523"/>
      <c r="W174" s="1527"/>
      <c r="X174" s="1578"/>
      <c r="Y174" s="1444"/>
    </row>
    <row r="175" spans="1:25" s="1370" customFormat="1" ht="24" hidden="1">
      <c r="A175" s="1521"/>
      <c r="B175" s="1522" t="s">
        <v>742</v>
      </c>
      <c r="C175" s="1523"/>
      <c r="D175" s="1457"/>
      <c r="E175" s="1576">
        <f>4968842-1100000</f>
        <v>3868842</v>
      </c>
      <c r="F175" s="1457">
        <f t="shared" si="43"/>
        <v>0</v>
      </c>
      <c r="G175" s="1538"/>
      <c r="H175" s="1538"/>
      <c r="I175" s="1525"/>
      <c r="J175" s="1526"/>
      <c r="K175" s="1523"/>
      <c r="L175" s="1523"/>
      <c r="M175" s="1523"/>
      <c r="N175" s="1523"/>
      <c r="O175" s="1523"/>
      <c r="P175" s="1462">
        <f t="shared" si="44"/>
        <v>0</v>
      </c>
      <c r="Q175" s="1577"/>
      <c r="R175" s="1526"/>
      <c r="S175" s="1523"/>
      <c r="T175" s="1523"/>
      <c r="U175" s="1523"/>
      <c r="V175" s="1523"/>
      <c r="W175" s="1527"/>
      <c r="X175" s="1578"/>
      <c r="Y175" s="1444"/>
    </row>
    <row r="176" spans="1:25" s="1370" customFormat="1" ht="24" hidden="1">
      <c r="A176" s="1521"/>
      <c r="B176" s="1522" t="s">
        <v>743</v>
      </c>
      <c r="C176" s="1523"/>
      <c r="D176" s="1457"/>
      <c r="E176" s="1576">
        <v>1100000</v>
      </c>
      <c r="F176" s="1457">
        <f t="shared" si="43"/>
        <v>0</v>
      </c>
      <c r="G176" s="1538"/>
      <c r="H176" s="1538"/>
      <c r="I176" s="1525"/>
      <c r="J176" s="1526"/>
      <c r="K176" s="1523"/>
      <c r="L176" s="1523"/>
      <c r="M176" s="1523"/>
      <c r="N176" s="1523"/>
      <c r="O176" s="1523"/>
      <c r="P176" s="1462">
        <f t="shared" si="44"/>
        <v>0</v>
      </c>
      <c r="Q176" s="1577"/>
      <c r="R176" s="1526"/>
      <c r="S176" s="1523"/>
      <c r="T176" s="1523"/>
      <c r="U176" s="1523"/>
      <c r="V176" s="1523"/>
      <c r="W176" s="1527"/>
      <c r="X176" s="1578"/>
      <c r="Y176" s="1444"/>
    </row>
    <row r="177" spans="1:25" s="1370" customFormat="1" ht="12.75" hidden="1">
      <c r="A177" s="1521"/>
      <c r="B177" s="1522" t="s">
        <v>744</v>
      </c>
      <c r="C177" s="1523">
        <v>1500000</v>
      </c>
      <c r="D177" s="1457"/>
      <c r="E177" s="1576"/>
      <c r="F177" s="1457">
        <f t="shared" si="43"/>
        <v>0</v>
      </c>
      <c r="G177" s="1538"/>
      <c r="H177" s="1538"/>
      <c r="I177" s="1525"/>
      <c r="J177" s="1526"/>
      <c r="K177" s="1523"/>
      <c r="L177" s="1523"/>
      <c r="M177" s="1523"/>
      <c r="N177" s="1523"/>
      <c r="O177" s="1523"/>
      <c r="P177" s="1462">
        <f t="shared" si="44"/>
        <v>0</v>
      </c>
      <c r="Q177" s="1577"/>
      <c r="R177" s="1526"/>
      <c r="S177" s="1523"/>
      <c r="T177" s="1523"/>
      <c r="U177" s="1523"/>
      <c r="V177" s="1523"/>
      <c r="W177" s="1527"/>
      <c r="X177" s="1578"/>
      <c r="Y177" s="1444"/>
    </row>
    <row r="178" spans="1:25" s="618" customFormat="1" ht="13.5" customHeight="1" hidden="1">
      <c r="A178" s="1521"/>
      <c r="B178" s="1522" t="s">
        <v>745</v>
      </c>
      <c r="C178" s="1523"/>
      <c r="D178" s="1457">
        <f>J178+R178</f>
        <v>0</v>
      </c>
      <c r="E178" s="1576">
        <v>1900000</v>
      </c>
      <c r="F178" s="1457">
        <f t="shared" si="43"/>
        <v>0</v>
      </c>
      <c r="G178" s="1538"/>
      <c r="H178" s="1538"/>
      <c r="I178" s="1525"/>
      <c r="J178" s="1526"/>
      <c r="K178" s="1523"/>
      <c r="L178" s="1523"/>
      <c r="M178" s="1523"/>
      <c r="N178" s="1523"/>
      <c r="O178" s="1523"/>
      <c r="P178" s="1462">
        <f t="shared" si="44"/>
        <v>0</v>
      </c>
      <c r="Q178" s="1579"/>
      <c r="R178" s="1526"/>
      <c r="S178" s="1523"/>
      <c r="T178" s="1523"/>
      <c r="U178" s="1523"/>
      <c r="V178" s="1523"/>
      <c r="W178" s="1527"/>
      <c r="X178" s="1529"/>
      <c r="Y178" s="1444"/>
    </row>
    <row r="179" spans="1:25" s="571" customFormat="1" ht="72">
      <c r="A179" s="1497">
        <v>6210</v>
      </c>
      <c r="B179" s="1513" t="s">
        <v>746</v>
      </c>
      <c r="C179" s="1457"/>
      <c r="D179" s="1457">
        <f>J179+R179</f>
        <v>4250000</v>
      </c>
      <c r="E179" s="1549">
        <v>3000000</v>
      </c>
      <c r="F179" s="1457">
        <f t="shared" si="43"/>
        <v>6500000</v>
      </c>
      <c r="G179" s="1499"/>
      <c r="H179" s="1499">
        <f t="shared" si="36"/>
        <v>152.94117647058823</v>
      </c>
      <c r="I179" s="1501"/>
      <c r="J179" s="1461">
        <v>4250000</v>
      </c>
      <c r="K179" s="1457"/>
      <c r="L179" s="1457">
        <v>6500000</v>
      </c>
      <c r="M179" s="1457"/>
      <c r="N179" s="1457"/>
      <c r="O179" s="1457"/>
      <c r="P179" s="1462">
        <f t="shared" si="44"/>
        <v>6500000</v>
      </c>
      <c r="Q179" s="1463"/>
      <c r="R179" s="1459"/>
      <c r="S179" s="1457"/>
      <c r="T179" s="1457"/>
      <c r="U179" s="1457"/>
      <c r="V179" s="1457"/>
      <c r="W179" s="1462"/>
      <c r="X179" s="1496"/>
      <c r="Y179" s="1444"/>
    </row>
    <row r="180" spans="1:25" s="581" customFormat="1" ht="24" customHeight="1">
      <c r="A180" s="1516">
        <v>70005</v>
      </c>
      <c r="B180" s="1550" t="s">
        <v>747</v>
      </c>
      <c r="C180" s="1467">
        <f>SUM(C181:C190)</f>
        <v>1385000</v>
      </c>
      <c r="D180" s="1467">
        <f>SUM(D181:D190)</f>
        <v>3857480</v>
      </c>
      <c r="E180" s="1518">
        <f>SUM(E181:E190)</f>
        <v>3267000</v>
      </c>
      <c r="F180" s="1467">
        <f aca="true" t="shared" si="45" ref="F180:Q180">F181+F182+F183+F184+F185+F186+F187+F188+F189+F190</f>
        <v>1527000</v>
      </c>
      <c r="G180" s="1531">
        <f t="shared" si="35"/>
        <v>110.25270758122743</v>
      </c>
      <c r="H180" s="1532">
        <f t="shared" si="36"/>
        <v>39.58542882918382</v>
      </c>
      <c r="I180" s="1471"/>
      <c r="J180" s="1470">
        <f t="shared" si="45"/>
        <v>3857480</v>
      </c>
      <c r="K180" s="1467">
        <f t="shared" si="45"/>
        <v>1027000</v>
      </c>
      <c r="L180" s="1467">
        <f t="shared" si="45"/>
        <v>0</v>
      </c>
      <c r="M180" s="1467">
        <f t="shared" si="45"/>
        <v>1000000</v>
      </c>
      <c r="N180" s="1467">
        <f t="shared" si="45"/>
        <v>0</v>
      </c>
      <c r="O180" s="1467">
        <f t="shared" si="45"/>
        <v>0</v>
      </c>
      <c r="P180" s="1471">
        <f t="shared" si="45"/>
        <v>1527000</v>
      </c>
      <c r="Q180" s="1580" t="e">
        <f t="shared" si="45"/>
        <v>#DIV/0!</v>
      </c>
      <c r="R180" s="1470"/>
      <c r="S180" s="1467"/>
      <c r="T180" s="1467"/>
      <c r="U180" s="1467"/>
      <c r="V180" s="1467"/>
      <c r="W180" s="1471"/>
      <c r="X180" s="1454"/>
      <c r="Y180" s="1444"/>
    </row>
    <row r="181" spans="1:25" ht="30" customHeight="1">
      <c r="A181" s="1497">
        <v>3020</v>
      </c>
      <c r="B181" s="1513" t="s">
        <v>717</v>
      </c>
      <c r="C181" s="1457">
        <v>5000</v>
      </c>
      <c r="D181" s="1457">
        <f>J181+R181</f>
        <v>5000</v>
      </c>
      <c r="E181" s="1514">
        <v>5000</v>
      </c>
      <c r="F181" s="1457">
        <f>P181+W181</f>
        <v>5000</v>
      </c>
      <c r="G181" s="1499">
        <f t="shared" si="35"/>
        <v>100</v>
      </c>
      <c r="H181" s="1499">
        <f t="shared" si="36"/>
        <v>100</v>
      </c>
      <c r="I181" s="1450"/>
      <c r="J181" s="1461">
        <v>5000</v>
      </c>
      <c r="K181" s="1457">
        <v>5000</v>
      </c>
      <c r="L181" s="1457"/>
      <c r="M181" s="1457"/>
      <c r="N181" s="1457"/>
      <c r="O181" s="1457"/>
      <c r="P181" s="1462">
        <f>SUM(K181:N181)</f>
        <v>5000</v>
      </c>
      <c r="Q181" s="1495">
        <f t="shared" si="39"/>
        <v>100</v>
      </c>
      <c r="R181" s="1461"/>
      <c r="S181" s="1457"/>
      <c r="T181" s="1457"/>
      <c r="U181" s="1457"/>
      <c r="V181" s="1457"/>
      <c r="W181" s="1462"/>
      <c r="X181" s="1496"/>
      <c r="Y181" s="1444"/>
    </row>
    <row r="182" spans="1:25" ht="36">
      <c r="A182" s="1497">
        <v>3030</v>
      </c>
      <c r="B182" s="1513" t="s">
        <v>748</v>
      </c>
      <c r="C182" s="1457">
        <v>170000</v>
      </c>
      <c r="D182" s="1457">
        <f aca="true" t="shared" si="46" ref="D182:D192">J182+R182</f>
        <v>0</v>
      </c>
      <c r="E182" s="1458"/>
      <c r="F182" s="1459">
        <f aca="true" t="shared" si="47" ref="F182:F190">P182+W182</f>
        <v>0</v>
      </c>
      <c r="G182" s="1499">
        <f t="shared" si="35"/>
        <v>0</v>
      </c>
      <c r="H182" s="1499"/>
      <c r="I182" s="1450"/>
      <c r="J182" s="1461">
        <v>0</v>
      </c>
      <c r="K182" s="1457"/>
      <c r="L182" s="1457"/>
      <c r="M182" s="1457"/>
      <c r="N182" s="1457"/>
      <c r="O182" s="1457"/>
      <c r="P182" s="1462">
        <f aca="true" t="shared" si="48" ref="P182:P189">SUM(K182:N182)</f>
        <v>0</v>
      </c>
      <c r="Q182" s="1495" t="e">
        <f t="shared" si="39"/>
        <v>#DIV/0!</v>
      </c>
      <c r="R182" s="1461"/>
      <c r="S182" s="1457"/>
      <c r="T182" s="1457"/>
      <c r="U182" s="1457"/>
      <c r="V182" s="1457"/>
      <c r="W182" s="1462"/>
      <c r="X182" s="1496"/>
      <c r="Y182" s="1444"/>
    </row>
    <row r="183" spans="1:25" ht="24" hidden="1">
      <c r="A183" s="1497">
        <v>4240</v>
      </c>
      <c r="B183" s="1498" t="s">
        <v>749</v>
      </c>
      <c r="C183" s="1457">
        <v>0</v>
      </c>
      <c r="D183" s="1457">
        <f t="shared" si="46"/>
        <v>0</v>
      </c>
      <c r="E183" s="1458">
        <v>0</v>
      </c>
      <c r="F183" s="1459">
        <f t="shared" si="47"/>
        <v>0</v>
      </c>
      <c r="G183" s="1499" t="e">
        <f t="shared" si="35"/>
        <v>#DIV/0!</v>
      </c>
      <c r="H183" s="1499" t="e">
        <f t="shared" si="36"/>
        <v>#DIV/0!</v>
      </c>
      <c r="I183" s="1450"/>
      <c r="J183" s="1461">
        <v>0</v>
      </c>
      <c r="K183" s="1457">
        <v>0</v>
      </c>
      <c r="L183" s="1457"/>
      <c r="M183" s="1457"/>
      <c r="N183" s="1457"/>
      <c r="O183" s="1457"/>
      <c r="P183" s="1462">
        <f t="shared" si="48"/>
        <v>0</v>
      </c>
      <c r="Q183" s="1495" t="e">
        <f t="shared" si="39"/>
        <v>#DIV/0!</v>
      </c>
      <c r="R183" s="1461"/>
      <c r="S183" s="1457"/>
      <c r="T183" s="1457"/>
      <c r="U183" s="1457"/>
      <c r="V183" s="1457"/>
      <c r="W183" s="1462"/>
      <c r="X183" s="1496"/>
      <c r="Y183" s="1444"/>
    </row>
    <row r="184" spans="1:25" ht="36">
      <c r="A184" s="1497">
        <v>4300</v>
      </c>
      <c r="B184" s="1513" t="s">
        <v>750</v>
      </c>
      <c r="C184" s="1457">
        <v>660000</v>
      </c>
      <c r="D184" s="1457">
        <f t="shared" si="46"/>
        <v>651400</v>
      </c>
      <c r="E184" s="1458">
        <v>650000</v>
      </c>
      <c r="F184" s="1459">
        <f t="shared" si="47"/>
        <v>600000</v>
      </c>
      <c r="G184" s="1499">
        <f t="shared" si="35"/>
        <v>90.9090909090909</v>
      </c>
      <c r="H184" s="1499">
        <f t="shared" si="36"/>
        <v>92.109303039607</v>
      </c>
      <c r="I184" s="1450"/>
      <c r="J184" s="1461">
        <v>651400</v>
      </c>
      <c r="K184" s="1457">
        <f>400000+200000</f>
        <v>600000</v>
      </c>
      <c r="L184" s="1457"/>
      <c r="M184" s="1457"/>
      <c r="N184" s="1457"/>
      <c r="O184" s="1457"/>
      <c r="P184" s="1462">
        <f t="shared" si="48"/>
        <v>600000</v>
      </c>
      <c r="Q184" s="1495">
        <f t="shared" si="39"/>
        <v>92.109303039607</v>
      </c>
      <c r="R184" s="1461"/>
      <c r="S184" s="1457"/>
      <c r="T184" s="1457"/>
      <c r="U184" s="1457"/>
      <c r="V184" s="1457"/>
      <c r="W184" s="1462"/>
      <c r="X184" s="1496"/>
      <c r="Y184" s="1444"/>
    </row>
    <row r="185" spans="1:25" ht="12.75">
      <c r="A185" s="1497">
        <v>4430</v>
      </c>
      <c r="B185" s="1513" t="s">
        <v>582</v>
      </c>
      <c r="C185" s="1457">
        <v>50000</v>
      </c>
      <c r="D185" s="1457">
        <f t="shared" si="46"/>
        <v>50000</v>
      </c>
      <c r="E185" s="1458">
        <v>80000</v>
      </c>
      <c r="F185" s="1459">
        <f t="shared" si="47"/>
        <v>50000</v>
      </c>
      <c r="G185" s="1499">
        <f t="shared" si="35"/>
        <v>100</v>
      </c>
      <c r="H185" s="1499">
        <f t="shared" si="36"/>
        <v>100</v>
      </c>
      <c r="I185" s="1450"/>
      <c r="J185" s="1461">
        <v>50000</v>
      </c>
      <c r="K185" s="1457">
        <v>50000</v>
      </c>
      <c r="L185" s="1457"/>
      <c r="M185" s="1457"/>
      <c r="N185" s="1457"/>
      <c r="O185" s="1457"/>
      <c r="P185" s="1462">
        <f t="shared" si="48"/>
        <v>50000</v>
      </c>
      <c r="Q185" s="1495">
        <f t="shared" si="39"/>
        <v>100</v>
      </c>
      <c r="R185" s="1461"/>
      <c r="S185" s="1457"/>
      <c r="T185" s="1457"/>
      <c r="U185" s="1457"/>
      <c r="V185" s="1457"/>
      <c r="W185" s="1462"/>
      <c r="X185" s="1496"/>
      <c r="Y185" s="1444"/>
    </row>
    <row r="186" spans="1:25" ht="12.75">
      <c r="A186" s="1497">
        <v>4480</v>
      </c>
      <c r="B186" s="1513" t="s">
        <v>1327</v>
      </c>
      <c r="C186" s="1457"/>
      <c r="D186" s="1457">
        <f t="shared" si="46"/>
        <v>2000</v>
      </c>
      <c r="E186" s="1458">
        <v>2000</v>
      </c>
      <c r="F186" s="1459">
        <f t="shared" si="47"/>
        <v>2000</v>
      </c>
      <c r="G186" s="1499"/>
      <c r="H186" s="1499">
        <f t="shared" si="36"/>
        <v>100</v>
      </c>
      <c r="I186" s="1450"/>
      <c r="J186" s="1461">
        <v>2000</v>
      </c>
      <c r="K186" s="1457">
        <v>2000</v>
      </c>
      <c r="L186" s="1457"/>
      <c r="M186" s="1457"/>
      <c r="N186" s="1457"/>
      <c r="O186" s="1457"/>
      <c r="P186" s="1462">
        <f t="shared" si="48"/>
        <v>2000</v>
      </c>
      <c r="Q186" s="1495">
        <f t="shared" si="39"/>
        <v>100</v>
      </c>
      <c r="R186" s="1461"/>
      <c r="S186" s="1457"/>
      <c r="T186" s="1457"/>
      <c r="U186" s="1457"/>
      <c r="V186" s="1457"/>
      <c r="W186" s="1462"/>
      <c r="X186" s="1496"/>
      <c r="Y186" s="1444"/>
    </row>
    <row r="187" spans="1:25" ht="24">
      <c r="A187" s="1497">
        <v>4610</v>
      </c>
      <c r="B187" s="1513" t="s">
        <v>751</v>
      </c>
      <c r="C187" s="1457"/>
      <c r="D187" s="1457">
        <f t="shared" si="46"/>
        <v>1600</v>
      </c>
      <c r="E187" s="1458"/>
      <c r="F187" s="1459">
        <f t="shared" si="47"/>
        <v>0</v>
      </c>
      <c r="G187" s="1499"/>
      <c r="H187" s="1499">
        <f t="shared" si="36"/>
        <v>0</v>
      </c>
      <c r="I187" s="1450"/>
      <c r="J187" s="1461">
        <v>1600</v>
      </c>
      <c r="K187" s="1457"/>
      <c r="L187" s="1457"/>
      <c r="M187" s="1457"/>
      <c r="N187" s="1457"/>
      <c r="O187" s="1457"/>
      <c r="P187" s="1462">
        <f t="shared" si="48"/>
        <v>0</v>
      </c>
      <c r="Q187" s="1495">
        <f t="shared" si="39"/>
        <v>0</v>
      </c>
      <c r="R187" s="1461"/>
      <c r="S187" s="1457"/>
      <c r="T187" s="1457"/>
      <c r="U187" s="1457"/>
      <c r="V187" s="1457"/>
      <c r="W187" s="1462"/>
      <c r="X187" s="1496"/>
      <c r="Y187" s="1444"/>
    </row>
    <row r="188" spans="1:25" ht="24">
      <c r="A188" s="1497">
        <v>4590</v>
      </c>
      <c r="B188" s="1513" t="s">
        <v>728</v>
      </c>
      <c r="C188" s="1457"/>
      <c r="D188" s="1457">
        <f t="shared" si="46"/>
        <v>170000</v>
      </c>
      <c r="E188" s="1458">
        <v>330000</v>
      </c>
      <c r="F188" s="1459">
        <f t="shared" si="47"/>
        <v>170000</v>
      </c>
      <c r="G188" s="1499"/>
      <c r="H188" s="1499">
        <f t="shared" si="36"/>
        <v>100</v>
      </c>
      <c r="I188" s="1450"/>
      <c r="J188" s="1461">
        <v>170000</v>
      </c>
      <c r="K188" s="1457">
        <v>170000</v>
      </c>
      <c r="L188" s="1457"/>
      <c r="M188" s="1457"/>
      <c r="N188" s="1457"/>
      <c r="O188" s="1457"/>
      <c r="P188" s="1462">
        <f t="shared" si="48"/>
        <v>170000</v>
      </c>
      <c r="Q188" s="1495">
        <f t="shared" si="39"/>
        <v>100</v>
      </c>
      <c r="R188" s="1461"/>
      <c r="S188" s="1457"/>
      <c r="T188" s="1457"/>
      <c r="U188" s="1457"/>
      <c r="V188" s="1457"/>
      <c r="W188" s="1462"/>
      <c r="X188" s="1496"/>
      <c r="Y188" s="1444"/>
    </row>
    <row r="189" spans="1:25" ht="36">
      <c r="A189" s="1497">
        <v>4600</v>
      </c>
      <c r="B189" s="1513" t="s">
        <v>752</v>
      </c>
      <c r="C189" s="1457"/>
      <c r="D189" s="1457">
        <f t="shared" si="46"/>
        <v>5000</v>
      </c>
      <c r="E189" s="1458">
        <v>580000</v>
      </c>
      <c r="F189" s="1459">
        <f t="shared" si="47"/>
        <v>200000</v>
      </c>
      <c r="G189" s="1499"/>
      <c r="H189" s="1499">
        <f t="shared" si="36"/>
        <v>4000</v>
      </c>
      <c r="I189" s="1450"/>
      <c r="J189" s="1461">
        <v>5000</v>
      </c>
      <c r="K189" s="1457">
        <v>200000</v>
      </c>
      <c r="L189" s="1457"/>
      <c r="M189" s="1457"/>
      <c r="N189" s="1457"/>
      <c r="O189" s="1457"/>
      <c r="P189" s="1462">
        <f t="shared" si="48"/>
        <v>200000</v>
      </c>
      <c r="Q189" s="1495">
        <f t="shared" si="39"/>
        <v>4000</v>
      </c>
      <c r="R189" s="1461"/>
      <c r="S189" s="1457"/>
      <c r="T189" s="1457"/>
      <c r="U189" s="1457"/>
      <c r="V189" s="1457"/>
      <c r="W189" s="1462"/>
      <c r="X189" s="1496"/>
      <c r="Y189" s="1444"/>
    </row>
    <row r="190" spans="1:25" ht="24">
      <c r="A190" s="1497">
        <v>6060</v>
      </c>
      <c r="B190" s="1513" t="s">
        <v>730</v>
      </c>
      <c r="C190" s="1457">
        <v>500000</v>
      </c>
      <c r="D190" s="1457">
        <f t="shared" si="46"/>
        <v>2972480</v>
      </c>
      <c r="E190" s="1458">
        <v>1620000</v>
      </c>
      <c r="F190" s="1459">
        <f t="shared" si="47"/>
        <v>500000</v>
      </c>
      <c r="G190" s="1499">
        <f t="shared" si="35"/>
        <v>100</v>
      </c>
      <c r="H190" s="1499">
        <f t="shared" si="36"/>
        <v>16.820971041016257</v>
      </c>
      <c r="I190" s="1450"/>
      <c r="J190" s="1461">
        <v>2972480</v>
      </c>
      <c r="K190" s="1457"/>
      <c r="L190" s="1457"/>
      <c r="M190" s="1457">
        <f>500000+500000</f>
        <v>1000000</v>
      </c>
      <c r="N190" s="1457"/>
      <c r="O190" s="1457"/>
      <c r="P190" s="1462">
        <v>500000</v>
      </c>
      <c r="Q190" s="1495">
        <f t="shared" si="39"/>
        <v>16.820971041016257</v>
      </c>
      <c r="R190" s="1461"/>
      <c r="S190" s="1457"/>
      <c r="T190" s="1457"/>
      <c r="U190" s="1457"/>
      <c r="V190" s="1457"/>
      <c r="W190" s="1462"/>
      <c r="X190" s="1496"/>
      <c r="Y190" s="1444"/>
    </row>
    <row r="191" spans="1:25" s="581" customFormat="1" ht="24">
      <c r="A191" s="1516">
        <v>70021</v>
      </c>
      <c r="B191" s="1550" t="s">
        <v>753</v>
      </c>
      <c r="C191" s="1467">
        <f>C192</f>
        <v>3360000</v>
      </c>
      <c r="D191" s="1467">
        <f t="shared" si="46"/>
        <v>3360000</v>
      </c>
      <c r="E191" s="1468">
        <f>E192</f>
        <v>5570000</v>
      </c>
      <c r="F191" s="1469">
        <f>F192</f>
        <v>5570000</v>
      </c>
      <c r="G191" s="1519">
        <f t="shared" si="35"/>
        <v>165.77380952380955</v>
      </c>
      <c r="H191" s="1519">
        <f t="shared" si="36"/>
        <v>165.77380952380955</v>
      </c>
      <c r="I191" s="1450"/>
      <c r="J191" s="1470">
        <f aca="true" t="shared" si="49" ref="J191:P191">J192</f>
        <v>3360000</v>
      </c>
      <c r="K191" s="1467">
        <f t="shared" si="49"/>
        <v>0</v>
      </c>
      <c r="L191" s="1467">
        <f t="shared" si="49"/>
        <v>0</v>
      </c>
      <c r="M191" s="1467">
        <f t="shared" si="49"/>
        <v>5570000</v>
      </c>
      <c r="N191" s="1467">
        <f t="shared" si="49"/>
        <v>0</v>
      </c>
      <c r="O191" s="1467"/>
      <c r="P191" s="1471">
        <f t="shared" si="49"/>
        <v>5570000</v>
      </c>
      <c r="Q191" s="1453">
        <f t="shared" si="39"/>
        <v>165.77380952380955</v>
      </c>
      <c r="R191" s="1470"/>
      <c r="S191" s="1467"/>
      <c r="T191" s="1467"/>
      <c r="U191" s="1467"/>
      <c r="V191" s="1467"/>
      <c r="W191" s="1471"/>
      <c r="X191" s="1454"/>
      <c r="Y191" s="1444"/>
    </row>
    <row r="192" spans="1:25" ht="36">
      <c r="A192" s="1497">
        <v>6010</v>
      </c>
      <c r="B192" s="1513" t="s">
        <v>754</v>
      </c>
      <c r="C192" s="1457">
        <v>3360000</v>
      </c>
      <c r="D192" s="1457">
        <f t="shared" si="46"/>
        <v>3360000</v>
      </c>
      <c r="E192" s="1458">
        <v>5570000</v>
      </c>
      <c r="F192" s="1459">
        <f>P192+W192</f>
        <v>5570000</v>
      </c>
      <c r="G192" s="1499">
        <f t="shared" si="35"/>
        <v>165.77380952380955</v>
      </c>
      <c r="H192" s="1499">
        <f t="shared" si="36"/>
        <v>165.77380952380955</v>
      </c>
      <c r="I192" s="1581"/>
      <c r="J192" s="1461">
        <v>3360000</v>
      </c>
      <c r="K192" s="1457"/>
      <c r="L192" s="1457"/>
      <c r="M192" s="1457">
        <v>5570000</v>
      </c>
      <c r="N192" s="1457"/>
      <c r="O192" s="1457"/>
      <c r="P192" s="1462">
        <f>SUM(K192:N192)</f>
        <v>5570000</v>
      </c>
      <c r="Q192" s="1495">
        <f t="shared" si="39"/>
        <v>165.77380952380955</v>
      </c>
      <c r="R192" s="1461"/>
      <c r="S192" s="1457"/>
      <c r="T192" s="1457"/>
      <c r="U192" s="1457"/>
      <c r="V192" s="1457"/>
      <c r="W192" s="1462"/>
      <c r="X192" s="1496"/>
      <c r="Y192" s="1444"/>
    </row>
    <row r="193" spans="1:25" s="581" customFormat="1" ht="12.75">
      <c r="A193" s="1516">
        <v>70095</v>
      </c>
      <c r="B193" s="1550" t="s">
        <v>209</v>
      </c>
      <c r="C193" s="1467">
        <f>SUM(C194:C203)</f>
        <v>1912400</v>
      </c>
      <c r="D193" s="1467">
        <f>SUM(D194:D203)</f>
        <v>2933370</v>
      </c>
      <c r="E193" s="1518">
        <f>SUM(E194:E203)</f>
        <v>1289400</v>
      </c>
      <c r="F193" s="1467">
        <f>SUM(F194:F203)</f>
        <v>1589400</v>
      </c>
      <c r="G193" s="1582">
        <f t="shared" si="35"/>
        <v>83.11022798577703</v>
      </c>
      <c r="H193" s="1519">
        <f t="shared" si="36"/>
        <v>54.18341361642071</v>
      </c>
      <c r="I193" s="1450"/>
      <c r="J193" s="1555">
        <f aca="true" t="shared" si="50" ref="J193:P193">SUM(J194:J203)</f>
        <v>2933370</v>
      </c>
      <c r="K193" s="1467">
        <f t="shared" si="50"/>
        <v>19400</v>
      </c>
      <c r="L193" s="1467">
        <f t="shared" si="50"/>
        <v>1070000</v>
      </c>
      <c r="M193" s="1467">
        <f t="shared" si="50"/>
        <v>0</v>
      </c>
      <c r="N193" s="1467">
        <f t="shared" si="50"/>
        <v>0</v>
      </c>
      <c r="O193" s="1556">
        <f t="shared" si="50"/>
        <v>0</v>
      </c>
      <c r="P193" s="1467">
        <f t="shared" si="50"/>
        <v>1589400</v>
      </c>
      <c r="Q193" s="1453">
        <f t="shared" si="39"/>
        <v>54.18341361642071</v>
      </c>
      <c r="R193" s="1470"/>
      <c r="S193" s="1467"/>
      <c r="T193" s="1467"/>
      <c r="U193" s="1467"/>
      <c r="V193" s="1467"/>
      <c r="W193" s="1471"/>
      <c r="X193" s="1454"/>
      <c r="Y193" s="1444"/>
    </row>
    <row r="194" spans="1:25" ht="24">
      <c r="A194" s="1497">
        <v>4210</v>
      </c>
      <c r="B194" s="1513" t="s">
        <v>755</v>
      </c>
      <c r="C194" s="1457">
        <v>12400</v>
      </c>
      <c r="D194" s="1457">
        <f>J194+R194</f>
        <v>12400</v>
      </c>
      <c r="E194" s="1458">
        <f>13900-700</f>
        <v>13200</v>
      </c>
      <c r="F194" s="1459">
        <f>P194+W194</f>
        <v>13200</v>
      </c>
      <c r="G194" s="1499">
        <f t="shared" si="35"/>
        <v>106.4516129032258</v>
      </c>
      <c r="H194" s="1499">
        <f t="shared" si="36"/>
        <v>106.4516129032258</v>
      </c>
      <c r="I194" s="1450"/>
      <c r="J194" s="1461">
        <v>12400</v>
      </c>
      <c r="K194" s="1457">
        <v>13200</v>
      </c>
      <c r="L194" s="1457"/>
      <c r="M194" s="1457"/>
      <c r="N194" s="1457"/>
      <c r="O194" s="1457"/>
      <c r="P194" s="1462">
        <f aca="true" t="shared" si="51" ref="P194:P202">SUM(K194:N194)</f>
        <v>13200</v>
      </c>
      <c r="Q194" s="1495">
        <f t="shared" si="39"/>
        <v>106.4516129032258</v>
      </c>
      <c r="R194" s="1461"/>
      <c r="S194" s="1457"/>
      <c r="T194" s="1457"/>
      <c r="U194" s="1457"/>
      <c r="V194" s="1457"/>
      <c r="W194" s="1462"/>
      <c r="X194" s="1496"/>
      <c r="Y194" s="1444"/>
    </row>
    <row r="195" spans="1:25" ht="12.75">
      <c r="A195" s="1497">
        <v>4300</v>
      </c>
      <c r="B195" s="1513" t="s">
        <v>756</v>
      </c>
      <c r="C195" s="1457"/>
      <c r="D195" s="1457">
        <f aca="true" t="shared" si="52" ref="D195:D204">J195+R195</f>
        <v>0</v>
      </c>
      <c r="E195" s="1458">
        <v>700</v>
      </c>
      <c r="F195" s="1459">
        <f>P195+W195</f>
        <v>700</v>
      </c>
      <c r="G195" s="1499"/>
      <c r="H195" s="1499"/>
      <c r="I195" s="1450"/>
      <c r="J195" s="1461"/>
      <c r="K195" s="1457">
        <v>700</v>
      </c>
      <c r="L195" s="1457"/>
      <c r="M195" s="1457"/>
      <c r="N195" s="1457"/>
      <c r="O195" s="1457"/>
      <c r="P195" s="1462">
        <f t="shared" si="51"/>
        <v>700</v>
      </c>
      <c r="Q195" s="1495"/>
      <c r="R195" s="1461"/>
      <c r="S195" s="1457"/>
      <c r="T195" s="1457"/>
      <c r="U195" s="1457"/>
      <c r="V195" s="1457"/>
      <c r="W195" s="1462"/>
      <c r="X195" s="1496"/>
      <c r="Y195" s="1444"/>
    </row>
    <row r="196" spans="1:25" ht="12.75" hidden="1">
      <c r="A196" s="1497">
        <v>4300</v>
      </c>
      <c r="B196" s="1513" t="s">
        <v>757</v>
      </c>
      <c r="C196" s="1457"/>
      <c r="D196" s="1457"/>
      <c r="E196" s="1458"/>
      <c r="F196" s="1459">
        <f>P196+W196</f>
        <v>0</v>
      </c>
      <c r="G196" s="1499"/>
      <c r="H196" s="1499"/>
      <c r="I196" s="1450"/>
      <c r="J196" s="1461"/>
      <c r="K196" s="1457">
        <f>500000-500000</f>
        <v>0</v>
      </c>
      <c r="L196" s="1457"/>
      <c r="M196" s="1457"/>
      <c r="N196" s="1457"/>
      <c r="O196" s="1457"/>
      <c r="P196" s="1462">
        <f t="shared" si="51"/>
        <v>0</v>
      </c>
      <c r="Q196" s="1495"/>
      <c r="R196" s="1461"/>
      <c r="S196" s="1457"/>
      <c r="T196" s="1457"/>
      <c r="U196" s="1457"/>
      <c r="V196" s="1457"/>
      <c r="W196" s="1462"/>
      <c r="X196" s="1496"/>
      <c r="Y196" s="1444"/>
    </row>
    <row r="197" spans="1:25" ht="12.75">
      <c r="A197" s="1497">
        <v>4110</v>
      </c>
      <c r="B197" s="1513" t="s">
        <v>568</v>
      </c>
      <c r="C197" s="1457"/>
      <c r="D197" s="1457">
        <f t="shared" si="52"/>
        <v>450</v>
      </c>
      <c r="E197" s="1458">
        <v>450</v>
      </c>
      <c r="F197" s="1459">
        <f>P197+W197</f>
        <v>450</v>
      </c>
      <c r="G197" s="1499"/>
      <c r="H197" s="1499">
        <f t="shared" si="36"/>
        <v>100</v>
      </c>
      <c r="I197" s="1450"/>
      <c r="J197" s="1461">
        <v>450</v>
      </c>
      <c r="K197" s="1457">
        <v>450</v>
      </c>
      <c r="L197" s="1457"/>
      <c r="M197" s="1457"/>
      <c r="N197" s="1457">
        <v>0</v>
      </c>
      <c r="O197" s="1457"/>
      <c r="P197" s="1462">
        <f t="shared" si="51"/>
        <v>450</v>
      </c>
      <c r="Q197" s="1495">
        <f t="shared" si="39"/>
        <v>100</v>
      </c>
      <c r="R197" s="1461"/>
      <c r="S197" s="1457"/>
      <c r="T197" s="1457"/>
      <c r="U197" s="1457"/>
      <c r="V197" s="1457"/>
      <c r="W197" s="1462"/>
      <c r="X197" s="1496"/>
      <c r="Y197" s="1444"/>
    </row>
    <row r="198" spans="1:25" ht="12.75">
      <c r="A198" s="1497">
        <v>4580</v>
      </c>
      <c r="B198" s="1513" t="s">
        <v>727</v>
      </c>
      <c r="C198" s="1457">
        <v>0</v>
      </c>
      <c r="D198" s="1457">
        <f t="shared" si="52"/>
        <v>41538</v>
      </c>
      <c r="E198" s="1458"/>
      <c r="F198" s="1459">
        <f aca="true" t="shared" si="53" ref="F198:F204">P198+W198</f>
        <v>0</v>
      </c>
      <c r="G198" s="1499"/>
      <c r="H198" s="1499">
        <f t="shared" si="36"/>
        <v>0</v>
      </c>
      <c r="I198" s="1450"/>
      <c r="J198" s="1461">
        <v>41538</v>
      </c>
      <c r="K198" s="1457"/>
      <c r="L198" s="1457"/>
      <c r="M198" s="1457"/>
      <c r="N198" s="1457"/>
      <c r="O198" s="1457"/>
      <c r="P198" s="1462">
        <f t="shared" si="51"/>
        <v>0</v>
      </c>
      <c r="Q198" s="1495">
        <f t="shared" si="39"/>
        <v>0</v>
      </c>
      <c r="R198" s="1461"/>
      <c r="S198" s="1457"/>
      <c r="T198" s="1457"/>
      <c r="U198" s="1457"/>
      <c r="V198" s="1457"/>
      <c r="W198" s="1462"/>
      <c r="X198" s="1496"/>
      <c r="Y198" s="1444"/>
    </row>
    <row r="199" spans="1:25" ht="12.75">
      <c r="A199" s="1497">
        <v>4120</v>
      </c>
      <c r="B199" s="1513" t="s">
        <v>758</v>
      </c>
      <c r="C199" s="1457">
        <v>0</v>
      </c>
      <c r="D199" s="1457">
        <f t="shared" si="52"/>
        <v>50</v>
      </c>
      <c r="E199" s="1458">
        <v>50</v>
      </c>
      <c r="F199" s="1459">
        <f t="shared" si="53"/>
        <v>50</v>
      </c>
      <c r="G199" s="1499"/>
      <c r="H199" s="1499">
        <f t="shared" si="36"/>
        <v>100</v>
      </c>
      <c r="I199" s="1450"/>
      <c r="J199" s="1461">
        <v>50</v>
      </c>
      <c r="K199" s="1457">
        <v>50</v>
      </c>
      <c r="L199" s="1457"/>
      <c r="M199" s="1457"/>
      <c r="N199" s="1457"/>
      <c r="O199" s="1457"/>
      <c r="P199" s="1462">
        <f t="shared" si="51"/>
        <v>50</v>
      </c>
      <c r="Q199" s="1495">
        <f t="shared" si="39"/>
        <v>100</v>
      </c>
      <c r="R199" s="1461"/>
      <c r="S199" s="1457"/>
      <c r="T199" s="1457"/>
      <c r="U199" s="1457"/>
      <c r="V199" s="1457"/>
      <c r="W199" s="1462"/>
      <c r="X199" s="1496"/>
      <c r="Y199" s="1444"/>
    </row>
    <row r="200" spans="1:25" ht="24">
      <c r="A200" s="1497">
        <v>4610</v>
      </c>
      <c r="B200" s="1513" t="s">
        <v>751</v>
      </c>
      <c r="C200" s="1457">
        <v>0</v>
      </c>
      <c r="D200" s="1457">
        <f t="shared" si="52"/>
        <v>18800</v>
      </c>
      <c r="E200" s="1458"/>
      <c r="F200" s="1459">
        <f t="shared" si="53"/>
        <v>0</v>
      </c>
      <c r="G200" s="1499"/>
      <c r="H200" s="1499">
        <f t="shared" si="36"/>
        <v>0</v>
      </c>
      <c r="I200" s="1450"/>
      <c r="J200" s="1461">
        <v>18800</v>
      </c>
      <c r="K200" s="1457"/>
      <c r="L200" s="1457"/>
      <c r="M200" s="1457"/>
      <c r="N200" s="1457"/>
      <c r="O200" s="1457"/>
      <c r="P200" s="1462">
        <f t="shared" si="51"/>
        <v>0</v>
      </c>
      <c r="Q200" s="1495">
        <f t="shared" si="39"/>
        <v>0</v>
      </c>
      <c r="R200" s="1461"/>
      <c r="S200" s="1457"/>
      <c r="T200" s="1457"/>
      <c r="U200" s="1457"/>
      <c r="V200" s="1457"/>
      <c r="W200" s="1462"/>
      <c r="X200" s="1496"/>
      <c r="Y200" s="1444"/>
    </row>
    <row r="201" spans="1:25" ht="12.75">
      <c r="A201" s="1497">
        <v>4170</v>
      </c>
      <c r="B201" s="1513" t="s">
        <v>572</v>
      </c>
      <c r="C201" s="1457"/>
      <c r="D201" s="1457">
        <f t="shared" si="52"/>
        <v>5000</v>
      </c>
      <c r="E201" s="1458">
        <v>5000</v>
      </c>
      <c r="F201" s="1459">
        <f t="shared" si="53"/>
        <v>5000</v>
      </c>
      <c r="G201" s="1499"/>
      <c r="H201" s="1499">
        <f t="shared" si="36"/>
        <v>100</v>
      </c>
      <c r="I201" s="1450"/>
      <c r="J201" s="1461">
        <v>5000</v>
      </c>
      <c r="K201" s="1457">
        <v>5000</v>
      </c>
      <c r="L201" s="1457"/>
      <c r="M201" s="1457"/>
      <c r="N201" s="1457"/>
      <c r="O201" s="1457"/>
      <c r="P201" s="1462">
        <f t="shared" si="51"/>
        <v>5000</v>
      </c>
      <c r="Q201" s="1495">
        <f t="shared" si="39"/>
        <v>100</v>
      </c>
      <c r="R201" s="1461"/>
      <c r="S201" s="1457"/>
      <c r="T201" s="1457"/>
      <c r="U201" s="1457"/>
      <c r="V201" s="1457"/>
      <c r="W201" s="1462"/>
      <c r="X201" s="1496"/>
      <c r="Y201" s="1444"/>
    </row>
    <row r="202" spans="1:25" ht="48">
      <c r="A202" s="1497">
        <v>6050</v>
      </c>
      <c r="B202" s="1513" t="s">
        <v>759</v>
      </c>
      <c r="C202" s="1457"/>
      <c r="D202" s="1457">
        <f t="shared" si="52"/>
        <v>187950</v>
      </c>
      <c r="E202" s="1458">
        <v>70000</v>
      </c>
      <c r="F202" s="1459">
        <f t="shared" si="53"/>
        <v>70000</v>
      </c>
      <c r="G202" s="1499"/>
      <c r="H202" s="1499">
        <f t="shared" si="36"/>
        <v>37.243947858473</v>
      </c>
      <c r="I202" s="1450"/>
      <c r="J202" s="1461">
        <v>187950</v>
      </c>
      <c r="K202" s="1457"/>
      <c r="L202" s="1457">
        <v>70000</v>
      </c>
      <c r="M202" s="1457"/>
      <c r="N202" s="1457"/>
      <c r="O202" s="1457"/>
      <c r="P202" s="1462">
        <f t="shared" si="51"/>
        <v>70000</v>
      </c>
      <c r="Q202" s="1495">
        <f t="shared" si="39"/>
        <v>37.243947858473</v>
      </c>
      <c r="R202" s="1461"/>
      <c r="S202" s="1457"/>
      <c r="T202" s="1457"/>
      <c r="U202" s="1457"/>
      <c r="V202" s="1457"/>
      <c r="W202" s="1462"/>
      <c r="X202" s="1496"/>
      <c r="Y202" s="1444"/>
    </row>
    <row r="203" spans="1:25" ht="36.75" thickBot="1">
      <c r="A203" s="1497">
        <v>6050</v>
      </c>
      <c r="B203" s="1513" t="s">
        <v>760</v>
      </c>
      <c r="C203" s="1457">
        <v>1900000</v>
      </c>
      <c r="D203" s="1457">
        <f t="shared" si="52"/>
        <v>2667182</v>
      </c>
      <c r="E203" s="1458">
        <v>1200000</v>
      </c>
      <c r="F203" s="1459">
        <f t="shared" si="53"/>
        <v>1500000</v>
      </c>
      <c r="G203" s="1481">
        <f aca="true" t="shared" si="54" ref="G203:G264">F203/C203*100</f>
        <v>78.94736842105263</v>
      </c>
      <c r="H203" s="1481">
        <f t="shared" si="36"/>
        <v>56.239131787782014</v>
      </c>
      <c r="I203" s="1450"/>
      <c r="J203" s="1461">
        <f>2855132-187950</f>
        <v>2667182</v>
      </c>
      <c r="K203" s="1457">
        <f>K204</f>
        <v>0</v>
      </c>
      <c r="L203" s="1457">
        <f>1200000-200000</f>
        <v>1000000</v>
      </c>
      <c r="M203" s="1457">
        <f>M204</f>
        <v>0</v>
      </c>
      <c r="N203" s="1457">
        <f>N204</f>
        <v>0</v>
      </c>
      <c r="O203" s="1457"/>
      <c r="P203" s="1462">
        <v>1500000</v>
      </c>
      <c r="Q203" s="1495">
        <f t="shared" si="39"/>
        <v>56.239131787782014</v>
      </c>
      <c r="R203" s="1461"/>
      <c r="S203" s="1457"/>
      <c r="T203" s="1457"/>
      <c r="U203" s="1457"/>
      <c r="V203" s="1457"/>
      <c r="W203" s="1462"/>
      <c r="X203" s="1496"/>
      <c r="Y203" s="1444"/>
    </row>
    <row r="204" spans="1:25" s="618" customFormat="1" ht="25.5" hidden="1" thickBot="1" thickTop="1">
      <c r="A204" s="1583"/>
      <c r="B204" s="1584" t="s">
        <v>761</v>
      </c>
      <c r="C204" s="1585">
        <v>1900000</v>
      </c>
      <c r="D204" s="1457">
        <f t="shared" si="52"/>
        <v>0</v>
      </c>
      <c r="E204" s="1586"/>
      <c r="F204" s="1544">
        <f t="shared" si="53"/>
        <v>0</v>
      </c>
      <c r="G204" s="1437">
        <f t="shared" si="54"/>
        <v>0</v>
      </c>
      <c r="H204" s="1438" t="e">
        <f aca="true" t="shared" si="55" ref="H204:H267">F204/D204*100</f>
        <v>#DIV/0!</v>
      </c>
      <c r="I204" s="1486"/>
      <c r="J204" s="1587"/>
      <c r="K204" s="1585"/>
      <c r="L204" s="1585"/>
      <c r="M204" s="1585"/>
      <c r="N204" s="1585"/>
      <c r="O204" s="1585"/>
      <c r="P204" s="1462"/>
      <c r="Q204" s="1495" t="e">
        <f t="shared" si="39"/>
        <v>#DIV/0!</v>
      </c>
      <c r="R204" s="1587"/>
      <c r="S204" s="1585"/>
      <c r="T204" s="1585"/>
      <c r="U204" s="1585"/>
      <c r="V204" s="1585"/>
      <c r="W204" s="1588"/>
      <c r="X204" s="1496"/>
      <c r="Y204" s="1444"/>
    </row>
    <row r="205" spans="1:28" s="581" customFormat="1" ht="14.25" thickBot="1" thickTop="1">
      <c r="A205" s="1489">
        <v>710</v>
      </c>
      <c r="B205" s="1490" t="s">
        <v>762</v>
      </c>
      <c r="C205" s="1434">
        <f>C214+C227+C218+C231</f>
        <v>2150000</v>
      </c>
      <c r="D205" s="1434">
        <f>D214+D227+D218+D231</f>
        <v>2377722</v>
      </c>
      <c r="E205" s="1435">
        <f>E214+E218+E227+E231</f>
        <v>5284160</v>
      </c>
      <c r="F205" s="1436">
        <f>F214+F218+F227+F231</f>
        <v>2659200</v>
      </c>
      <c r="G205" s="1437">
        <f t="shared" si="54"/>
        <v>123.68372093023257</v>
      </c>
      <c r="H205" s="1438">
        <f t="shared" si="55"/>
        <v>111.83813751145004</v>
      </c>
      <c r="I205" s="1439">
        <f>F205/F$1426*100</f>
        <v>0.9698579902433643</v>
      </c>
      <c r="J205" s="1440">
        <f aca="true" t="shared" si="56" ref="J205:O206">J206+J210+J212+J214+J227+J231</f>
        <v>2236722</v>
      </c>
      <c r="K205" s="1589">
        <f>K206+K210+K212+K214+K227+K231</f>
        <v>2517200</v>
      </c>
      <c r="L205" s="1590">
        <f t="shared" si="56"/>
        <v>0</v>
      </c>
      <c r="M205" s="1590">
        <f t="shared" si="56"/>
        <v>0</v>
      </c>
      <c r="N205" s="1434">
        <f t="shared" si="56"/>
        <v>0</v>
      </c>
      <c r="O205" s="1589">
        <f t="shared" si="56"/>
        <v>0</v>
      </c>
      <c r="P205" s="1441">
        <f>P206+P210+P212+P214+P227+P231</f>
        <v>2517200</v>
      </c>
      <c r="Q205" s="1440" t="e">
        <f>Q206+Q210+Q212+Q214+Q227</f>
        <v>#DIV/0!</v>
      </c>
      <c r="R205" s="1440">
        <f aca="true" t="shared" si="57" ref="R205:W205">R206+R210+R212+R214+R227+R218</f>
        <v>141000</v>
      </c>
      <c r="S205" s="1434">
        <f t="shared" si="57"/>
        <v>142000</v>
      </c>
      <c r="T205" s="1434">
        <f t="shared" si="57"/>
        <v>0</v>
      </c>
      <c r="U205" s="1434">
        <f t="shared" si="57"/>
        <v>0</v>
      </c>
      <c r="V205" s="1434">
        <f t="shared" si="57"/>
        <v>0</v>
      </c>
      <c r="W205" s="1441">
        <f t="shared" si="57"/>
        <v>142000</v>
      </c>
      <c r="X205" s="1443">
        <f>W205/R205*100</f>
        <v>100.70921985815602</v>
      </c>
      <c r="Y205" s="1444"/>
      <c r="Z205" s="1591"/>
      <c r="AA205" s="1592">
        <f>AA214</f>
        <v>0</v>
      </c>
      <c r="AB205" s="1505">
        <f>AA205+Z205</f>
        <v>0</v>
      </c>
    </row>
    <row r="206" spans="1:28" s="581" customFormat="1" ht="14.25" hidden="1" thickBot="1" thickTop="1">
      <c r="A206" s="1493">
        <v>71000</v>
      </c>
      <c r="B206" s="1506" t="s">
        <v>616</v>
      </c>
      <c r="C206" s="1447">
        <f>C207+C208+C209</f>
        <v>0</v>
      </c>
      <c r="D206" s="1447">
        <f aca="true" t="shared" si="58" ref="D206:X206">D207+D208+D209</f>
        <v>0</v>
      </c>
      <c r="E206" s="1448">
        <f t="shared" si="58"/>
        <v>0</v>
      </c>
      <c r="F206" s="1449">
        <f t="shared" si="58"/>
        <v>0</v>
      </c>
      <c r="G206" s="1437" t="e">
        <f t="shared" si="54"/>
        <v>#DIV/0!</v>
      </c>
      <c r="H206" s="1438" t="e">
        <f t="shared" si="55"/>
        <v>#DIV/0!</v>
      </c>
      <c r="I206" s="1450"/>
      <c r="J206" s="1451">
        <f t="shared" si="58"/>
        <v>0</v>
      </c>
      <c r="K206" s="1447">
        <f t="shared" si="58"/>
        <v>0</v>
      </c>
      <c r="L206" s="1441">
        <f t="shared" si="56"/>
        <v>0</v>
      </c>
      <c r="M206" s="1447">
        <f t="shared" si="58"/>
        <v>0</v>
      </c>
      <c r="N206" s="1447">
        <f t="shared" si="58"/>
        <v>0</v>
      </c>
      <c r="O206" s="1447"/>
      <c r="P206" s="1452">
        <f t="shared" si="58"/>
        <v>0</v>
      </c>
      <c r="Q206" s="1453">
        <f t="shared" si="58"/>
        <v>0</v>
      </c>
      <c r="R206" s="1451">
        <f t="shared" si="58"/>
        <v>0</v>
      </c>
      <c r="S206" s="1447">
        <f t="shared" si="58"/>
        <v>0</v>
      </c>
      <c r="T206" s="1447">
        <f t="shared" si="58"/>
        <v>0</v>
      </c>
      <c r="U206" s="1447">
        <f t="shared" si="58"/>
        <v>0</v>
      </c>
      <c r="V206" s="1447">
        <f t="shared" si="58"/>
        <v>0</v>
      </c>
      <c r="W206" s="1452">
        <f t="shared" si="58"/>
        <v>0</v>
      </c>
      <c r="X206" s="1454">
        <f t="shared" si="58"/>
        <v>0</v>
      </c>
      <c r="Y206" s="1444"/>
      <c r="AB206" s="1444">
        <f aca="true" t="shared" si="59" ref="AB206:AB214">AA206+Z206</f>
        <v>0</v>
      </c>
    </row>
    <row r="207" spans="1:28" ht="14.25" hidden="1" thickBot="1" thickTop="1">
      <c r="A207" s="1497">
        <v>4300</v>
      </c>
      <c r="B207" s="1513" t="s">
        <v>564</v>
      </c>
      <c r="C207" s="1457"/>
      <c r="D207" s="1457"/>
      <c r="E207" s="1458"/>
      <c r="F207" s="1459"/>
      <c r="G207" s="1437" t="e">
        <f t="shared" si="54"/>
        <v>#DIV/0!</v>
      </c>
      <c r="H207" s="1438" t="e">
        <f t="shared" si="55"/>
        <v>#DIV/0!</v>
      </c>
      <c r="I207" s="1460"/>
      <c r="J207" s="1461"/>
      <c r="K207" s="1457"/>
      <c r="L207" s="1457"/>
      <c r="M207" s="1457"/>
      <c r="N207" s="1457"/>
      <c r="O207" s="1457"/>
      <c r="P207" s="1462"/>
      <c r="Q207" s="1463"/>
      <c r="R207" s="1461"/>
      <c r="S207" s="1457"/>
      <c r="T207" s="1457"/>
      <c r="U207" s="1457"/>
      <c r="V207" s="1457"/>
      <c r="W207" s="1462"/>
      <c r="X207" s="1464"/>
      <c r="Y207" s="1444"/>
      <c r="AB207" s="1444">
        <f t="shared" si="59"/>
        <v>0</v>
      </c>
    </row>
    <row r="208" spans="1:28" ht="14.25" hidden="1" thickBot="1" thickTop="1">
      <c r="A208" s="1497">
        <v>4110</v>
      </c>
      <c r="B208" s="1513" t="s">
        <v>568</v>
      </c>
      <c r="C208" s="1457"/>
      <c r="D208" s="1457"/>
      <c r="E208" s="1458"/>
      <c r="F208" s="1459"/>
      <c r="G208" s="1437" t="e">
        <f t="shared" si="54"/>
        <v>#DIV/0!</v>
      </c>
      <c r="H208" s="1438" t="e">
        <f t="shared" si="55"/>
        <v>#DIV/0!</v>
      </c>
      <c r="I208" s="1460"/>
      <c r="J208" s="1461"/>
      <c r="K208" s="1457"/>
      <c r="L208" s="1457"/>
      <c r="M208" s="1457"/>
      <c r="N208" s="1457"/>
      <c r="O208" s="1457"/>
      <c r="P208" s="1462"/>
      <c r="Q208" s="1463"/>
      <c r="R208" s="1461"/>
      <c r="S208" s="1457"/>
      <c r="T208" s="1457"/>
      <c r="U208" s="1457"/>
      <c r="V208" s="1457"/>
      <c r="W208" s="1462"/>
      <c r="X208" s="1464"/>
      <c r="Y208" s="1444"/>
      <c r="AB208" s="1444">
        <f t="shared" si="59"/>
        <v>0</v>
      </c>
    </row>
    <row r="209" spans="1:28" ht="14.25" hidden="1" thickBot="1" thickTop="1">
      <c r="A209" s="1497">
        <v>4120</v>
      </c>
      <c r="B209" s="1513" t="s">
        <v>763</v>
      </c>
      <c r="C209" s="1457"/>
      <c r="D209" s="1457"/>
      <c r="E209" s="1458"/>
      <c r="F209" s="1459"/>
      <c r="G209" s="1437" t="e">
        <f t="shared" si="54"/>
        <v>#DIV/0!</v>
      </c>
      <c r="H209" s="1438" t="e">
        <f t="shared" si="55"/>
        <v>#DIV/0!</v>
      </c>
      <c r="I209" s="1460"/>
      <c r="J209" s="1461"/>
      <c r="K209" s="1457"/>
      <c r="L209" s="1457"/>
      <c r="M209" s="1457"/>
      <c r="N209" s="1457"/>
      <c r="O209" s="1457"/>
      <c r="P209" s="1462"/>
      <c r="Q209" s="1463"/>
      <c r="R209" s="1461"/>
      <c r="S209" s="1457"/>
      <c r="T209" s="1457"/>
      <c r="U209" s="1457"/>
      <c r="V209" s="1457"/>
      <c r="W209" s="1462"/>
      <c r="X209" s="1464"/>
      <c r="Y209" s="1444"/>
      <c r="AB209" s="1444">
        <f t="shared" si="59"/>
        <v>0</v>
      </c>
    </row>
    <row r="210" spans="1:28" s="581" customFormat="1" ht="25.5" hidden="1" thickBot="1" thickTop="1">
      <c r="A210" s="1516">
        <v>71013</v>
      </c>
      <c r="B210" s="1550" t="s">
        <v>764</v>
      </c>
      <c r="C210" s="1467">
        <f>C211</f>
        <v>0</v>
      </c>
      <c r="D210" s="1467">
        <f aca="true" t="shared" si="60" ref="D210:W210">D211</f>
        <v>0</v>
      </c>
      <c r="E210" s="1468">
        <f t="shared" si="60"/>
        <v>0</v>
      </c>
      <c r="F210" s="1469">
        <f t="shared" si="60"/>
        <v>0</v>
      </c>
      <c r="G210" s="1437" t="e">
        <f t="shared" si="54"/>
        <v>#DIV/0!</v>
      </c>
      <c r="H210" s="1438" t="e">
        <f t="shared" si="55"/>
        <v>#DIV/0!</v>
      </c>
      <c r="I210" s="1460"/>
      <c r="J210" s="1470">
        <f t="shared" si="60"/>
        <v>0</v>
      </c>
      <c r="K210" s="1467">
        <f t="shared" si="60"/>
        <v>0</v>
      </c>
      <c r="L210" s="1467">
        <f t="shared" si="60"/>
        <v>0</v>
      </c>
      <c r="M210" s="1467">
        <f t="shared" si="60"/>
        <v>0</v>
      </c>
      <c r="N210" s="1467">
        <f t="shared" si="60"/>
        <v>0</v>
      </c>
      <c r="O210" s="1467"/>
      <c r="P210" s="1471">
        <f t="shared" si="60"/>
        <v>0</v>
      </c>
      <c r="Q210" s="1472" t="e">
        <f>P210/J210*100</f>
        <v>#DIV/0!</v>
      </c>
      <c r="R210" s="1470">
        <f t="shared" si="60"/>
        <v>0</v>
      </c>
      <c r="S210" s="1467">
        <f t="shared" si="60"/>
        <v>0</v>
      </c>
      <c r="T210" s="1467">
        <f t="shared" si="60"/>
        <v>0</v>
      </c>
      <c r="U210" s="1467">
        <f t="shared" si="60"/>
        <v>0</v>
      </c>
      <c r="V210" s="1467">
        <f t="shared" si="60"/>
        <v>0</v>
      </c>
      <c r="W210" s="1471">
        <f t="shared" si="60"/>
        <v>0</v>
      </c>
      <c r="X210" s="1473" t="e">
        <f>W210/R210*100</f>
        <v>#DIV/0!</v>
      </c>
      <c r="Y210" s="1444"/>
      <c r="AB210" s="1444">
        <f t="shared" si="59"/>
        <v>0</v>
      </c>
    </row>
    <row r="211" spans="1:28" ht="14.25" hidden="1" thickBot="1" thickTop="1">
      <c r="A211" s="1497">
        <v>4300</v>
      </c>
      <c r="B211" s="1513" t="s">
        <v>564</v>
      </c>
      <c r="C211" s="1457"/>
      <c r="D211" s="1457">
        <f>J211+R211</f>
        <v>0</v>
      </c>
      <c r="E211" s="1458"/>
      <c r="F211" s="1459">
        <f>P211+W211</f>
        <v>0</v>
      </c>
      <c r="G211" s="1437" t="e">
        <f t="shared" si="54"/>
        <v>#DIV/0!</v>
      </c>
      <c r="H211" s="1438" t="e">
        <f t="shared" si="55"/>
        <v>#DIV/0!</v>
      </c>
      <c r="I211" s="1460"/>
      <c r="J211" s="1461"/>
      <c r="K211" s="1457"/>
      <c r="L211" s="1457"/>
      <c r="M211" s="1457"/>
      <c r="N211" s="1457"/>
      <c r="O211" s="1457"/>
      <c r="P211" s="1462">
        <f>SUM(K211:N211)</f>
        <v>0</v>
      </c>
      <c r="Q211" s="1463" t="e">
        <f>P211/J211*100</f>
        <v>#DIV/0!</v>
      </c>
      <c r="R211" s="1461"/>
      <c r="S211" s="1457"/>
      <c r="T211" s="1457"/>
      <c r="U211" s="1457"/>
      <c r="V211" s="1457"/>
      <c r="W211" s="1462">
        <f>SUM(S211:V211)</f>
        <v>0</v>
      </c>
      <c r="X211" s="1464" t="e">
        <f aca="true" t="shared" si="61" ref="X211:X217">W211/R211*100</f>
        <v>#DIV/0!</v>
      </c>
      <c r="Y211" s="1444"/>
      <c r="AB211" s="1444">
        <f t="shared" si="59"/>
        <v>0</v>
      </c>
    </row>
    <row r="212" spans="1:28" s="581" customFormat="1" ht="25.5" hidden="1" thickBot="1" thickTop="1">
      <c r="A212" s="1516">
        <v>71014</v>
      </c>
      <c r="B212" s="1550" t="s">
        <v>765</v>
      </c>
      <c r="C212" s="1467">
        <f>C213</f>
        <v>0</v>
      </c>
      <c r="D212" s="1467">
        <f aca="true" t="shared" si="62" ref="D212:W212">D213</f>
        <v>0</v>
      </c>
      <c r="E212" s="1468">
        <f t="shared" si="62"/>
        <v>0</v>
      </c>
      <c r="F212" s="1469">
        <f t="shared" si="62"/>
        <v>0</v>
      </c>
      <c r="G212" s="1437" t="e">
        <f t="shared" si="54"/>
        <v>#DIV/0!</v>
      </c>
      <c r="H212" s="1438" t="e">
        <f t="shared" si="55"/>
        <v>#DIV/0!</v>
      </c>
      <c r="I212" s="1460"/>
      <c r="J212" s="1470">
        <f t="shared" si="62"/>
        <v>0</v>
      </c>
      <c r="K212" s="1467">
        <f t="shared" si="62"/>
        <v>0</v>
      </c>
      <c r="L212" s="1467">
        <f t="shared" si="62"/>
        <v>0</v>
      </c>
      <c r="M212" s="1467">
        <f t="shared" si="62"/>
        <v>0</v>
      </c>
      <c r="N212" s="1467">
        <f t="shared" si="62"/>
        <v>0</v>
      </c>
      <c r="O212" s="1467"/>
      <c r="P212" s="1471">
        <f t="shared" si="62"/>
        <v>0</v>
      </c>
      <c r="Q212" s="1472" t="e">
        <f>P212/J212*100</f>
        <v>#DIV/0!</v>
      </c>
      <c r="R212" s="1470">
        <f t="shared" si="62"/>
        <v>0</v>
      </c>
      <c r="S212" s="1467">
        <f t="shared" si="62"/>
        <v>0</v>
      </c>
      <c r="T212" s="1467">
        <f t="shared" si="62"/>
        <v>0</v>
      </c>
      <c r="U212" s="1467">
        <f t="shared" si="62"/>
        <v>0</v>
      </c>
      <c r="V212" s="1467">
        <f t="shared" si="62"/>
        <v>0</v>
      </c>
      <c r="W212" s="1471">
        <f t="shared" si="62"/>
        <v>0</v>
      </c>
      <c r="X212" s="1473" t="e">
        <f t="shared" si="61"/>
        <v>#DIV/0!</v>
      </c>
      <c r="Y212" s="1444"/>
      <c r="AB212" s="1444">
        <f t="shared" si="59"/>
        <v>0</v>
      </c>
    </row>
    <row r="213" spans="1:28" ht="14.25" hidden="1" thickBot="1" thickTop="1">
      <c r="A213" s="1497">
        <v>4300</v>
      </c>
      <c r="B213" s="1513" t="s">
        <v>564</v>
      </c>
      <c r="C213" s="1457"/>
      <c r="D213" s="1457">
        <f>J213+R213</f>
        <v>0</v>
      </c>
      <c r="E213" s="1458"/>
      <c r="F213" s="1459">
        <f>P213+W213</f>
        <v>0</v>
      </c>
      <c r="G213" s="1437" t="e">
        <f t="shared" si="54"/>
        <v>#DIV/0!</v>
      </c>
      <c r="H213" s="1438" t="e">
        <f t="shared" si="55"/>
        <v>#DIV/0!</v>
      </c>
      <c r="I213" s="1460"/>
      <c r="J213" s="1461"/>
      <c r="K213" s="1457"/>
      <c r="L213" s="1457"/>
      <c r="M213" s="1457"/>
      <c r="N213" s="1457"/>
      <c r="O213" s="1457"/>
      <c r="P213" s="1462">
        <f>SUM(K213:N213)</f>
        <v>0</v>
      </c>
      <c r="Q213" s="1463" t="e">
        <f>P213/J213*100</f>
        <v>#DIV/0!</v>
      </c>
      <c r="R213" s="1461"/>
      <c r="S213" s="1457"/>
      <c r="T213" s="1457"/>
      <c r="U213" s="1457"/>
      <c r="V213" s="1457"/>
      <c r="W213" s="1462">
        <f>SUM(S213:V213)</f>
        <v>0</v>
      </c>
      <c r="X213" s="1464" t="e">
        <f t="shared" si="61"/>
        <v>#DIV/0!</v>
      </c>
      <c r="Y213" s="1444"/>
      <c r="AB213" s="1444">
        <f t="shared" si="59"/>
        <v>0</v>
      </c>
    </row>
    <row r="214" spans="1:28" s="581" customFormat="1" ht="33" customHeight="1" thickTop="1">
      <c r="A214" s="1516">
        <v>71004</v>
      </c>
      <c r="B214" s="1550" t="s">
        <v>766</v>
      </c>
      <c r="C214" s="1467">
        <f>SUM(C215:C217)</f>
        <v>1200000</v>
      </c>
      <c r="D214" s="1467">
        <f>SUM(D215:D217)</f>
        <v>1200000</v>
      </c>
      <c r="E214" s="1468">
        <f>SUM(E215:E217)</f>
        <v>4090060</v>
      </c>
      <c r="F214" s="1469">
        <f>SUM(F215:F217)</f>
        <v>1507200</v>
      </c>
      <c r="G214" s="1474">
        <f t="shared" si="54"/>
        <v>125.6</v>
      </c>
      <c r="H214" s="1475">
        <f t="shared" si="55"/>
        <v>125.6</v>
      </c>
      <c r="I214" s="1450"/>
      <c r="J214" s="1555">
        <f>SUM(J215:J217)</f>
        <v>1200000</v>
      </c>
      <c r="K214" s="1467">
        <f>SUM(K215:K217)</f>
        <v>1507200</v>
      </c>
      <c r="L214" s="1467">
        <f>L215</f>
        <v>0</v>
      </c>
      <c r="M214" s="1467">
        <f>M215</f>
        <v>0</v>
      </c>
      <c r="N214" s="1467">
        <f>N215</f>
        <v>0</v>
      </c>
      <c r="O214" s="1518"/>
      <c r="P214" s="1467">
        <f>SUM(P215:P217)</f>
        <v>1507200</v>
      </c>
      <c r="Q214" s="1472">
        <f>Q215</f>
        <v>0</v>
      </c>
      <c r="R214" s="1470"/>
      <c r="S214" s="1467"/>
      <c r="T214" s="1467"/>
      <c r="U214" s="1467"/>
      <c r="V214" s="1467"/>
      <c r="W214" s="1471"/>
      <c r="X214" s="1593" t="e">
        <f t="shared" si="61"/>
        <v>#DIV/0!</v>
      </c>
      <c r="Y214" s="1444"/>
      <c r="AA214" s="1444">
        <f>SUM(S215:S217)</f>
        <v>0</v>
      </c>
      <c r="AB214" s="1444">
        <f t="shared" si="59"/>
        <v>0</v>
      </c>
    </row>
    <row r="215" spans="1:25" ht="12.75">
      <c r="A215" s="1497">
        <v>4110</v>
      </c>
      <c r="B215" s="1513" t="s">
        <v>720</v>
      </c>
      <c r="C215" s="1457"/>
      <c r="D215" s="1457">
        <f>J215+R215</f>
        <v>200</v>
      </c>
      <c r="E215" s="1458">
        <v>200</v>
      </c>
      <c r="F215" s="1459">
        <f>P215+W215</f>
        <v>200</v>
      </c>
      <c r="G215" s="1499"/>
      <c r="H215" s="1515">
        <f t="shared" si="55"/>
        <v>100</v>
      </c>
      <c r="I215" s="1462"/>
      <c r="J215" s="1461">
        <v>200</v>
      </c>
      <c r="K215" s="1457">
        <v>200</v>
      </c>
      <c r="L215" s="1457"/>
      <c r="M215" s="1457"/>
      <c r="N215" s="1457"/>
      <c r="O215" s="1457"/>
      <c r="P215" s="1462">
        <f>SUM(K215:N215)</f>
        <v>200</v>
      </c>
      <c r="Q215" s="1463"/>
      <c r="R215" s="1461"/>
      <c r="S215" s="1457"/>
      <c r="T215" s="1457"/>
      <c r="U215" s="1457"/>
      <c r="V215" s="1457"/>
      <c r="W215" s="1462"/>
      <c r="X215" s="1473" t="e">
        <f t="shared" si="61"/>
        <v>#DIV/0!</v>
      </c>
      <c r="Y215" s="1444"/>
    </row>
    <row r="216" spans="1:25" ht="12.75">
      <c r="A216" s="1497">
        <v>4170</v>
      </c>
      <c r="B216" s="1513" t="s">
        <v>572</v>
      </c>
      <c r="C216" s="1457"/>
      <c r="D216" s="1457">
        <f>J216+R216</f>
        <v>6100</v>
      </c>
      <c r="E216" s="1458">
        <v>10000</v>
      </c>
      <c r="F216" s="1459">
        <f>P216+W216</f>
        <v>7000</v>
      </c>
      <c r="G216" s="1499"/>
      <c r="H216" s="1515">
        <f t="shared" si="55"/>
        <v>114.75409836065573</v>
      </c>
      <c r="I216" s="1450"/>
      <c r="J216" s="1461">
        <v>6100</v>
      </c>
      <c r="K216" s="1457">
        <v>7000</v>
      </c>
      <c r="L216" s="1457"/>
      <c r="M216" s="1457"/>
      <c r="N216" s="1457"/>
      <c r="O216" s="1457"/>
      <c r="P216" s="1462">
        <f>SUM(K216:N216)</f>
        <v>7000</v>
      </c>
      <c r="Q216" s="1463"/>
      <c r="R216" s="1461"/>
      <c r="S216" s="1457"/>
      <c r="T216" s="1457"/>
      <c r="U216" s="1457"/>
      <c r="V216" s="1457"/>
      <c r="W216" s="1462"/>
      <c r="X216" s="1557"/>
      <c r="Y216" s="1444"/>
    </row>
    <row r="217" spans="1:25" ht="36.75" thickBot="1">
      <c r="A217" s="1497">
        <v>4300</v>
      </c>
      <c r="B217" s="1513" t="s">
        <v>767</v>
      </c>
      <c r="C217" s="1457">
        <v>1200000</v>
      </c>
      <c r="D217" s="1457">
        <f>J217+R217</f>
        <v>1193700</v>
      </c>
      <c r="E217" s="1458">
        <f>3929860+150000</f>
        <v>4079860</v>
      </c>
      <c r="F217" s="1459">
        <f>P217+W217</f>
        <v>1500000</v>
      </c>
      <c r="G217" s="1499">
        <f t="shared" si="54"/>
        <v>125</v>
      </c>
      <c r="H217" s="1515">
        <f t="shared" si="55"/>
        <v>125.65971349585323</v>
      </c>
      <c r="I217" s="1450"/>
      <c r="J217" s="1461">
        <v>1193700</v>
      </c>
      <c r="K217" s="1457">
        <v>1500000</v>
      </c>
      <c r="L217" s="1457"/>
      <c r="M217" s="1457"/>
      <c r="N217" s="1457"/>
      <c r="O217" s="1457"/>
      <c r="P217" s="1462">
        <f>SUM(K217:N217)</f>
        <v>1500000</v>
      </c>
      <c r="Q217" s="1463"/>
      <c r="R217" s="1461">
        <v>0</v>
      </c>
      <c r="S217" s="1457"/>
      <c r="T217" s="1457"/>
      <c r="U217" s="1457"/>
      <c r="V217" s="1457"/>
      <c r="W217" s="1462">
        <f>SUM(S217:V217)</f>
        <v>0</v>
      </c>
      <c r="X217" s="1594" t="e">
        <f t="shared" si="61"/>
        <v>#DIV/0!</v>
      </c>
      <c r="Y217" s="1444"/>
    </row>
    <row r="218" spans="1:25" ht="13.5" thickTop="1">
      <c r="A218" s="1516">
        <v>71015</v>
      </c>
      <c r="B218" s="1550" t="s">
        <v>768</v>
      </c>
      <c r="C218" s="1467">
        <f>C219+C220+C221+C222+C223+C224+C225+C226</f>
        <v>140000</v>
      </c>
      <c r="D218" s="1467">
        <f>D219+D220+D221+D222+D223+D224+D225+D226</f>
        <v>141000</v>
      </c>
      <c r="E218" s="1468">
        <f>E219+E220+E221+E222+E223+E224+E225+E226</f>
        <v>184100</v>
      </c>
      <c r="F218" s="1469">
        <f>SUM(F219:F226)</f>
        <v>142000</v>
      </c>
      <c r="G218" s="1519">
        <f t="shared" si="54"/>
        <v>101.42857142857142</v>
      </c>
      <c r="H218" s="1520">
        <f t="shared" si="55"/>
        <v>100.70921985815602</v>
      </c>
      <c r="I218" s="1450"/>
      <c r="J218" s="1470"/>
      <c r="K218" s="1467"/>
      <c r="L218" s="1467"/>
      <c r="M218" s="1467"/>
      <c r="N218" s="1467"/>
      <c r="O218" s="1467"/>
      <c r="P218" s="1471"/>
      <c r="Q218" s="1472">
        <f aca="true" t="shared" si="63" ref="Q218:X218">Q219+Q220+Q221+Q222+Q223+Q224+Q225+Q226</f>
        <v>0</v>
      </c>
      <c r="R218" s="1470">
        <f t="shared" si="63"/>
        <v>141000</v>
      </c>
      <c r="S218" s="1467">
        <f t="shared" si="63"/>
        <v>142000</v>
      </c>
      <c r="T218" s="1467">
        <f t="shared" si="63"/>
        <v>0</v>
      </c>
      <c r="U218" s="1467">
        <f t="shared" si="63"/>
        <v>0</v>
      </c>
      <c r="V218" s="1467">
        <f t="shared" si="63"/>
        <v>0</v>
      </c>
      <c r="W218" s="1471">
        <f>SUM(W219:W226)</f>
        <v>142000</v>
      </c>
      <c r="X218" s="1512">
        <f t="shared" si="63"/>
        <v>0</v>
      </c>
      <c r="Y218" s="1444"/>
    </row>
    <row r="219" spans="1:25" ht="24">
      <c r="A219" s="1497">
        <v>4010</v>
      </c>
      <c r="B219" s="1513" t="s">
        <v>626</v>
      </c>
      <c r="C219" s="1457">
        <v>90000</v>
      </c>
      <c r="D219" s="1457">
        <f aca="true" t="shared" si="64" ref="D219:D226">J219+R219</f>
        <v>90000</v>
      </c>
      <c r="E219" s="1458">
        <f>94900+24600</f>
        <v>119500</v>
      </c>
      <c r="F219" s="1459">
        <f aca="true" t="shared" si="65" ref="F219:F226">P219+W219</f>
        <v>91300</v>
      </c>
      <c r="G219" s="1499">
        <f t="shared" si="54"/>
        <v>101.44444444444444</v>
      </c>
      <c r="H219" s="1515">
        <f t="shared" si="55"/>
        <v>101.44444444444444</v>
      </c>
      <c r="I219" s="1450"/>
      <c r="J219" s="1461"/>
      <c r="K219" s="1457"/>
      <c r="L219" s="1457"/>
      <c r="M219" s="1457"/>
      <c r="N219" s="1457"/>
      <c r="O219" s="1457"/>
      <c r="P219" s="1462"/>
      <c r="Q219" s="1463"/>
      <c r="R219" s="1461">
        <v>90000</v>
      </c>
      <c r="S219" s="1457">
        <v>91300</v>
      </c>
      <c r="T219" s="1457"/>
      <c r="U219" s="1457"/>
      <c r="V219" s="1457"/>
      <c r="W219" s="1462">
        <f>SUM(S219:V219)</f>
        <v>91300</v>
      </c>
      <c r="X219" s="1464"/>
      <c r="Y219" s="1444"/>
    </row>
    <row r="220" spans="1:25" ht="12.75">
      <c r="A220" s="1497">
        <v>4040</v>
      </c>
      <c r="B220" s="1513" t="s">
        <v>769</v>
      </c>
      <c r="C220" s="1457">
        <v>4021</v>
      </c>
      <c r="D220" s="1457">
        <f t="shared" si="64"/>
        <v>4021</v>
      </c>
      <c r="E220" s="1458">
        <v>6400</v>
      </c>
      <c r="F220" s="1459">
        <f t="shared" si="65"/>
        <v>6400</v>
      </c>
      <c r="G220" s="1499">
        <f t="shared" si="54"/>
        <v>159.1643869684158</v>
      </c>
      <c r="H220" s="1515">
        <f t="shared" si="55"/>
        <v>159.1643869684158</v>
      </c>
      <c r="I220" s="1450"/>
      <c r="J220" s="1461"/>
      <c r="K220" s="1457"/>
      <c r="L220" s="1457"/>
      <c r="M220" s="1457"/>
      <c r="N220" s="1457"/>
      <c r="O220" s="1457"/>
      <c r="P220" s="1462"/>
      <c r="Q220" s="1463"/>
      <c r="R220" s="1461">
        <v>4021</v>
      </c>
      <c r="S220" s="1457">
        <v>6400</v>
      </c>
      <c r="T220" s="1457"/>
      <c r="U220" s="1457"/>
      <c r="V220" s="1457"/>
      <c r="W220" s="1462">
        <f aca="true" t="shared" si="66" ref="W220:W226">SUM(S220:V220)</f>
        <v>6400</v>
      </c>
      <c r="X220" s="1464"/>
      <c r="Y220" s="1444"/>
    </row>
    <row r="221" spans="1:25" ht="12.75">
      <c r="A221" s="1497">
        <v>4110</v>
      </c>
      <c r="B221" s="1513" t="s">
        <v>720</v>
      </c>
      <c r="C221" s="1457">
        <v>17110</v>
      </c>
      <c r="D221" s="1457">
        <f t="shared" si="64"/>
        <v>17110</v>
      </c>
      <c r="E221" s="1458">
        <f>18430+4500</f>
        <v>22930</v>
      </c>
      <c r="F221" s="1459">
        <f t="shared" si="65"/>
        <v>16800</v>
      </c>
      <c r="G221" s="1499">
        <f t="shared" si="54"/>
        <v>98.18819403857393</v>
      </c>
      <c r="H221" s="1515">
        <f t="shared" si="55"/>
        <v>98.18819403857393</v>
      </c>
      <c r="I221" s="1450"/>
      <c r="J221" s="1461"/>
      <c r="K221" s="1457"/>
      <c r="L221" s="1457"/>
      <c r="M221" s="1457"/>
      <c r="N221" s="1457"/>
      <c r="O221" s="1457"/>
      <c r="P221" s="1462"/>
      <c r="Q221" s="1463"/>
      <c r="R221" s="1461">
        <v>17110</v>
      </c>
      <c r="S221" s="1457">
        <v>16800</v>
      </c>
      <c r="T221" s="1457"/>
      <c r="U221" s="1457"/>
      <c r="V221" s="1457"/>
      <c r="W221" s="1462">
        <f t="shared" si="66"/>
        <v>16800</v>
      </c>
      <c r="X221" s="1464"/>
      <c r="Y221" s="1444"/>
    </row>
    <row r="222" spans="1:25" ht="12.75">
      <c r="A222" s="1497">
        <v>4120</v>
      </c>
      <c r="B222" s="1513" t="s">
        <v>763</v>
      </c>
      <c r="C222" s="1457">
        <v>2305</v>
      </c>
      <c r="D222" s="1457">
        <f t="shared" si="64"/>
        <v>2305</v>
      </c>
      <c r="E222" s="1458">
        <f>2490+610</f>
        <v>3100</v>
      </c>
      <c r="F222" s="1459">
        <f t="shared" si="65"/>
        <v>2400</v>
      </c>
      <c r="G222" s="1499">
        <f t="shared" si="54"/>
        <v>104.12147505422993</v>
      </c>
      <c r="H222" s="1515">
        <f t="shared" si="55"/>
        <v>104.12147505422993</v>
      </c>
      <c r="I222" s="1450"/>
      <c r="J222" s="1461"/>
      <c r="K222" s="1457"/>
      <c r="L222" s="1457"/>
      <c r="M222" s="1457"/>
      <c r="N222" s="1457"/>
      <c r="O222" s="1457"/>
      <c r="P222" s="1462"/>
      <c r="Q222" s="1463"/>
      <c r="R222" s="1461">
        <v>2305</v>
      </c>
      <c r="S222" s="1457">
        <v>2400</v>
      </c>
      <c r="T222" s="1457"/>
      <c r="U222" s="1457"/>
      <c r="V222" s="1457"/>
      <c r="W222" s="1462">
        <f t="shared" si="66"/>
        <v>2400</v>
      </c>
      <c r="X222" s="1464"/>
      <c r="Y222" s="1444"/>
    </row>
    <row r="223" spans="1:25" ht="12.75">
      <c r="A223" s="1497">
        <v>4210</v>
      </c>
      <c r="B223" s="1513" t="s">
        <v>560</v>
      </c>
      <c r="C223" s="1457">
        <v>7205</v>
      </c>
      <c r="D223" s="1457">
        <f t="shared" si="64"/>
        <v>7205</v>
      </c>
      <c r="E223" s="1458">
        <f>5000+5267</f>
        <v>10267</v>
      </c>
      <c r="F223" s="1459">
        <f t="shared" si="65"/>
        <v>7200</v>
      </c>
      <c r="G223" s="1499">
        <f t="shared" si="54"/>
        <v>99.93060374739764</v>
      </c>
      <c r="H223" s="1515">
        <f t="shared" si="55"/>
        <v>99.93060374739764</v>
      </c>
      <c r="I223" s="1450"/>
      <c r="J223" s="1461"/>
      <c r="K223" s="1457"/>
      <c r="L223" s="1457"/>
      <c r="M223" s="1457"/>
      <c r="N223" s="1457"/>
      <c r="O223" s="1457"/>
      <c r="P223" s="1462"/>
      <c r="Q223" s="1463"/>
      <c r="R223" s="1461">
        <v>7205</v>
      </c>
      <c r="S223" s="1457">
        <v>7200</v>
      </c>
      <c r="T223" s="1457"/>
      <c r="U223" s="1457"/>
      <c r="V223" s="1457"/>
      <c r="W223" s="1462">
        <f t="shared" si="66"/>
        <v>7200</v>
      </c>
      <c r="X223" s="1464"/>
      <c r="Y223" s="1444"/>
    </row>
    <row r="224" spans="1:25" ht="12.75">
      <c r="A224" s="1497">
        <v>4300</v>
      </c>
      <c r="B224" s="1513" t="s">
        <v>564</v>
      </c>
      <c r="C224" s="1457">
        <v>6559</v>
      </c>
      <c r="D224" s="1457">
        <f t="shared" si="64"/>
        <v>7559</v>
      </c>
      <c r="E224" s="1458">
        <f>2414+1957</f>
        <v>4371</v>
      </c>
      <c r="F224" s="1459">
        <f t="shared" si="65"/>
        <v>4370</v>
      </c>
      <c r="G224" s="1499">
        <f t="shared" si="54"/>
        <v>66.62601006250954</v>
      </c>
      <c r="H224" s="1515">
        <f t="shared" si="55"/>
        <v>57.81187987829078</v>
      </c>
      <c r="I224" s="1450"/>
      <c r="J224" s="1461"/>
      <c r="K224" s="1457"/>
      <c r="L224" s="1457"/>
      <c r="M224" s="1457"/>
      <c r="N224" s="1457"/>
      <c r="O224" s="1457"/>
      <c r="P224" s="1462"/>
      <c r="Q224" s="1463"/>
      <c r="R224" s="1461">
        <v>7559</v>
      </c>
      <c r="S224" s="1457">
        <v>4370</v>
      </c>
      <c r="T224" s="1457"/>
      <c r="U224" s="1457"/>
      <c r="V224" s="1457"/>
      <c r="W224" s="1462">
        <f t="shared" si="66"/>
        <v>4370</v>
      </c>
      <c r="X224" s="1464"/>
      <c r="Y224" s="1444"/>
    </row>
    <row r="225" spans="1:25" ht="12.75">
      <c r="A225" s="1497">
        <v>4410</v>
      </c>
      <c r="B225" s="1513" t="s">
        <v>770</v>
      </c>
      <c r="C225" s="1457">
        <v>11000</v>
      </c>
      <c r="D225" s="1457">
        <f t="shared" si="64"/>
        <v>11000</v>
      </c>
      <c r="E225" s="1458">
        <f>11000+3600</f>
        <v>14600</v>
      </c>
      <c r="F225" s="1459">
        <f t="shared" si="65"/>
        <v>10600</v>
      </c>
      <c r="G225" s="1499">
        <f t="shared" si="54"/>
        <v>96.36363636363636</v>
      </c>
      <c r="H225" s="1515">
        <f t="shared" si="55"/>
        <v>96.36363636363636</v>
      </c>
      <c r="I225" s="1450"/>
      <c r="J225" s="1461"/>
      <c r="K225" s="1457"/>
      <c r="L225" s="1457"/>
      <c r="M225" s="1457"/>
      <c r="N225" s="1457"/>
      <c r="O225" s="1457"/>
      <c r="P225" s="1462"/>
      <c r="Q225" s="1463"/>
      <c r="R225" s="1461">
        <v>11000</v>
      </c>
      <c r="S225" s="1457">
        <f>14600-3000-1000</f>
        <v>10600</v>
      </c>
      <c r="T225" s="1457"/>
      <c r="U225" s="1457"/>
      <c r="V225" s="1457"/>
      <c r="W225" s="1462">
        <f t="shared" si="66"/>
        <v>10600</v>
      </c>
      <c r="X225" s="1464"/>
      <c r="Y225" s="1444"/>
    </row>
    <row r="226" spans="1:25" ht="12.75">
      <c r="A226" s="1497">
        <v>4440</v>
      </c>
      <c r="B226" s="1513" t="s">
        <v>641</v>
      </c>
      <c r="C226" s="1457">
        <v>1800</v>
      </c>
      <c r="D226" s="1457">
        <f t="shared" si="64"/>
        <v>1800</v>
      </c>
      <c r="E226" s="1458">
        <f>1466+1466</f>
        <v>2932</v>
      </c>
      <c r="F226" s="1459">
        <f t="shared" si="65"/>
        <v>2930</v>
      </c>
      <c r="G226" s="1499">
        <f t="shared" si="54"/>
        <v>162.77777777777777</v>
      </c>
      <c r="H226" s="1515">
        <f t="shared" si="55"/>
        <v>162.77777777777777</v>
      </c>
      <c r="I226" s="1450"/>
      <c r="J226" s="1461"/>
      <c r="K226" s="1457"/>
      <c r="L226" s="1457"/>
      <c r="M226" s="1457"/>
      <c r="N226" s="1457"/>
      <c r="O226" s="1457"/>
      <c r="P226" s="1462"/>
      <c r="Q226" s="1463"/>
      <c r="R226" s="1461">
        <v>1800</v>
      </c>
      <c r="S226" s="1457">
        <v>2930</v>
      </c>
      <c r="T226" s="1457"/>
      <c r="U226" s="1457"/>
      <c r="V226" s="1457"/>
      <c r="W226" s="1462">
        <f t="shared" si="66"/>
        <v>2930</v>
      </c>
      <c r="X226" s="1464"/>
      <c r="Y226" s="1444"/>
    </row>
    <row r="227" spans="1:25" s="581" customFormat="1" ht="12.75">
      <c r="A227" s="1516">
        <v>71035</v>
      </c>
      <c r="B227" s="1550" t="s">
        <v>771</v>
      </c>
      <c r="C227" s="1467">
        <f>C228+C229+C230</f>
        <v>810000</v>
      </c>
      <c r="D227" s="1467">
        <f>D228+D229+D230</f>
        <v>1000000</v>
      </c>
      <c r="E227" s="1556">
        <f>E228+E230</f>
        <v>1010000</v>
      </c>
      <c r="F227" s="1467">
        <f>F228+F230</f>
        <v>1010000</v>
      </c>
      <c r="G227" s="1519">
        <f t="shared" si="54"/>
        <v>124.69135802469135</v>
      </c>
      <c r="H227" s="1520">
        <f t="shared" si="55"/>
        <v>101</v>
      </c>
      <c r="I227" s="1460"/>
      <c r="J227" s="1470">
        <f>J228+J229+J230</f>
        <v>1000000</v>
      </c>
      <c r="K227" s="1467">
        <f>K228+K229+K230</f>
        <v>1010000</v>
      </c>
      <c r="L227" s="1467">
        <f>L228+L229+L230</f>
        <v>0</v>
      </c>
      <c r="M227" s="1467">
        <f>M228+M229+M230</f>
        <v>0</v>
      </c>
      <c r="N227" s="1467">
        <f>N228+N229+N230</f>
        <v>0</v>
      </c>
      <c r="O227" s="1467"/>
      <c r="P227" s="1471">
        <f>P228+P229+P230</f>
        <v>1010000</v>
      </c>
      <c r="Q227" s="1472">
        <f>P227/J227*100</f>
        <v>101</v>
      </c>
      <c r="R227" s="1470"/>
      <c r="S227" s="1467"/>
      <c r="T227" s="1467"/>
      <c r="U227" s="1467"/>
      <c r="V227" s="1467"/>
      <c r="W227" s="1471"/>
      <c r="X227" s="1473"/>
      <c r="Y227" s="1444"/>
    </row>
    <row r="228" spans="1:25" ht="12.75" hidden="1">
      <c r="A228" s="1497">
        <v>4270</v>
      </c>
      <c r="B228" s="1513" t="s">
        <v>576</v>
      </c>
      <c r="C228" s="1457">
        <v>0</v>
      </c>
      <c r="D228" s="1457">
        <f>J228+R228</f>
        <v>0</v>
      </c>
      <c r="E228" s="1514"/>
      <c r="F228" s="1457">
        <f>P228+W228</f>
        <v>0</v>
      </c>
      <c r="G228" s="1519" t="e">
        <f t="shared" si="54"/>
        <v>#DIV/0!</v>
      </c>
      <c r="H228" s="1520" t="e">
        <f t="shared" si="55"/>
        <v>#DIV/0!</v>
      </c>
      <c r="I228" s="1460"/>
      <c r="J228" s="1461">
        <v>0</v>
      </c>
      <c r="K228" s="1457"/>
      <c r="L228" s="1457"/>
      <c r="M228" s="1457"/>
      <c r="N228" s="1457"/>
      <c r="O228" s="1457"/>
      <c r="P228" s="1462">
        <f>SUM(K228:N228)</f>
        <v>0</v>
      </c>
      <c r="Q228" s="1472" t="e">
        <f>P228/J228*100</f>
        <v>#DIV/0!</v>
      </c>
      <c r="R228" s="1461"/>
      <c r="S228" s="1457"/>
      <c r="T228" s="1457"/>
      <c r="U228" s="1457"/>
      <c r="V228" s="1457"/>
      <c r="W228" s="1462"/>
      <c r="X228" s="1464"/>
      <c r="Y228" s="1444"/>
    </row>
    <row r="229" spans="1:25" ht="24" hidden="1">
      <c r="A229" s="1497">
        <v>4300</v>
      </c>
      <c r="B229" s="1513" t="s">
        <v>772</v>
      </c>
      <c r="C229" s="1457"/>
      <c r="D229" s="1457">
        <f>J229+R229</f>
        <v>0</v>
      </c>
      <c r="E229" s="1514"/>
      <c r="F229" s="1457">
        <f>P229+W229</f>
        <v>0</v>
      </c>
      <c r="G229" s="1519" t="e">
        <f t="shared" si="54"/>
        <v>#DIV/0!</v>
      </c>
      <c r="H229" s="1520" t="e">
        <f t="shared" si="55"/>
        <v>#DIV/0!</v>
      </c>
      <c r="I229" s="1460"/>
      <c r="J229" s="1461">
        <v>0</v>
      </c>
      <c r="K229" s="1457"/>
      <c r="L229" s="1457"/>
      <c r="M229" s="1457"/>
      <c r="N229" s="1457"/>
      <c r="O229" s="1457"/>
      <c r="P229" s="1462">
        <f>SUM(K229:N229)</f>
        <v>0</v>
      </c>
      <c r="Q229" s="1463" t="e">
        <f>P229/J229*100</f>
        <v>#DIV/0!</v>
      </c>
      <c r="R229" s="1461"/>
      <c r="S229" s="1457"/>
      <c r="T229" s="1457"/>
      <c r="U229" s="1457"/>
      <c r="V229" s="1457"/>
      <c r="W229" s="1462"/>
      <c r="X229" s="1464"/>
      <c r="Y229" s="1444"/>
    </row>
    <row r="230" spans="1:25" ht="24">
      <c r="A230" s="1485">
        <v>4300</v>
      </c>
      <c r="B230" s="1502" t="s">
        <v>773</v>
      </c>
      <c r="C230" s="1478">
        <v>810000</v>
      </c>
      <c r="D230" s="1478">
        <f>J230+R230</f>
        <v>1000000</v>
      </c>
      <c r="E230" s="1595">
        <v>1010000</v>
      </c>
      <c r="F230" s="1478">
        <f>P230+W230</f>
        <v>1010000</v>
      </c>
      <c r="G230" s="1499">
        <f t="shared" si="54"/>
        <v>124.69135802469135</v>
      </c>
      <c r="H230" s="1515">
        <f t="shared" si="55"/>
        <v>101</v>
      </c>
      <c r="I230" s="1482"/>
      <c r="J230" s="1483">
        <v>1000000</v>
      </c>
      <c r="K230" s="1478">
        <v>1010000</v>
      </c>
      <c r="L230" s="1478"/>
      <c r="M230" s="1478"/>
      <c r="N230" s="1478"/>
      <c r="O230" s="1478"/>
      <c r="P230" s="1484">
        <f>SUM(K230:N230)</f>
        <v>1010000</v>
      </c>
      <c r="Q230" s="1487">
        <f>P230/J230*100</f>
        <v>101</v>
      </c>
      <c r="R230" s="1483"/>
      <c r="S230" s="1478"/>
      <c r="T230" s="1478"/>
      <c r="U230" s="1478"/>
      <c r="V230" s="1478"/>
      <c r="W230" s="1484"/>
      <c r="X230" s="1552"/>
      <c r="Y230" s="1444"/>
    </row>
    <row r="231" spans="1:25" s="581" customFormat="1" ht="12.75">
      <c r="A231" s="1516">
        <v>71095</v>
      </c>
      <c r="B231" s="1550" t="s">
        <v>774</v>
      </c>
      <c r="C231" s="1467">
        <f>C232+C233+C238</f>
        <v>0</v>
      </c>
      <c r="D231" s="1596">
        <f>J231+R231</f>
        <v>36722</v>
      </c>
      <c r="E231" s="1556">
        <f>SUM(E232:E233)+E238</f>
        <v>0</v>
      </c>
      <c r="F231" s="1596">
        <f>F232+F233+F238</f>
        <v>0</v>
      </c>
      <c r="G231" s="1519"/>
      <c r="H231" s="1519">
        <f t="shared" si="55"/>
        <v>0</v>
      </c>
      <c r="I231" s="1460"/>
      <c r="J231" s="1470">
        <f>J232+J233+J238</f>
        <v>36722</v>
      </c>
      <c r="K231" s="1467">
        <f>K232+K233+K238</f>
        <v>0</v>
      </c>
      <c r="L231" s="1467"/>
      <c r="M231" s="1467"/>
      <c r="N231" s="1467"/>
      <c r="O231" s="1467"/>
      <c r="P231" s="1597">
        <f>P232+P233+P238</f>
        <v>0</v>
      </c>
      <c r="Q231" s="1472"/>
      <c r="R231" s="1470"/>
      <c r="S231" s="1467"/>
      <c r="T231" s="1467"/>
      <c r="U231" s="1467"/>
      <c r="V231" s="1467"/>
      <c r="W231" s="1471"/>
      <c r="X231" s="1557"/>
      <c r="Y231" s="1444"/>
    </row>
    <row r="232" spans="1:25" ht="13.5" thickBot="1">
      <c r="A232" s="1497">
        <v>4300</v>
      </c>
      <c r="B232" s="1513" t="s">
        <v>653</v>
      </c>
      <c r="C232" s="1457"/>
      <c r="D232" s="1457">
        <f>J232+R232</f>
        <v>36722</v>
      </c>
      <c r="E232" s="1514"/>
      <c r="F232" s="1478">
        <f aca="true" t="shared" si="67" ref="F232:F243">P232+W232</f>
        <v>0</v>
      </c>
      <c r="G232" s="1499"/>
      <c r="H232" s="1499">
        <f t="shared" si="55"/>
        <v>0</v>
      </c>
      <c r="I232" s="1460"/>
      <c r="J232" s="1461">
        <v>36722</v>
      </c>
      <c r="K232" s="1457"/>
      <c r="L232" s="1457"/>
      <c r="M232" s="1457"/>
      <c r="N232" s="1457"/>
      <c r="O232" s="1457"/>
      <c r="P232" s="1484">
        <f aca="true" t="shared" si="68" ref="P232:P243">SUM(K232:N232)</f>
        <v>0</v>
      </c>
      <c r="Q232" s="1463"/>
      <c r="R232" s="1461"/>
      <c r="S232" s="1457"/>
      <c r="T232" s="1457"/>
      <c r="U232" s="1457"/>
      <c r="V232" s="1457"/>
      <c r="W232" s="1462"/>
      <c r="X232" s="1488"/>
      <c r="Y232" s="1444"/>
    </row>
    <row r="233" spans="1:25" s="581" customFormat="1" ht="24.75" hidden="1" thickBot="1">
      <c r="A233" s="1516"/>
      <c r="B233" s="1550" t="s">
        <v>775</v>
      </c>
      <c r="C233" s="1467">
        <f>SUM(C234:C237)</f>
        <v>0</v>
      </c>
      <c r="D233" s="1467">
        <f>SUM(D234:D237)</f>
        <v>0</v>
      </c>
      <c r="E233" s="1556">
        <f>SUM(E234:E237)</f>
        <v>0</v>
      </c>
      <c r="F233" s="1596">
        <f t="shared" si="67"/>
        <v>0</v>
      </c>
      <c r="G233" s="1519"/>
      <c r="H233" s="1519"/>
      <c r="I233" s="1460"/>
      <c r="J233" s="1470">
        <f>SUM(J234:J237)</f>
        <v>0</v>
      </c>
      <c r="K233" s="1467">
        <f>SUM(K234:K237)</f>
        <v>0</v>
      </c>
      <c r="L233" s="1467"/>
      <c r="M233" s="1467"/>
      <c r="N233" s="1467"/>
      <c r="O233" s="1467"/>
      <c r="P233" s="1597">
        <f>SUM(P234:P237)</f>
        <v>0</v>
      </c>
      <c r="Q233" s="1472"/>
      <c r="R233" s="1470"/>
      <c r="S233" s="1467"/>
      <c r="T233" s="1467"/>
      <c r="U233" s="1467"/>
      <c r="V233" s="1467"/>
      <c r="W233" s="1471"/>
      <c r="X233" s="1557"/>
      <c r="Y233" s="1444"/>
    </row>
    <row r="234" spans="1:25" ht="13.5" hidden="1" thickBot="1">
      <c r="A234" s="1497">
        <v>4112</v>
      </c>
      <c r="B234" s="1513" t="s">
        <v>568</v>
      </c>
      <c r="C234" s="1457"/>
      <c r="D234" s="1457">
        <f aca="true" t="shared" si="69" ref="D234:D243">J234+R234</f>
        <v>0</v>
      </c>
      <c r="E234" s="1514"/>
      <c r="F234" s="1478">
        <f t="shared" si="67"/>
        <v>0</v>
      </c>
      <c r="G234" s="1499"/>
      <c r="H234" s="1499"/>
      <c r="I234" s="1460"/>
      <c r="J234" s="1461"/>
      <c r="K234" s="1457"/>
      <c r="L234" s="1457"/>
      <c r="M234" s="1457"/>
      <c r="N234" s="1457"/>
      <c r="O234" s="1457"/>
      <c r="P234" s="1484">
        <f t="shared" si="68"/>
        <v>0</v>
      </c>
      <c r="Q234" s="1463"/>
      <c r="R234" s="1461"/>
      <c r="S234" s="1457"/>
      <c r="T234" s="1457"/>
      <c r="U234" s="1457"/>
      <c r="V234" s="1457"/>
      <c r="W234" s="1462"/>
      <c r="X234" s="1488"/>
      <c r="Y234" s="1444"/>
    </row>
    <row r="235" spans="1:25" ht="13.5" hidden="1" thickBot="1">
      <c r="A235" s="1497">
        <v>4122</v>
      </c>
      <c r="B235" s="1513" t="s">
        <v>758</v>
      </c>
      <c r="C235" s="1457"/>
      <c r="D235" s="1457">
        <f t="shared" si="69"/>
        <v>0</v>
      </c>
      <c r="E235" s="1514"/>
      <c r="F235" s="1478">
        <f t="shared" si="67"/>
        <v>0</v>
      </c>
      <c r="G235" s="1499"/>
      <c r="H235" s="1499"/>
      <c r="I235" s="1460"/>
      <c r="J235" s="1461"/>
      <c r="K235" s="1457"/>
      <c r="L235" s="1457"/>
      <c r="M235" s="1457"/>
      <c r="N235" s="1457"/>
      <c r="O235" s="1457"/>
      <c r="P235" s="1484">
        <f t="shared" si="68"/>
        <v>0</v>
      </c>
      <c r="Q235" s="1463"/>
      <c r="R235" s="1461"/>
      <c r="S235" s="1457"/>
      <c r="T235" s="1457"/>
      <c r="U235" s="1457"/>
      <c r="V235" s="1457"/>
      <c r="W235" s="1462"/>
      <c r="X235" s="1488"/>
      <c r="Y235" s="1444"/>
    </row>
    <row r="236" spans="1:25" ht="13.5" hidden="1" thickBot="1">
      <c r="A236" s="1497">
        <v>4301</v>
      </c>
      <c r="B236" s="1513" t="s">
        <v>653</v>
      </c>
      <c r="C236" s="1457"/>
      <c r="D236" s="1457">
        <f t="shared" si="69"/>
        <v>0</v>
      </c>
      <c r="E236" s="1514"/>
      <c r="F236" s="1478">
        <f t="shared" si="67"/>
        <v>0</v>
      </c>
      <c r="G236" s="1499"/>
      <c r="H236" s="1499"/>
      <c r="I236" s="1460"/>
      <c r="J236" s="1461"/>
      <c r="K236" s="1457"/>
      <c r="L236" s="1457"/>
      <c r="M236" s="1457"/>
      <c r="N236" s="1457"/>
      <c r="O236" s="1457"/>
      <c r="P236" s="1484">
        <f t="shared" si="68"/>
        <v>0</v>
      </c>
      <c r="Q236" s="1463"/>
      <c r="R236" s="1461"/>
      <c r="S236" s="1457"/>
      <c r="T236" s="1457"/>
      <c r="U236" s="1457"/>
      <c r="V236" s="1457"/>
      <c r="W236" s="1462"/>
      <c r="X236" s="1488"/>
      <c r="Y236" s="1444"/>
    </row>
    <row r="237" spans="1:25" ht="13.5" hidden="1" thickBot="1">
      <c r="A237" s="1497">
        <v>4302</v>
      </c>
      <c r="B237" s="1513" t="s">
        <v>653</v>
      </c>
      <c r="C237" s="1457"/>
      <c r="D237" s="1457">
        <f t="shared" si="69"/>
        <v>0</v>
      </c>
      <c r="E237" s="1514"/>
      <c r="F237" s="1478">
        <f t="shared" si="67"/>
        <v>0</v>
      </c>
      <c r="G237" s="1499"/>
      <c r="H237" s="1499"/>
      <c r="I237" s="1460"/>
      <c r="J237" s="1461"/>
      <c r="K237" s="1457"/>
      <c r="L237" s="1457"/>
      <c r="M237" s="1457"/>
      <c r="N237" s="1457"/>
      <c r="O237" s="1457"/>
      <c r="P237" s="1484">
        <f t="shared" si="68"/>
        <v>0</v>
      </c>
      <c r="Q237" s="1463"/>
      <c r="R237" s="1461"/>
      <c r="S237" s="1457"/>
      <c r="T237" s="1457"/>
      <c r="U237" s="1457"/>
      <c r="V237" s="1457"/>
      <c r="W237" s="1462"/>
      <c r="X237" s="1488"/>
      <c r="Y237" s="1444"/>
    </row>
    <row r="238" spans="1:25" s="581" customFormat="1" ht="24.75" hidden="1" thickBot="1">
      <c r="A238" s="1516"/>
      <c r="B238" s="1550" t="s">
        <v>776</v>
      </c>
      <c r="C238" s="1467">
        <f>SUM(C239:C243)</f>
        <v>0</v>
      </c>
      <c r="D238" s="1467">
        <f>SUM(D239:D243)</f>
        <v>0</v>
      </c>
      <c r="E238" s="1556">
        <f>SUM(E239:E243)</f>
        <v>0</v>
      </c>
      <c r="F238" s="1596">
        <f t="shared" si="67"/>
        <v>0</v>
      </c>
      <c r="G238" s="1519"/>
      <c r="H238" s="1519"/>
      <c r="I238" s="1460"/>
      <c r="J238" s="1470">
        <f>SUM(J239:J243)</f>
        <v>0</v>
      </c>
      <c r="K238" s="1467">
        <f>SUM(K239:K243)</f>
        <v>0</v>
      </c>
      <c r="L238" s="1467"/>
      <c r="M238" s="1467"/>
      <c r="N238" s="1467"/>
      <c r="O238" s="1467"/>
      <c r="P238" s="1597">
        <f>SUM(P239:P243)</f>
        <v>0</v>
      </c>
      <c r="Q238" s="1472"/>
      <c r="R238" s="1470"/>
      <c r="S238" s="1467"/>
      <c r="T238" s="1467"/>
      <c r="U238" s="1467"/>
      <c r="V238" s="1467"/>
      <c r="W238" s="1471"/>
      <c r="X238" s="1557"/>
      <c r="Y238" s="1444"/>
    </row>
    <row r="239" spans="1:25" ht="13.5" hidden="1" thickBot="1">
      <c r="A239" s="1497">
        <v>4112</v>
      </c>
      <c r="B239" s="1513" t="s">
        <v>568</v>
      </c>
      <c r="C239" s="1457"/>
      <c r="D239" s="1457">
        <f t="shared" si="69"/>
        <v>0</v>
      </c>
      <c r="E239" s="1514"/>
      <c r="F239" s="1478">
        <f t="shared" si="67"/>
        <v>0</v>
      </c>
      <c r="G239" s="1499"/>
      <c r="H239" s="1499"/>
      <c r="I239" s="1460"/>
      <c r="J239" s="1461"/>
      <c r="K239" s="1457"/>
      <c r="L239" s="1457"/>
      <c r="M239" s="1457"/>
      <c r="N239" s="1457"/>
      <c r="O239" s="1457"/>
      <c r="P239" s="1484">
        <f t="shared" si="68"/>
        <v>0</v>
      </c>
      <c r="Q239" s="1463"/>
      <c r="R239" s="1461"/>
      <c r="S239" s="1457"/>
      <c r="T239" s="1457"/>
      <c r="U239" s="1457"/>
      <c r="V239" s="1457"/>
      <c r="W239" s="1462"/>
      <c r="X239" s="1488"/>
      <c r="Y239" s="1444"/>
    </row>
    <row r="240" spans="1:25" ht="13.5" hidden="1" thickBot="1">
      <c r="A240" s="1497">
        <v>4211</v>
      </c>
      <c r="B240" s="1513" t="s">
        <v>560</v>
      </c>
      <c r="C240" s="1457"/>
      <c r="D240" s="1457">
        <f t="shared" si="69"/>
        <v>0</v>
      </c>
      <c r="E240" s="1514"/>
      <c r="F240" s="1478">
        <f t="shared" si="67"/>
        <v>0</v>
      </c>
      <c r="G240" s="1499"/>
      <c r="H240" s="1499"/>
      <c r="I240" s="1460"/>
      <c r="J240" s="1461"/>
      <c r="K240" s="1457"/>
      <c r="L240" s="1457"/>
      <c r="M240" s="1457"/>
      <c r="N240" s="1457"/>
      <c r="O240" s="1457"/>
      <c r="P240" s="1484">
        <f t="shared" si="68"/>
        <v>0</v>
      </c>
      <c r="Q240" s="1463"/>
      <c r="R240" s="1461"/>
      <c r="S240" s="1457"/>
      <c r="T240" s="1457"/>
      <c r="U240" s="1457"/>
      <c r="V240" s="1457"/>
      <c r="W240" s="1462"/>
      <c r="X240" s="1488"/>
      <c r="Y240" s="1444"/>
    </row>
    <row r="241" spans="1:25" ht="13.5" hidden="1" thickBot="1">
      <c r="A241" s="1497">
        <v>4212</v>
      </c>
      <c r="B241" s="1513" t="s">
        <v>560</v>
      </c>
      <c r="C241" s="1457"/>
      <c r="D241" s="1457">
        <f t="shared" si="69"/>
        <v>0</v>
      </c>
      <c r="E241" s="1514"/>
      <c r="F241" s="1478">
        <f t="shared" si="67"/>
        <v>0</v>
      </c>
      <c r="G241" s="1499"/>
      <c r="H241" s="1499"/>
      <c r="I241" s="1460"/>
      <c r="J241" s="1461"/>
      <c r="K241" s="1457"/>
      <c r="L241" s="1457"/>
      <c r="M241" s="1457"/>
      <c r="N241" s="1457"/>
      <c r="O241" s="1457"/>
      <c r="P241" s="1484">
        <f t="shared" si="68"/>
        <v>0</v>
      </c>
      <c r="Q241" s="1463"/>
      <c r="R241" s="1461"/>
      <c r="S241" s="1457"/>
      <c r="T241" s="1457"/>
      <c r="U241" s="1457"/>
      <c r="V241" s="1457"/>
      <c r="W241" s="1462"/>
      <c r="X241" s="1488"/>
      <c r="Y241" s="1444"/>
    </row>
    <row r="242" spans="1:25" ht="13.5" hidden="1" thickBot="1">
      <c r="A242" s="1485">
        <v>4301</v>
      </c>
      <c r="B242" s="1513" t="s">
        <v>653</v>
      </c>
      <c r="C242" s="1478"/>
      <c r="D242" s="1457">
        <f t="shared" si="69"/>
        <v>0</v>
      </c>
      <c r="E242" s="1595"/>
      <c r="F242" s="1478">
        <f t="shared" si="67"/>
        <v>0</v>
      </c>
      <c r="G242" s="1499"/>
      <c r="H242" s="1499"/>
      <c r="I242" s="1482"/>
      <c r="J242" s="1483"/>
      <c r="K242" s="1478"/>
      <c r="L242" s="1478"/>
      <c r="M242" s="1478"/>
      <c r="N242" s="1478"/>
      <c r="O242" s="1478"/>
      <c r="P242" s="1484">
        <f t="shared" si="68"/>
        <v>0</v>
      </c>
      <c r="Q242" s="1487"/>
      <c r="R242" s="1483"/>
      <c r="S242" s="1478"/>
      <c r="T242" s="1478"/>
      <c r="U242" s="1478"/>
      <c r="V242" s="1478"/>
      <c r="W242" s="1484"/>
      <c r="X242" s="1488"/>
      <c r="Y242" s="1444"/>
    </row>
    <row r="243" spans="1:25" ht="13.5" hidden="1" thickBot="1">
      <c r="A243" s="1598">
        <v>4302</v>
      </c>
      <c r="B243" s="1513" t="s">
        <v>653</v>
      </c>
      <c r="C243" s="1567"/>
      <c r="D243" s="1457">
        <f t="shared" si="69"/>
        <v>0</v>
      </c>
      <c r="E243" s="1599"/>
      <c r="F243" s="1478">
        <f t="shared" si="67"/>
        <v>0</v>
      </c>
      <c r="G243" s="1481"/>
      <c r="H243" s="1481"/>
      <c r="I243" s="1569"/>
      <c r="J243" s="1572"/>
      <c r="K243" s="1567"/>
      <c r="L243" s="1567"/>
      <c r="M243" s="1567"/>
      <c r="N243" s="1567"/>
      <c r="O243" s="1567"/>
      <c r="P243" s="1484">
        <f t="shared" si="68"/>
        <v>0</v>
      </c>
      <c r="Q243" s="1571"/>
      <c r="R243" s="1572"/>
      <c r="S243" s="1567"/>
      <c r="T243" s="1567"/>
      <c r="U243" s="1567"/>
      <c r="V243" s="1567"/>
      <c r="W243" s="1573"/>
      <c r="X243" s="1488"/>
      <c r="Y243" s="1444"/>
    </row>
    <row r="244" spans="1:28" s="581" customFormat="1" ht="14.25" thickBot="1" thickTop="1">
      <c r="A244" s="1489">
        <v>750</v>
      </c>
      <c r="B244" s="1490" t="s">
        <v>401</v>
      </c>
      <c r="C244" s="1434">
        <f>C245+C257+C273+C285+C336+C344+C379+C386+C357+C360</f>
        <v>22532556</v>
      </c>
      <c r="D244" s="1434">
        <f>D245+D257+D273+D285+D336+D344+D379+D386+D357+D360</f>
        <v>23493616</v>
      </c>
      <c r="E244" s="1590">
        <f>E245+E257+E273+E285+E336+E344+E379+E386+E357+E360</f>
        <v>27325423</v>
      </c>
      <c r="F244" s="1434">
        <f>F245+F257+F273+F285+F336+F344+F379+F386+F357+F360</f>
        <v>25566237</v>
      </c>
      <c r="G244" s="1437">
        <f t="shared" si="54"/>
        <v>113.46354581344433</v>
      </c>
      <c r="H244" s="1438">
        <f t="shared" si="55"/>
        <v>108.82206042696876</v>
      </c>
      <c r="I244" s="1439">
        <f>F244/F$1426*100</f>
        <v>9.32446571709745</v>
      </c>
      <c r="J244" s="1440">
        <f aca="true" t="shared" si="70" ref="J244:P244">J245+J257+J273+J285+J336+J344+J379+J386+J357+J360</f>
        <v>20329156</v>
      </c>
      <c r="K244" s="1434">
        <f t="shared" si="70"/>
        <v>20542845</v>
      </c>
      <c r="L244" s="1434">
        <f t="shared" si="70"/>
        <v>0</v>
      </c>
      <c r="M244" s="1434">
        <f t="shared" si="70"/>
        <v>693400</v>
      </c>
      <c r="N244" s="1434">
        <f t="shared" si="70"/>
        <v>555000</v>
      </c>
      <c r="O244" s="1434">
        <f t="shared" si="70"/>
        <v>0</v>
      </c>
      <c r="P244" s="1434">
        <f t="shared" si="70"/>
        <v>21791245</v>
      </c>
      <c r="Q244" s="1442">
        <f>P244/J244*100</f>
        <v>107.19207919895936</v>
      </c>
      <c r="R244" s="1440">
        <f aca="true" t="shared" si="71" ref="R244:W244">R245+R257+R273+R285+R336+R344+R379+R386+R357</f>
        <v>3164460</v>
      </c>
      <c r="S244" s="1434">
        <f t="shared" si="71"/>
        <v>3774992</v>
      </c>
      <c r="T244" s="1434">
        <f t="shared" si="71"/>
        <v>0</v>
      </c>
      <c r="U244" s="1434">
        <f t="shared" si="71"/>
        <v>0</v>
      </c>
      <c r="V244" s="1434">
        <f t="shared" si="71"/>
        <v>0</v>
      </c>
      <c r="W244" s="1441">
        <f t="shared" si="71"/>
        <v>3774992</v>
      </c>
      <c r="X244" s="1443">
        <f>W244/R244*100</f>
        <v>119.293402349848</v>
      </c>
      <c r="Y244" s="1444"/>
      <c r="Z244" s="1504">
        <f>Z257+Z285+Z379</f>
        <v>13528385</v>
      </c>
      <c r="AA244" s="1592">
        <f>AA257+AA285+AA379</f>
        <v>1128350</v>
      </c>
      <c r="AB244" s="1505">
        <f>Z244+AA244</f>
        <v>14656735</v>
      </c>
    </row>
    <row r="245" spans="1:25" s="581" customFormat="1" ht="13.5" thickTop="1">
      <c r="A245" s="1493">
        <v>75011</v>
      </c>
      <c r="B245" s="1506" t="s">
        <v>777</v>
      </c>
      <c r="C245" s="1447">
        <f>C250+C251+C252+C253+C254+C255+C256</f>
        <v>516500</v>
      </c>
      <c r="D245" s="1447">
        <f>D250+D251+D252+D253+D254+D255+D256</f>
        <v>516500</v>
      </c>
      <c r="E245" s="1600">
        <f>E250+E251+E252+E253+E254+E255+E256</f>
        <v>342570</v>
      </c>
      <c r="F245" s="1447">
        <f>F250+F251+F252+F253+F254+F255+F256</f>
        <v>519340</v>
      </c>
      <c r="G245" s="1601">
        <f t="shared" si="54"/>
        <v>100.54985479186836</v>
      </c>
      <c r="H245" s="1601">
        <f t="shared" si="55"/>
        <v>100.54985479186836</v>
      </c>
      <c r="I245" s="1486"/>
      <c r="J245" s="1451">
        <f>J250+J251+J252+J253+J254+J255+J256</f>
        <v>516500</v>
      </c>
      <c r="K245" s="1447">
        <f>K250+K251+K252+K253+K254+K255+K256</f>
        <v>519340</v>
      </c>
      <c r="L245" s="1447">
        <f>L250+L251+L252+L253+L254+L255+L256</f>
        <v>0</v>
      </c>
      <c r="M245" s="1447">
        <f>M250+M251+M252+M253+M254+M255+M256</f>
        <v>0</v>
      </c>
      <c r="N245" s="1447">
        <f>N250+N251+N252+N253+N254+N255+N256</f>
        <v>0</v>
      </c>
      <c r="O245" s="1447"/>
      <c r="P245" s="1452">
        <f>P250+P251+P252+P253+P254+P255+P256</f>
        <v>519340</v>
      </c>
      <c r="Q245" s="1453">
        <f>Q250+Q251+Q252+Q253+Q254+Q255+Q256</f>
        <v>300.6792881192881</v>
      </c>
      <c r="R245" s="1451"/>
      <c r="S245" s="1447"/>
      <c r="T245" s="1447"/>
      <c r="U245" s="1447"/>
      <c r="V245" s="1447"/>
      <c r="W245" s="1452"/>
      <c r="X245" s="1512">
        <f>X250+X251+X252+X253+X254+X255+X256</f>
        <v>0</v>
      </c>
      <c r="Y245" s="1444"/>
    </row>
    <row r="246" spans="1:25" ht="24.75" hidden="1" thickBot="1">
      <c r="A246" s="1497">
        <v>4010</v>
      </c>
      <c r="B246" s="1513" t="s">
        <v>626</v>
      </c>
      <c r="C246" s="1457"/>
      <c r="D246" s="1457">
        <f aca="true" t="shared" si="72" ref="D246:D271">J246+R246</f>
        <v>0</v>
      </c>
      <c r="E246" s="1514"/>
      <c r="F246" s="1457">
        <f aca="true" t="shared" si="73" ref="F246:F256">P246+W246</f>
        <v>0</v>
      </c>
      <c r="G246" s="1602" t="e">
        <f t="shared" si="54"/>
        <v>#DIV/0!</v>
      </c>
      <c r="H246" s="1603" t="e">
        <f t="shared" si="55"/>
        <v>#DIV/0!</v>
      </c>
      <c r="I246" s="1450"/>
      <c r="J246" s="1461">
        <v>0</v>
      </c>
      <c r="K246" s="1457"/>
      <c r="L246" s="1457"/>
      <c r="M246" s="1457"/>
      <c r="N246" s="1457"/>
      <c r="O246" s="1457"/>
      <c r="P246" s="1462">
        <f aca="true" t="shared" si="74" ref="P246:P256">SUM(K246:N246)</f>
        <v>0</v>
      </c>
      <c r="Q246" s="1495" t="e">
        <f>P246/J246*100</f>
        <v>#DIV/0!</v>
      </c>
      <c r="R246" s="1461"/>
      <c r="S246" s="1457"/>
      <c r="T246" s="1457"/>
      <c r="U246" s="1457"/>
      <c r="V246" s="1457"/>
      <c r="W246" s="1462">
        <f>SUM(S246:V246)</f>
        <v>0</v>
      </c>
      <c r="X246" s="1496" t="e">
        <f>W246/R246*100</f>
        <v>#DIV/0!</v>
      </c>
      <c r="Y246" s="1444"/>
    </row>
    <row r="247" spans="1:25" ht="14.25" hidden="1" thickBot="1" thickTop="1">
      <c r="A247" s="1497">
        <v>4040</v>
      </c>
      <c r="B247" s="1513" t="s">
        <v>719</v>
      </c>
      <c r="C247" s="1457"/>
      <c r="D247" s="1457">
        <f t="shared" si="72"/>
        <v>0</v>
      </c>
      <c r="E247" s="1514"/>
      <c r="F247" s="1457">
        <f t="shared" si="73"/>
        <v>0</v>
      </c>
      <c r="G247" s="1437" t="e">
        <f t="shared" si="54"/>
        <v>#DIV/0!</v>
      </c>
      <c r="H247" s="1438" t="e">
        <f t="shared" si="55"/>
        <v>#DIV/0!</v>
      </c>
      <c r="I247" s="1450"/>
      <c r="J247" s="1461">
        <v>0</v>
      </c>
      <c r="K247" s="1457"/>
      <c r="L247" s="1457"/>
      <c r="M247" s="1457"/>
      <c r="N247" s="1457"/>
      <c r="O247" s="1457"/>
      <c r="P247" s="1462">
        <f t="shared" si="74"/>
        <v>0</v>
      </c>
      <c r="Q247" s="1495" t="e">
        <f>P247/J247*100</f>
        <v>#DIV/0!</v>
      </c>
      <c r="R247" s="1461"/>
      <c r="S247" s="1457"/>
      <c r="T247" s="1457"/>
      <c r="U247" s="1457"/>
      <c r="V247" s="1457"/>
      <c r="W247" s="1462">
        <f>SUM(S247:V247)</f>
        <v>0</v>
      </c>
      <c r="X247" s="1496" t="e">
        <f>W247/R247*100</f>
        <v>#DIV/0!</v>
      </c>
      <c r="Y247" s="1444"/>
    </row>
    <row r="248" spans="1:25" ht="14.25" hidden="1" thickBot="1" thickTop="1">
      <c r="A248" s="1497">
        <v>4110</v>
      </c>
      <c r="B248" s="1456" t="s">
        <v>568</v>
      </c>
      <c r="C248" s="1457"/>
      <c r="D248" s="1457">
        <f t="shared" si="72"/>
        <v>0</v>
      </c>
      <c r="E248" s="1514"/>
      <c r="F248" s="1457">
        <f t="shared" si="73"/>
        <v>0</v>
      </c>
      <c r="G248" s="1437" t="e">
        <f t="shared" si="54"/>
        <v>#DIV/0!</v>
      </c>
      <c r="H248" s="1438" t="e">
        <f t="shared" si="55"/>
        <v>#DIV/0!</v>
      </c>
      <c r="I248" s="1450"/>
      <c r="J248" s="1461">
        <v>0</v>
      </c>
      <c r="K248" s="1457"/>
      <c r="L248" s="1457"/>
      <c r="M248" s="1457"/>
      <c r="N248" s="1457"/>
      <c r="O248" s="1457"/>
      <c r="P248" s="1462">
        <f t="shared" si="74"/>
        <v>0</v>
      </c>
      <c r="Q248" s="1495" t="e">
        <f>P248/J248*100</f>
        <v>#DIV/0!</v>
      </c>
      <c r="R248" s="1461"/>
      <c r="S248" s="1457"/>
      <c r="T248" s="1457"/>
      <c r="U248" s="1457"/>
      <c r="V248" s="1457"/>
      <c r="W248" s="1462">
        <f>SUM(S248:V248)</f>
        <v>0</v>
      </c>
      <c r="X248" s="1496" t="e">
        <f>W248/R248*100</f>
        <v>#DIV/0!</v>
      </c>
      <c r="Y248" s="1444"/>
    </row>
    <row r="249" spans="1:25" ht="13.5" hidden="1" thickTop="1">
      <c r="A249" s="1497">
        <v>4120</v>
      </c>
      <c r="B249" s="1513" t="s">
        <v>763</v>
      </c>
      <c r="C249" s="1457"/>
      <c r="D249" s="1457">
        <f t="shared" si="72"/>
        <v>0</v>
      </c>
      <c r="E249" s="1514"/>
      <c r="F249" s="1457">
        <f t="shared" si="73"/>
        <v>0</v>
      </c>
      <c r="G249" s="1474" t="e">
        <f t="shared" si="54"/>
        <v>#DIV/0!</v>
      </c>
      <c r="H249" s="1475" t="e">
        <f t="shared" si="55"/>
        <v>#DIV/0!</v>
      </c>
      <c r="I249" s="1450"/>
      <c r="J249" s="1461">
        <v>0</v>
      </c>
      <c r="K249" s="1457"/>
      <c r="L249" s="1457"/>
      <c r="M249" s="1457"/>
      <c r="N249" s="1457"/>
      <c r="O249" s="1457"/>
      <c r="P249" s="1462">
        <f t="shared" si="74"/>
        <v>0</v>
      </c>
      <c r="Q249" s="1495" t="e">
        <f>P249/J249*100</f>
        <v>#DIV/0!</v>
      </c>
      <c r="R249" s="1461"/>
      <c r="S249" s="1457"/>
      <c r="T249" s="1457"/>
      <c r="U249" s="1457"/>
      <c r="V249" s="1457"/>
      <c r="W249" s="1462">
        <f>SUM(S249:V249)</f>
        <v>0</v>
      </c>
      <c r="X249" s="1496" t="e">
        <f>W249/R249*100</f>
        <v>#DIV/0!</v>
      </c>
      <c r="Y249" s="1444"/>
    </row>
    <row r="250" spans="1:25" ht="24">
      <c r="A250" s="1497">
        <v>4010</v>
      </c>
      <c r="B250" s="1513" t="s">
        <v>626</v>
      </c>
      <c r="C250" s="1457">
        <v>150000</v>
      </c>
      <c r="D250" s="1457">
        <f t="shared" si="72"/>
        <v>150000</v>
      </c>
      <c r="E250" s="1514"/>
      <c r="F250" s="1457">
        <f t="shared" si="73"/>
        <v>152300</v>
      </c>
      <c r="G250" s="1499">
        <f t="shared" si="54"/>
        <v>101.53333333333335</v>
      </c>
      <c r="H250" s="1499">
        <f t="shared" si="55"/>
        <v>101.53333333333335</v>
      </c>
      <c r="I250" s="1460"/>
      <c r="J250" s="1461">
        <v>150000</v>
      </c>
      <c r="K250" s="1457">
        <v>152300</v>
      </c>
      <c r="L250" s="1457"/>
      <c r="M250" s="1457"/>
      <c r="N250" s="1457"/>
      <c r="O250" s="1457"/>
      <c r="P250" s="1462">
        <f aca="true" t="shared" si="75" ref="P250:P255">SUM(K250:N250)</f>
        <v>152300</v>
      </c>
      <c r="Q250" s="1463">
        <f>P250/J250*100</f>
        <v>101.53333333333335</v>
      </c>
      <c r="R250" s="1461"/>
      <c r="S250" s="1457"/>
      <c r="T250" s="1457"/>
      <c r="U250" s="1457"/>
      <c r="V250" s="1457"/>
      <c r="W250" s="1462"/>
      <c r="X250" s="1496"/>
      <c r="Y250" s="1444"/>
    </row>
    <row r="251" spans="1:25" ht="12.75" hidden="1">
      <c r="A251" s="1497">
        <v>4040</v>
      </c>
      <c r="B251" s="1513" t="s">
        <v>719</v>
      </c>
      <c r="C251" s="1457">
        <v>0</v>
      </c>
      <c r="D251" s="1457">
        <f t="shared" si="72"/>
        <v>0</v>
      </c>
      <c r="E251" s="1514"/>
      <c r="F251" s="1457">
        <f t="shared" si="73"/>
        <v>0</v>
      </c>
      <c r="G251" s="1499" t="e">
        <f t="shared" si="54"/>
        <v>#DIV/0!</v>
      </c>
      <c r="H251" s="1499" t="e">
        <f t="shared" si="55"/>
        <v>#DIV/0!</v>
      </c>
      <c r="I251" s="1482"/>
      <c r="J251" s="1461"/>
      <c r="K251" s="1457"/>
      <c r="L251" s="1457"/>
      <c r="M251" s="1457"/>
      <c r="N251" s="1457"/>
      <c r="O251" s="1457"/>
      <c r="P251" s="1462">
        <f t="shared" si="75"/>
        <v>0</v>
      </c>
      <c r="Q251" s="1495"/>
      <c r="R251" s="1461"/>
      <c r="S251" s="1457"/>
      <c r="T251" s="1457"/>
      <c r="U251" s="1457"/>
      <c r="V251" s="1457"/>
      <c r="W251" s="1462"/>
      <c r="X251" s="1496"/>
      <c r="Y251" s="1444"/>
    </row>
    <row r="252" spans="1:25" ht="12.75">
      <c r="A252" s="1497">
        <v>4110</v>
      </c>
      <c r="B252" s="1513" t="s">
        <v>568</v>
      </c>
      <c r="C252" s="1457">
        <v>25000</v>
      </c>
      <c r="D252" s="1457">
        <f t="shared" si="72"/>
        <v>25000</v>
      </c>
      <c r="E252" s="1514"/>
      <c r="F252" s="1457">
        <f t="shared" si="73"/>
        <v>26200</v>
      </c>
      <c r="G252" s="1499">
        <f t="shared" si="54"/>
        <v>104.80000000000001</v>
      </c>
      <c r="H252" s="1499">
        <f t="shared" si="55"/>
        <v>104.80000000000001</v>
      </c>
      <c r="I252" s="1482"/>
      <c r="J252" s="1461">
        <v>25000</v>
      </c>
      <c r="K252" s="1457">
        <v>26200</v>
      </c>
      <c r="L252" s="1457"/>
      <c r="M252" s="1457"/>
      <c r="N252" s="1457"/>
      <c r="O252" s="1457"/>
      <c r="P252" s="1462">
        <f t="shared" si="75"/>
        <v>26200</v>
      </c>
      <c r="Q252" s="1495"/>
      <c r="R252" s="1461"/>
      <c r="S252" s="1457"/>
      <c r="T252" s="1457"/>
      <c r="U252" s="1457"/>
      <c r="V252" s="1457"/>
      <c r="W252" s="1462"/>
      <c r="X252" s="1496"/>
      <c r="Y252" s="1444"/>
    </row>
    <row r="253" spans="1:25" ht="12.75">
      <c r="A253" s="1497">
        <v>4120</v>
      </c>
      <c r="B253" s="1513" t="s">
        <v>763</v>
      </c>
      <c r="C253" s="1457">
        <v>4000</v>
      </c>
      <c r="D253" s="1457">
        <f t="shared" si="72"/>
        <v>4000</v>
      </c>
      <c r="E253" s="1458"/>
      <c r="F253" s="1459">
        <f t="shared" si="73"/>
        <v>4000</v>
      </c>
      <c r="G253" s="1499">
        <f t="shared" si="54"/>
        <v>100</v>
      </c>
      <c r="H253" s="1499">
        <f t="shared" si="55"/>
        <v>100</v>
      </c>
      <c r="I253" s="1501"/>
      <c r="J253" s="1461">
        <v>4000</v>
      </c>
      <c r="K253" s="1457">
        <v>4000</v>
      </c>
      <c r="L253" s="1457"/>
      <c r="M253" s="1457"/>
      <c r="N253" s="1457"/>
      <c r="O253" s="1457"/>
      <c r="P253" s="1462">
        <f t="shared" si="75"/>
        <v>4000</v>
      </c>
      <c r="Q253" s="1495"/>
      <c r="R253" s="1461"/>
      <c r="S253" s="1457"/>
      <c r="T253" s="1457"/>
      <c r="U253" s="1457"/>
      <c r="V253" s="1457"/>
      <c r="W253" s="1462"/>
      <c r="X253" s="1496"/>
      <c r="Y253" s="1444"/>
    </row>
    <row r="254" spans="1:25" ht="12.75">
      <c r="A254" s="1497">
        <v>4210</v>
      </c>
      <c r="B254" s="1513" t="s">
        <v>560</v>
      </c>
      <c r="C254" s="1457">
        <v>175000</v>
      </c>
      <c r="D254" s="1457">
        <f t="shared" si="72"/>
        <v>175000</v>
      </c>
      <c r="E254" s="1458">
        <v>177630</v>
      </c>
      <c r="F254" s="1459">
        <f>P254+W254</f>
        <v>177630</v>
      </c>
      <c r="G254" s="1499">
        <f t="shared" si="54"/>
        <v>101.50285714285714</v>
      </c>
      <c r="H254" s="1499">
        <f t="shared" si="55"/>
        <v>101.50285714285714</v>
      </c>
      <c r="I254" s="1450"/>
      <c r="J254" s="1461">
        <v>175000</v>
      </c>
      <c r="K254" s="1457">
        <v>177630</v>
      </c>
      <c r="L254" s="1457"/>
      <c r="M254" s="1457"/>
      <c r="N254" s="1457"/>
      <c r="O254" s="1457"/>
      <c r="P254" s="1462">
        <f t="shared" si="75"/>
        <v>177630</v>
      </c>
      <c r="Q254" s="1495">
        <f>P254/J254*100</f>
        <v>101.50285714285714</v>
      </c>
      <c r="R254" s="1461"/>
      <c r="S254" s="1457"/>
      <c r="T254" s="1457"/>
      <c r="U254" s="1457"/>
      <c r="V254" s="1457"/>
      <c r="W254" s="1462"/>
      <c r="X254" s="1496"/>
      <c r="Y254" s="1444"/>
    </row>
    <row r="255" spans="1:25" ht="12.75">
      <c r="A255" s="1497">
        <v>4260</v>
      </c>
      <c r="B255" s="1513" t="s">
        <v>575</v>
      </c>
      <c r="C255" s="1457">
        <v>14000</v>
      </c>
      <c r="D255" s="1457">
        <f t="shared" si="72"/>
        <v>14000</v>
      </c>
      <c r="E255" s="1458">
        <v>14210</v>
      </c>
      <c r="F255" s="1459">
        <f>P255+W255</f>
        <v>14210</v>
      </c>
      <c r="G255" s="1499">
        <f t="shared" si="54"/>
        <v>101.49999999999999</v>
      </c>
      <c r="H255" s="1499">
        <f t="shared" si="55"/>
        <v>101.49999999999999</v>
      </c>
      <c r="I255" s="1450"/>
      <c r="J255" s="1461">
        <v>14000</v>
      </c>
      <c r="K255" s="1457">
        <v>14210</v>
      </c>
      <c r="L255" s="1457"/>
      <c r="M255" s="1457"/>
      <c r="N255" s="1457"/>
      <c r="O255" s="1457"/>
      <c r="P255" s="1462">
        <f t="shared" si="75"/>
        <v>14210</v>
      </c>
      <c r="Q255" s="1495"/>
      <c r="R255" s="1461"/>
      <c r="S255" s="1457"/>
      <c r="T255" s="1457"/>
      <c r="U255" s="1457"/>
      <c r="V255" s="1457"/>
      <c r="W255" s="1462"/>
      <c r="X255" s="1496"/>
      <c r="Y255" s="1444"/>
    </row>
    <row r="256" spans="1:25" ht="12.75">
      <c r="A256" s="1497">
        <v>4300</v>
      </c>
      <c r="B256" s="1513" t="s">
        <v>564</v>
      </c>
      <c r="C256" s="1457">
        <v>148500</v>
      </c>
      <c r="D256" s="1457">
        <f t="shared" si="72"/>
        <v>148500</v>
      </c>
      <c r="E256" s="1458">
        <v>150730</v>
      </c>
      <c r="F256" s="1459">
        <f t="shared" si="73"/>
        <v>145000</v>
      </c>
      <c r="G256" s="1499">
        <f t="shared" si="54"/>
        <v>97.64309764309765</v>
      </c>
      <c r="H256" s="1499">
        <f t="shared" si="55"/>
        <v>97.64309764309765</v>
      </c>
      <c r="I256" s="1450"/>
      <c r="J256" s="1461">
        <v>148500</v>
      </c>
      <c r="K256" s="1457">
        <f>150730-5730</f>
        <v>145000</v>
      </c>
      <c r="L256" s="1457"/>
      <c r="M256" s="1457"/>
      <c r="N256" s="1457"/>
      <c r="O256" s="1457"/>
      <c r="P256" s="1462">
        <f t="shared" si="74"/>
        <v>145000</v>
      </c>
      <c r="Q256" s="1495">
        <f>P256/J256*100</f>
        <v>97.64309764309765</v>
      </c>
      <c r="R256" s="1461"/>
      <c r="S256" s="1457"/>
      <c r="T256" s="1457"/>
      <c r="U256" s="1457"/>
      <c r="V256" s="1457"/>
      <c r="W256" s="1462"/>
      <c r="X256" s="1488"/>
      <c r="Y256" s="1444"/>
    </row>
    <row r="257" spans="1:28" s="581" customFormat="1" ht="12.75">
      <c r="A257" s="1516">
        <v>75020</v>
      </c>
      <c r="B257" s="1550" t="s">
        <v>778</v>
      </c>
      <c r="C257" s="1467">
        <f>SUM(C258:C271)</f>
        <v>1601400</v>
      </c>
      <c r="D257" s="1467">
        <f>SUM(D258:D271)</f>
        <v>3164360</v>
      </c>
      <c r="E257" s="1518">
        <f>SUM(E258:E271)</f>
        <v>2645522</v>
      </c>
      <c r="F257" s="1467">
        <f>SUM(F258:F271)</f>
        <v>3771992</v>
      </c>
      <c r="G257" s="1531">
        <f t="shared" si="54"/>
        <v>235.54339952541525</v>
      </c>
      <c r="H257" s="1532">
        <f t="shared" si="55"/>
        <v>119.20236635528197</v>
      </c>
      <c r="I257" s="1450"/>
      <c r="J257" s="1470"/>
      <c r="K257" s="1467"/>
      <c r="L257" s="1467"/>
      <c r="M257" s="1467"/>
      <c r="N257" s="1467"/>
      <c r="O257" s="1467"/>
      <c r="P257" s="1471"/>
      <c r="Q257" s="1495" t="e">
        <f>P257/J257*100</f>
        <v>#DIV/0!</v>
      </c>
      <c r="R257" s="1470">
        <f aca="true" t="shared" si="76" ref="R257:W257">SUM(R258:R271)</f>
        <v>3164360</v>
      </c>
      <c r="S257" s="1467">
        <f t="shared" si="76"/>
        <v>3771992</v>
      </c>
      <c r="T257" s="1467">
        <f t="shared" si="76"/>
        <v>0</v>
      </c>
      <c r="U257" s="1467">
        <f t="shared" si="76"/>
        <v>0</v>
      </c>
      <c r="V257" s="1467">
        <f t="shared" si="76"/>
        <v>0</v>
      </c>
      <c r="W257" s="1471">
        <f t="shared" si="76"/>
        <v>3771992</v>
      </c>
      <c r="X257" s="1473">
        <f>W257/R257*100</f>
        <v>119.20236635528197</v>
      </c>
      <c r="Y257" s="1444"/>
      <c r="AA257" s="1444">
        <f>SUM(S260:S264)</f>
        <v>1128350</v>
      </c>
      <c r="AB257" s="1444">
        <f>Z257+AA257</f>
        <v>1128350</v>
      </c>
    </row>
    <row r="258" spans="1:28" s="581" customFormat="1" ht="72">
      <c r="A258" s="1604">
        <v>2320</v>
      </c>
      <c r="B258" s="1456" t="s">
        <v>779</v>
      </c>
      <c r="C258" s="1457">
        <v>15000</v>
      </c>
      <c r="D258" s="1457">
        <f t="shared" si="72"/>
        <v>15000</v>
      </c>
      <c r="E258" s="1458">
        <v>15000</v>
      </c>
      <c r="F258" s="1459">
        <f aca="true" t="shared" si="77" ref="F258:F271">P258+W258</f>
        <v>15000</v>
      </c>
      <c r="G258" s="1499">
        <f t="shared" si="54"/>
        <v>100</v>
      </c>
      <c r="H258" s="1499">
        <f t="shared" si="55"/>
        <v>100</v>
      </c>
      <c r="I258" s="1450"/>
      <c r="J258" s="1470"/>
      <c r="K258" s="1457"/>
      <c r="L258" s="1467"/>
      <c r="M258" s="1467"/>
      <c r="N258" s="1467"/>
      <c r="O258" s="1467"/>
      <c r="P258" s="1471"/>
      <c r="Q258" s="1453"/>
      <c r="R258" s="1461">
        <v>15000</v>
      </c>
      <c r="S258" s="1457">
        <v>15000</v>
      </c>
      <c r="T258" s="1467"/>
      <c r="U258" s="1467"/>
      <c r="V258" s="1467"/>
      <c r="W258" s="1462">
        <f aca="true" t="shared" si="78" ref="W258:W271">SUM(S258:V258)</f>
        <v>15000</v>
      </c>
      <c r="X258" s="1512"/>
      <c r="Y258" s="1444"/>
      <c r="AA258" s="1444"/>
      <c r="AB258" s="1444"/>
    </row>
    <row r="259" spans="1:28" s="581" customFormat="1" ht="60">
      <c r="A259" s="1604">
        <v>2320</v>
      </c>
      <c r="B259" s="1456" t="s">
        <v>780</v>
      </c>
      <c r="C259" s="1457"/>
      <c r="D259" s="1457"/>
      <c r="E259" s="1458">
        <v>1153472</v>
      </c>
      <c r="F259" s="1459">
        <f t="shared" si="77"/>
        <v>1153472</v>
      </c>
      <c r="G259" s="1499"/>
      <c r="H259" s="1499"/>
      <c r="I259" s="1450"/>
      <c r="J259" s="1470"/>
      <c r="K259" s="1457"/>
      <c r="L259" s="1467"/>
      <c r="M259" s="1467"/>
      <c r="N259" s="1467"/>
      <c r="O259" s="1467"/>
      <c r="P259" s="1471"/>
      <c r="Q259" s="1453"/>
      <c r="R259" s="1461"/>
      <c r="S259" s="1457">
        <v>1153472</v>
      </c>
      <c r="T259" s="1467"/>
      <c r="U259" s="1467"/>
      <c r="V259" s="1467"/>
      <c r="W259" s="1462">
        <f t="shared" si="78"/>
        <v>1153472</v>
      </c>
      <c r="X259" s="1512"/>
      <c r="Y259" s="1444"/>
      <c r="AA259" s="1444"/>
      <c r="AB259" s="1444"/>
    </row>
    <row r="260" spans="1:25" ht="12.75">
      <c r="A260" s="1497">
        <v>4010</v>
      </c>
      <c r="B260" s="1513" t="s">
        <v>781</v>
      </c>
      <c r="C260" s="1457">
        <v>857000</v>
      </c>
      <c r="D260" s="1457">
        <f t="shared" si="72"/>
        <v>857000</v>
      </c>
      <c r="E260" s="1458"/>
      <c r="F260" s="1459">
        <f t="shared" si="77"/>
        <v>870000</v>
      </c>
      <c r="G260" s="1499">
        <f t="shared" si="54"/>
        <v>101.5169194865811</v>
      </c>
      <c r="H260" s="1499">
        <f t="shared" si="55"/>
        <v>101.5169194865811</v>
      </c>
      <c r="I260" s="1450"/>
      <c r="J260" s="1461"/>
      <c r="K260" s="1457"/>
      <c r="L260" s="1457"/>
      <c r="M260" s="1457"/>
      <c r="N260" s="1457"/>
      <c r="O260" s="1457"/>
      <c r="P260" s="1462"/>
      <c r="Q260" s="1495"/>
      <c r="R260" s="1461">
        <v>857000</v>
      </c>
      <c r="S260" s="1457">
        <v>870000</v>
      </c>
      <c r="T260" s="1457"/>
      <c r="U260" s="1457"/>
      <c r="V260" s="1457"/>
      <c r="W260" s="1462">
        <f t="shared" si="78"/>
        <v>870000</v>
      </c>
      <c r="X260" s="1496">
        <f aca="true" t="shared" si="79" ref="X260:X272">W260/R260*100</f>
        <v>101.5169194865811</v>
      </c>
      <c r="Y260" s="1444"/>
    </row>
    <row r="261" spans="1:25" ht="12.75">
      <c r="A261" s="1497">
        <v>4040</v>
      </c>
      <c r="B261" s="1513" t="s">
        <v>719</v>
      </c>
      <c r="C261" s="1457">
        <v>72800</v>
      </c>
      <c r="D261" s="1457">
        <f t="shared" si="72"/>
        <v>72800</v>
      </c>
      <c r="E261" s="1458"/>
      <c r="F261" s="1459">
        <f t="shared" si="77"/>
        <v>72800</v>
      </c>
      <c r="G261" s="1499">
        <f t="shared" si="54"/>
        <v>100</v>
      </c>
      <c r="H261" s="1499">
        <f t="shared" si="55"/>
        <v>100</v>
      </c>
      <c r="I261" s="1450"/>
      <c r="J261" s="1461"/>
      <c r="K261" s="1457"/>
      <c r="L261" s="1457"/>
      <c r="M261" s="1457"/>
      <c r="N261" s="1457"/>
      <c r="O261" s="1457"/>
      <c r="P261" s="1462"/>
      <c r="Q261" s="1495"/>
      <c r="R261" s="1461">
        <v>72800</v>
      </c>
      <c r="S261" s="1457">
        <v>72800</v>
      </c>
      <c r="T261" s="1457"/>
      <c r="U261" s="1457"/>
      <c r="V261" s="1457"/>
      <c r="W261" s="1462">
        <f t="shared" si="78"/>
        <v>72800</v>
      </c>
      <c r="X261" s="1496">
        <f t="shared" si="79"/>
        <v>100</v>
      </c>
      <c r="Y261" s="1444"/>
    </row>
    <row r="262" spans="1:25" ht="12.75">
      <c r="A262" s="1497">
        <v>4110</v>
      </c>
      <c r="B262" s="1513" t="s">
        <v>568</v>
      </c>
      <c r="C262" s="1457">
        <v>163800</v>
      </c>
      <c r="D262" s="1457">
        <f t="shared" si="72"/>
        <v>163800</v>
      </c>
      <c r="E262" s="1458"/>
      <c r="F262" s="1459">
        <f t="shared" si="77"/>
        <v>162450</v>
      </c>
      <c r="G262" s="1499">
        <f t="shared" si="54"/>
        <v>99.17582417582418</v>
      </c>
      <c r="H262" s="1499">
        <f t="shared" si="55"/>
        <v>99.17582417582418</v>
      </c>
      <c r="I262" s="1450"/>
      <c r="J262" s="1461"/>
      <c r="K262" s="1457"/>
      <c r="L262" s="1457"/>
      <c r="M262" s="1457"/>
      <c r="N262" s="1457"/>
      <c r="O262" s="1457"/>
      <c r="P262" s="1462"/>
      <c r="Q262" s="1495"/>
      <c r="R262" s="1461">
        <f>163800</f>
        <v>163800</v>
      </c>
      <c r="S262" s="1457">
        <v>162450</v>
      </c>
      <c r="T262" s="1457"/>
      <c r="U262" s="1457"/>
      <c r="V262" s="1457"/>
      <c r="W262" s="1462">
        <f t="shared" si="78"/>
        <v>162450</v>
      </c>
      <c r="X262" s="1496">
        <f t="shared" si="79"/>
        <v>99.17582417582418</v>
      </c>
      <c r="Y262" s="1444"/>
    </row>
    <row r="263" spans="1:25" ht="24">
      <c r="A263" s="1497">
        <v>4110</v>
      </c>
      <c r="B263" s="1513" t="s">
        <v>782</v>
      </c>
      <c r="C263" s="1457"/>
      <c r="D263" s="1457">
        <f t="shared" si="72"/>
        <v>1400</v>
      </c>
      <c r="E263" s="1458"/>
      <c r="F263" s="1459">
        <f t="shared" si="77"/>
        <v>0</v>
      </c>
      <c r="G263" s="1499"/>
      <c r="H263" s="1499">
        <f>F263/D263*100</f>
        <v>0</v>
      </c>
      <c r="I263" s="1450"/>
      <c r="J263" s="1461"/>
      <c r="K263" s="1457"/>
      <c r="L263" s="1457"/>
      <c r="M263" s="1457"/>
      <c r="N263" s="1457"/>
      <c r="O263" s="1457"/>
      <c r="P263" s="1462"/>
      <c r="Q263" s="1495"/>
      <c r="R263" s="1461">
        <v>1400</v>
      </c>
      <c r="S263" s="1457"/>
      <c r="T263" s="1457"/>
      <c r="U263" s="1457"/>
      <c r="V263" s="1457"/>
      <c r="W263" s="1462">
        <f t="shared" si="78"/>
        <v>0</v>
      </c>
      <c r="X263" s="1496"/>
      <c r="Y263" s="1444"/>
    </row>
    <row r="264" spans="1:25" ht="12.75">
      <c r="A264" s="1497">
        <v>4120</v>
      </c>
      <c r="B264" s="1513" t="s">
        <v>783</v>
      </c>
      <c r="C264" s="1457">
        <v>22800</v>
      </c>
      <c r="D264" s="1457">
        <f t="shared" si="72"/>
        <v>22800</v>
      </c>
      <c r="E264" s="1458"/>
      <c r="F264" s="1459">
        <f t="shared" si="77"/>
        <v>23100</v>
      </c>
      <c r="G264" s="1499">
        <f t="shared" si="54"/>
        <v>101.3157894736842</v>
      </c>
      <c r="H264" s="1499">
        <f t="shared" si="55"/>
        <v>101.3157894736842</v>
      </c>
      <c r="I264" s="1450"/>
      <c r="J264" s="1461"/>
      <c r="K264" s="1457"/>
      <c r="L264" s="1457"/>
      <c r="M264" s="1457"/>
      <c r="N264" s="1457"/>
      <c r="O264" s="1457"/>
      <c r="P264" s="1462"/>
      <c r="Q264" s="1495"/>
      <c r="R264" s="1461">
        <f>22800</f>
        <v>22800</v>
      </c>
      <c r="S264" s="1457">
        <v>23100</v>
      </c>
      <c r="T264" s="1457"/>
      <c r="U264" s="1457"/>
      <c r="V264" s="1457"/>
      <c r="W264" s="1462">
        <f t="shared" si="78"/>
        <v>23100</v>
      </c>
      <c r="X264" s="1496">
        <f t="shared" si="79"/>
        <v>101.3157894736842</v>
      </c>
      <c r="Y264" s="1444"/>
    </row>
    <row r="265" spans="1:25" ht="12.75">
      <c r="A265" s="1497">
        <v>4120</v>
      </c>
      <c r="B265" s="1513" t="s">
        <v>784</v>
      </c>
      <c r="C265" s="1457"/>
      <c r="D265" s="1457">
        <f t="shared" si="72"/>
        <v>200</v>
      </c>
      <c r="E265" s="1458"/>
      <c r="F265" s="1459">
        <f t="shared" si="77"/>
        <v>0</v>
      </c>
      <c r="G265" s="1499"/>
      <c r="H265" s="1499">
        <f t="shared" si="55"/>
        <v>0</v>
      </c>
      <c r="I265" s="1450"/>
      <c r="J265" s="1461"/>
      <c r="K265" s="1457"/>
      <c r="L265" s="1457"/>
      <c r="M265" s="1457"/>
      <c r="N265" s="1457"/>
      <c r="O265" s="1457"/>
      <c r="P265" s="1462"/>
      <c r="Q265" s="1495"/>
      <c r="R265" s="1461">
        <v>200</v>
      </c>
      <c r="S265" s="1457"/>
      <c r="T265" s="1457"/>
      <c r="U265" s="1457"/>
      <c r="V265" s="1457"/>
      <c r="W265" s="1462">
        <f t="shared" si="78"/>
        <v>0</v>
      </c>
      <c r="X265" s="1496"/>
      <c r="Y265" s="1444"/>
    </row>
    <row r="266" spans="1:25" ht="12.75">
      <c r="A266" s="1497">
        <v>4170</v>
      </c>
      <c r="B266" s="1513" t="s">
        <v>785</v>
      </c>
      <c r="C266" s="1457"/>
      <c r="D266" s="1457">
        <f t="shared" si="72"/>
        <v>11360</v>
      </c>
      <c r="E266" s="1458"/>
      <c r="F266" s="1459">
        <f t="shared" si="77"/>
        <v>0</v>
      </c>
      <c r="G266" s="1499"/>
      <c r="H266" s="1499">
        <f t="shared" si="55"/>
        <v>0</v>
      </c>
      <c r="I266" s="1450"/>
      <c r="J266" s="1461"/>
      <c r="K266" s="1457"/>
      <c r="L266" s="1457"/>
      <c r="M266" s="1457"/>
      <c r="N266" s="1457"/>
      <c r="O266" s="1457"/>
      <c r="P266" s="1462"/>
      <c r="Q266" s="1495"/>
      <c r="R266" s="1461">
        <v>11360</v>
      </c>
      <c r="S266" s="1457"/>
      <c r="T266" s="1457"/>
      <c r="U266" s="1457"/>
      <c r="V266" s="1457"/>
      <c r="W266" s="1462">
        <f t="shared" si="78"/>
        <v>0</v>
      </c>
      <c r="X266" s="1496"/>
      <c r="Y266" s="1444"/>
    </row>
    <row r="267" spans="1:25" ht="12.75">
      <c r="A267" s="1497">
        <v>4210</v>
      </c>
      <c r="B267" s="1513" t="s">
        <v>560</v>
      </c>
      <c r="C267" s="1457">
        <v>114000</v>
      </c>
      <c r="D267" s="1457">
        <f t="shared" si="72"/>
        <v>114000</v>
      </c>
      <c r="E267" s="1458">
        <v>115710</v>
      </c>
      <c r="F267" s="1459">
        <f t="shared" si="77"/>
        <v>114000</v>
      </c>
      <c r="G267" s="1499">
        <f>F267/C267*100</f>
        <v>100</v>
      </c>
      <c r="H267" s="1499">
        <f t="shared" si="55"/>
        <v>100</v>
      </c>
      <c r="I267" s="1450"/>
      <c r="J267" s="1461"/>
      <c r="K267" s="1457"/>
      <c r="L267" s="1457"/>
      <c r="M267" s="1457"/>
      <c r="N267" s="1457"/>
      <c r="O267" s="1457"/>
      <c r="P267" s="1462"/>
      <c r="Q267" s="1495"/>
      <c r="R267" s="1461">
        <f>114000</f>
        <v>114000</v>
      </c>
      <c r="S267" s="1457">
        <f>115000-1000</f>
        <v>114000</v>
      </c>
      <c r="T267" s="1457"/>
      <c r="U267" s="1457"/>
      <c r="V267" s="1457"/>
      <c r="W267" s="1462">
        <f t="shared" si="78"/>
        <v>114000</v>
      </c>
      <c r="X267" s="1496">
        <f t="shared" si="79"/>
        <v>100</v>
      </c>
      <c r="Y267" s="1444"/>
    </row>
    <row r="268" spans="1:25" ht="24">
      <c r="A268" s="1497">
        <v>4210</v>
      </c>
      <c r="B268" s="1513" t="s">
        <v>786</v>
      </c>
      <c r="C268" s="1457"/>
      <c r="D268" s="1457">
        <f t="shared" si="72"/>
        <v>50000</v>
      </c>
      <c r="E268" s="1458">
        <v>100000</v>
      </c>
      <c r="F268" s="1459">
        <f t="shared" si="77"/>
        <v>100000</v>
      </c>
      <c r="G268" s="1499"/>
      <c r="H268" s="1499">
        <f aca="true" t="shared" si="80" ref="H268:H331">F268/D268*100</f>
        <v>200</v>
      </c>
      <c r="I268" s="1450"/>
      <c r="J268" s="1461"/>
      <c r="K268" s="1457"/>
      <c r="L268" s="1457"/>
      <c r="M268" s="1457"/>
      <c r="N268" s="1457"/>
      <c r="O268" s="1457"/>
      <c r="P268" s="1462"/>
      <c r="Q268" s="1495"/>
      <c r="R268" s="1461">
        <v>50000</v>
      </c>
      <c r="S268" s="1457">
        <v>100000</v>
      </c>
      <c r="T268" s="1457"/>
      <c r="U268" s="1457"/>
      <c r="V268" s="1457"/>
      <c r="W268" s="1462">
        <f t="shared" si="78"/>
        <v>100000</v>
      </c>
      <c r="X268" s="1496"/>
      <c r="Y268" s="1444"/>
    </row>
    <row r="269" spans="1:25" ht="12.75">
      <c r="A269" s="1497">
        <v>4260</v>
      </c>
      <c r="B269" s="1513" t="s">
        <v>575</v>
      </c>
      <c r="C269" s="1457">
        <v>11000</v>
      </c>
      <c r="D269" s="1457">
        <f t="shared" si="72"/>
        <v>11000</v>
      </c>
      <c r="E269" s="1458">
        <v>11170</v>
      </c>
      <c r="F269" s="1459">
        <f t="shared" si="77"/>
        <v>11170</v>
      </c>
      <c r="G269" s="1499">
        <f aca="true" t="shared" si="81" ref="G269:G332">F269/C269*100</f>
        <v>101.54545454545453</v>
      </c>
      <c r="H269" s="1499">
        <f t="shared" si="80"/>
        <v>101.54545454545453</v>
      </c>
      <c r="I269" s="1450"/>
      <c r="J269" s="1461"/>
      <c r="K269" s="1457"/>
      <c r="L269" s="1457"/>
      <c r="M269" s="1457"/>
      <c r="N269" s="1457"/>
      <c r="O269" s="1457"/>
      <c r="P269" s="1462"/>
      <c r="Q269" s="1495"/>
      <c r="R269" s="1461">
        <v>11000</v>
      </c>
      <c r="S269" s="1457">
        <v>11170</v>
      </c>
      <c r="T269" s="1457"/>
      <c r="U269" s="1457"/>
      <c r="V269" s="1457"/>
      <c r="W269" s="1462">
        <f t="shared" si="78"/>
        <v>11170</v>
      </c>
      <c r="X269" s="1496">
        <f t="shared" si="79"/>
        <v>101.54545454545453</v>
      </c>
      <c r="Y269" s="1444"/>
    </row>
    <row r="270" spans="1:25" ht="12.75">
      <c r="A270" s="1497">
        <v>4300</v>
      </c>
      <c r="B270" s="1513" t="s">
        <v>564</v>
      </c>
      <c r="C270" s="1457">
        <v>345000</v>
      </c>
      <c r="D270" s="1457">
        <f t="shared" si="72"/>
        <v>995000</v>
      </c>
      <c r="E270" s="1458">
        <v>350170</v>
      </c>
      <c r="F270" s="1459">
        <f t="shared" si="77"/>
        <v>350000</v>
      </c>
      <c r="G270" s="1499">
        <f t="shared" si="81"/>
        <v>101.44927536231884</v>
      </c>
      <c r="H270" s="1499">
        <f t="shared" si="80"/>
        <v>35.175879396984925</v>
      </c>
      <c r="I270" s="1450"/>
      <c r="J270" s="1461"/>
      <c r="K270" s="1457"/>
      <c r="L270" s="1457"/>
      <c r="M270" s="1457"/>
      <c r="N270" s="1457"/>
      <c r="O270" s="1457"/>
      <c r="P270" s="1462"/>
      <c r="Q270" s="1495"/>
      <c r="R270" s="1461">
        <v>995000</v>
      </c>
      <c r="S270" s="1457">
        <v>350000</v>
      </c>
      <c r="T270" s="1457"/>
      <c r="U270" s="1457"/>
      <c r="V270" s="1457"/>
      <c r="W270" s="1462">
        <f t="shared" si="78"/>
        <v>350000</v>
      </c>
      <c r="X270" s="1496"/>
      <c r="Y270" s="1444"/>
    </row>
    <row r="271" spans="1:25" ht="12.75">
      <c r="A271" s="1497">
        <v>4300</v>
      </c>
      <c r="B271" s="1513" t="s">
        <v>787</v>
      </c>
      <c r="C271" s="1457"/>
      <c r="D271" s="1457">
        <f t="shared" si="72"/>
        <v>850000</v>
      </c>
      <c r="E271" s="1458">
        <v>900000</v>
      </c>
      <c r="F271" s="1459">
        <f t="shared" si="77"/>
        <v>900000</v>
      </c>
      <c r="G271" s="1499"/>
      <c r="H271" s="1499">
        <f t="shared" si="80"/>
        <v>105.88235294117648</v>
      </c>
      <c r="I271" s="1450"/>
      <c r="J271" s="1461"/>
      <c r="K271" s="1457"/>
      <c r="L271" s="1457"/>
      <c r="M271" s="1457"/>
      <c r="N271" s="1457"/>
      <c r="O271" s="1457"/>
      <c r="P271" s="1462"/>
      <c r="Q271" s="1495"/>
      <c r="R271" s="1461">
        <f>850000</f>
        <v>850000</v>
      </c>
      <c r="S271" s="1457">
        <v>900000</v>
      </c>
      <c r="T271" s="1457"/>
      <c r="U271" s="1457"/>
      <c r="V271" s="1457"/>
      <c r="W271" s="1462">
        <f t="shared" si="78"/>
        <v>900000</v>
      </c>
      <c r="X271" s="1496">
        <f t="shared" si="79"/>
        <v>105.88235294117648</v>
      </c>
      <c r="Y271" s="1444"/>
    </row>
    <row r="272" spans="1:25" ht="12.75" hidden="1">
      <c r="A272" s="1497">
        <v>4440</v>
      </c>
      <c r="B272" s="1513" t="s">
        <v>641</v>
      </c>
      <c r="C272" s="1457"/>
      <c r="D272" s="1457"/>
      <c r="E272" s="1458"/>
      <c r="F272" s="1459"/>
      <c r="G272" s="1531" t="e">
        <f t="shared" si="81"/>
        <v>#DIV/0!</v>
      </c>
      <c r="H272" s="1532" t="e">
        <f t="shared" si="80"/>
        <v>#DIV/0!</v>
      </c>
      <c r="I272" s="1450"/>
      <c r="J272" s="1461"/>
      <c r="K272" s="1457"/>
      <c r="L272" s="1457"/>
      <c r="M272" s="1457"/>
      <c r="N272" s="1457"/>
      <c r="O272" s="1457"/>
      <c r="P272" s="1462"/>
      <c r="Q272" s="1495" t="e">
        <f aca="true" t="shared" si="82" ref="Q272:Q281">P272/J272*100</f>
        <v>#DIV/0!</v>
      </c>
      <c r="R272" s="1461"/>
      <c r="S272" s="1457"/>
      <c r="T272" s="1457"/>
      <c r="U272" s="1457"/>
      <c r="V272" s="1457"/>
      <c r="W272" s="1462"/>
      <c r="X272" s="1496" t="e">
        <f t="shared" si="79"/>
        <v>#DIV/0!</v>
      </c>
      <c r="Y272" s="1444"/>
    </row>
    <row r="273" spans="1:25" s="581" customFormat="1" ht="12.75">
      <c r="A273" s="1516">
        <v>75022</v>
      </c>
      <c r="B273" s="1550" t="s">
        <v>788</v>
      </c>
      <c r="C273" s="1467">
        <f>C274+C280</f>
        <v>436200</v>
      </c>
      <c r="D273" s="1467">
        <f>D274+D280</f>
        <v>436200</v>
      </c>
      <c r="E273" s="1468">
        <f>E274+E280</f>
        <v>474200</v>
      </c>
      <c r="F273" s="1469">
        <f>F274+F280</f>
        <v>466200</v>
      </c>
      <c r="G273" s="1519">
        <f t="shared" si="81"/>
        <v>106.87757909215956</v>
      </c>
      <c r="H273" s="1519">
        <f t="shared" si="80"/>
        <v>106.87757909215956</v>
      </c>
      <c r="I273" s="1450"/>
      <c r="J273" s="1470">
        <f>J274+J280</f>
        <v>436200</v>
      </c>
      <c r="K273" s="1467">
        <f>K274+K280</f>
        <v>466200</v>
      </c>
      <c r="L273" s="1467">
        <f>L274+L280</f>
        <v>0</v>
      </c>
      <c r="M273" s="1467">
        <f>M274+M280</f>
        <v>0</v>
      </c>
      <c r="N273" s="1467">
        <f>N274+N280</f>
        <v>0</v>
      </c>
      <c r="O273" s="1467"/>
      <c r="P273" s="1471">
        <f>P274+P280</f>
        <v>466200</v>
      </c>
      <c r="Q273" s="1453">
        <f t="shared" si="82"/>
        <v>106.87757909215956</v>
      </c>
      <c r="R273" s="1470"/>
      <c r="S273" s="1467"/>
      <c r="T273" s="1467"/>
      <c r="U273" s="1467"/>
      <c r="V273" s="1467"/>
      <c r="W273" s="1471"/>
      <c r="X273" s="1454"/>
      <c r="Y273" s="1444"/>
    </row>
    <row r="274" spans="1:25" s="581" customFormat="1" ht="12.75">
      <c r="A274" s="1516"/>
      <c r="B274" s="1550" t="s">
        <v>789</v>
      </c>
      <c r="C274" s="1467">
        <f>SUM(C275:C279)</f>
        <v>418000</v>
      </c>
      <c r="D274" s="1467">
        <f>SUM(D275:D279)</f>
        <v>418000</v>
      </c>
      <c r="E274" s="1468">
        <f>SUM(E275:E279)</f>
        <v>456000</v>
      </c>
      <c r="F274" s="1469">
        <f>SUM(F275:F279)</f>
        <v>450000</v>
      </c>
      <c r="G274" s="1519">
        <f t="shared" si="81"/>
        <v>107.65550239234449</v>
      </c>
      <c r="H274" s="1519">
        <f t="shared" si="80"/>
        <v>107.65550239234449</v>
      </c>
      <c r="I274" s="1450"/>
      <c r="J274" s="1470">
        <f>SUM(J275:J279)</f>
        <v>418000</v>
      </c>
      <c r="K274" s="1467">
        <f>SUM(K275:K279)</f>
        <v>450000</v>
      </c>
      <c r="L274" s="1467">
        <f>SUM(L275:L279)</f>
        <v>0</v>
      </c>
      <c r="M274" s="1467">
        <f>SUM(M275:M279)</f>
        <v>0</v>
      </c>
      <c r="N274" s="1467">
        <f>SUM(N275:N279)</f>
        <v>0</v>
      </c>
      <c r="O274" s="1467"/>
      <c r="P274" s="1471">
        <f>SUM(P275:P279)</f>
        <v>450000</v>
      </c>
      <c r="Q274" s="1453">
        <f t="shared" si="82"/>
        <v>107.65550239234449</v>
      </c>
      <c r="R274" s="1470"/>
      <c r="S274" s="1467"/>
      <c r="T274" s="1467"/>
      <c r="U274" s="1467"/>
      <c r="V274" s="1467"/>
      <c r="W274" s="1471"/>
      <c r="X274" s="1454"/>
      <c r="Y274" s="1444"/>
    </row>
    <row r="275" spans="1:25" ht="24">
      <c r="A275" s="1497">
        <v>3030</v>
      </c>
      <c r="B275" s="1513" t="s">
        <v>624</v>
      </c>
      <c r="C275" s="1457">
        <v>386000</v>
      </c>
      <c r="D275" s="1457">
        <f>J275+R275</f>
        <v>386000</v>
      </c>
      <c r="E275" s="1458">
        <v>418000</v>
      </c>
      <c r="F275" s="1459">
        <f>P275+W275</f>
        <v>418000</v>
      </c>
      <c r="G275" s="1499">
        <f t="shared" si="81"/>
        <v>108.29015544041451</v>
      </c>
      <c r="H275" s="1499">
        <f t="shared" si="80"/>
        <v>108.29015544041451</v>
      </c>
      <c r="I275" s="1450"/>
      <c r="J275" s="1461">
        <v>386000</v>
      </c>
      <c r="K275" s="1457">
        <v>418000</v>
      </c>
      <c r="L275" s="1457"/>
      <c r="M275" s="1457"/>
      <c r="N275" s="1457"/>
      <c r="O275" s="1457"/>
      <c r="P275" s="1462">
        <f>SUM(K275:N275)</f>
        <v>418000</v>
      </c>
      <c r="Q275" s="1495">
        <f t="shared" si="82"/>
        <v>108.29015544041451</v>
      </c>
      <c r="R275" s="1461"/>
      <c r="S275" s="1457"/>
      <c r="T275" s="1457"/>
      <c r="U275" s="1457"/>
      <c r="V275" s="1457"/>
      <c r="W275" s="1462"/>
      <c r="X275" s="1496"/>
      <c r="Y275" s="1444"/>
    </row>
    <row r="276" spans="1:25" ht="12.75">
      <c r="A276" s="1497">
        <v>4210</v>
      </c>
      <c r="B276" s="1513" t="s">
        <v>560</v>
      </c>
      <c r="C276" s="1457">
        <v>11000</v>
      </c>
      <c r="D276" s="1457">
        <f>J276+R276</f>
        <v>11000</v>
      </c>
      <c r="E276" s="1458">
        <v>17000</v>
      </c>
      <c r="F276" s="1459">
        <f>P276+W276</f>
        <v>11000</v>
      </c>
      <c r="G276" s="1499">
        <f t="shared" si="81"/>
        <v>100</v>
      </c>
      <c r="H276" s="1499">
        <f t="shared" si="80"/>
        <v>100</v>
      </c>
      <c r="I276" s="1450"/>
      <c r="J276" s="1461">
        <v>11000</v>
      </c>
      <c r="K276" s="1457">
        <f>12000-1000</f>
        <v>11000</v>
      </c>
      <c r="L276" s="1457"/>
      <c r="M276" s="1457"/>
      <c r="N276" s="1457"/>
      <c r="O276" s="1457"/>
      <c r="P276" s="1462">
        <f>SUM(K276:N276)</f>
        <v>11000</v>
      </c>
      <c r="Q276" s="1495">
        <f t="shared" si="82"/>
        <v>100</v>
      </c>
      <c r="R276" s="1461"/>
      <c r="S276" s="1457"/>
      <c r="T276" s="1457"/>
      <c r="U276" s="1457"/>
      <c r="V276" s="1457"/>
      <c r="W276" s="1462"/>
      <c r="X276" s="1496"/>
      <c r="Y276" s="1444"/>
    </row>
    <row r="277" spans="1:25" ht="12.75">
      <c r="A277" s="1497">
        <v>4300</v>
      </c>
      <c r="B277" s="1513" t="s">
        <v>564</v>
      </c>
      <c r="C277" s="1457">
        <v>10000</v>
      </c>
      <c r="D277" s="1457">
        <f>J277+R277</f>
        <v>10000</v>
      </c>
      <c r="E277" s="1458">
        <v>10000</v>
      </c>
      <c r="F277" s="1459">
        <f>P277+W277</f>
        <v>10000</v>
      </c>
      <c r="G277" s="1499">
        <f t="shared" si="81"/>
        <v>100</v>
      </c>
      <c r="H277" s="1499">
        <f t="shared" si="80"/>
        <v>100</v>
      </c>
      <c r="I277" s="1450"/>
      <c r="J277" s="1461">
        <v>10000</v>
      </c>
      <c r="K277" s="1457">
        <v>10000</v>
      </c>
      <c r="L277" s="1457"/>
      <c r="M277" s="1457"/>
      <c r="N277" s="1457"/>
      <c r="O277" s="1457"/>
      <c r="P277" s="1462">
        <f>SUM(K277:N277)</f>
        <v>10000</v>
      </c>
      <c r="Q277" s="1495">
        <f t="shared" si="82"/>
        <v>100</v>
      </c>
      <c r="R277" s="1461"/>
      <c r="S277" s="1457"/>
      <c r="T277" s="1457"/>
      <c r="U277" s="1457"/>
      <c r="V277" s="1457"/>
      <c r="W277" s="1462"/>
      <c r="X277" s="1496"/>
      <c r="Y277" s="1444"/>
    </row>
    <row r="278" spans="1:25" ht="12.75">
      <c r="A278" s="1497">
        <v>4410</v>
      </c>
      <c r="B278" s="1513" t="s">
        <v>618</v>
      </c>
      <c r="C278" s="1457">
        <v>7000</v>
      </c>
      <c r="D278" s="1457">
        <f>J278+R278</f>
        <v>7000</v>
      </c>
      <c r="E278" s="1458">
        <v>7000</v>
      </c>
      <c r="F278" s="1459">
        <f>P278+W278</f>
        <v>7000</v>
      </c>
      <c r="G278" s="1499">
        <f t="shared" si="81"/>
        <v>100</v>
      </c>
      <c r="H278" s="1499">
        <f t="shared" si="80"/>
        <v>100</v>
      </c>
      <c r="I278" s="1450"/>
      <c r="J278" s="1461">
        <v>7000</v>
      </c>
      <c r="K278" s="1457">
        <v>7000</v>
      </c>
      <c r="L278" s="1457"/>
      <c r="M278" s="1457"/>
      <c r="N278" s="1457"/>
      <c r="O278" s="1457"/>
      <c r="P278" s="1462">
        <f>SUM(K278:N278)</f>
        <v>7000</v>
      </c>
      <c r="Q278" s="1495">
        <f t="shared" si="82"/>
        <v>100</v>
      </c>
      <c r="R278" s="1461"/>
      <c r="S278" s="1457"/>
      <c r="T278" s="1457"/>
      <c r="U278" s="1457"/>
      <c r="V278" s="1457"/>
      <c r="W278" s="1462"/>
      <c r="X278" s="1496"/>
      <c r="Y278" s="1444"/>
    </row>
    <row r="279" spans="1:25" ht="12.75">
      <c r="A279" s="1497">
        <v>4420</v>
      </c>
      <c r="B279" s="1513" t="s">
        <v>736</v>
      </c>
      <c r="C279" s="1457">
        <v>4000</v>
      </c>
      <c r="D279" s="1457">
        <f>J279+R279</f>
        <v>4000</v>
      </c>
      <c r="E279" s="1458">
        <v>4000</v>
      </c>
      <c r="F279" s="1459">
        <f>P279+W279</f>
        <v>4000</v>
      </c>
      <c r="G279" s="1499">
        <f t="shared" si="81"/>
        <v>100</v>
      </c>
      <c r="H279" s="1499">
        <f t="shared" si="80"/>
        <v>100</v>
      </c>
      <c r="I279" s="1450"/>
      <c r="J279" s="1461">
        <v>4000</v>
      </c>
      <c r="K279" s="1457">
        <v>4000</v>
      </c>
      <c r="L279" s="1457"/>
      <c r="M279" s="1457"/>
      <c r="N279" s="1457"/>
      <c r="O279" s="1457"/>
      <c r="P279" s="1462">
        <f>SUM(K279:N279)</f>
        <v>4000</v>
      </c>
      <c r="Q279" s="1495">
        <f t="shared" si="82"/>
        <v>100</v>
      </c>
      <c r="R279" s="1461"/>
      <c r="S279" s="1457"/>
      <c r="T279" s="1457"/>
      <c r="U279" s="1457"/>
      <c r="V279" s="1457"/>
      <c r="W279" s="1462"/>
      <c r="X279" s="1496"/>
      <c r="Y279" s="1444"/>
    </row>
    <row r="280" spans="1:25" s="581" customFormat="1" ht="12.75">
      <c r="A280" s="1516"/>
      <c r="B280" s="1550" t="s">
        <v>790</v>
      </c>
      <c r="C280" s="1467">
        <f>SUM(C281:C284)</f>
        <v>18200</v>
      </c>
      <c r="D280" s="1467">
        <f>SUM(D281:D284)</f>
        <v>18200</v>
      </c>
      <c r="E280" s="1468">
        <f>SUM(E281:E284)</f>
        <v>18200</v>
      </c>
      <c r="F280" s="1469">
        <f>SUM(F281:F284)</f>
        <v>16200</v>
      </c>
      <c r="G280" s="1519">
        <f t="shared" si="81"/>
        <v>89.01098901098901</v>
      </c>
      <c r="H280" s="1519">
        <f t="shared" si="80"/>
        <v>89.01098901098901</v>
      </c>
      <c r="I280" s="1450"/>
      <c r="J280" s="1470">
        <f>SUM(J281:J284)</f>
        <v>18200</v>
      </c>
      <c r="K280" s="1467">
        <f>SUM(K281:K284)</f>
        <v>16200</v>
      </c>
      <c r="L280" s="1467">
        <f>SUM(L281:L284)</f>
        <v>0</v>
      </c>
      <c r="M280" s="1467">
        <f>SUM(M281:M284)</f>
        <v>0</v>
      </c>
      <c r="N280" s="1467">
        <f>SUM(N281:N284)</f>
        <v>0</v>
      </c>
      <c r="O280" s="1467"/>
      <c r="P280" s="1471">
        <f>SUM(P281:P284)</f>
        <v>16200</v>
      </c>
      <c r="Q280" s="1453">
        <f t="shared" si="82"/>
        <v>89.01098901098901</v>
      </c>
      <c r="R280" s="1470"/>
      <c r="S280" s="1467"/>
      <c r="T280" s="1467"/>
      <c r="U280" s="1467"/>
      <c r="V280" s="1467"/>
      <c r="W280" s="1471"/>
      <c r="X280" s="1454"/>
      <c r="Y280" s="1444"/>
    </row>
    <row r="281" spans="1:25" ht="24">
      <c r="A281" s="1497">
        <v>3040</v>
      </c>
      <c r="B281" s="1513" t="s">
        <v>791</v>
      </c>
      <c r="C281" s="1457"/>
      <c r="D281" s="1457">
        <f>J281+R281</f>
        <v>1850</v>
      </c>
      <c r="E281" s="1458">
        <v>1850</v>
      </c>
      <c r="F281" s="1459">
        <f>P281+W281</f>
        <v>0</v>
      </c>
      <c r="G281" s="1499"/>
      <c r="H281" s="1499">
        <f t="shared" si="80"/>
        <v>0</v>
      </c>
      <c r="I281" s="1450"/>
      <c r="J281" s="1461">
        <v>1850</v>
      </c>
      <c r="K281" s="1457"/>
      <c r="L281" s="1457"/>
      <c r="M281" s="1457"/>
      <c r="N281" s="1457"/>
      <c r="O281" s="1457"/>
      <c r="P281" s="1462">
        <f>SUM(K281:N281)</f>
        <v>0</v>
      </c>
      <c r="Q281" s="1495">
        <f t="shared" si="82"/>
        <v>0</v>
      </c>
      <c r="R281" s="1461"/>
      <c r="S281" s="1457"/>
      <c r="T281" s="1457"/>
      <c r="U281" s="1457"/>
      <c r="V281" s="1457"/>
      <c r="W281" s="1462"/>
      <c r="X281" s="1496"/>
      <c r="Y281" s="1444"/>
    </row>
    <row r="282" spans="1:25" ht="12.75">
      <c r="A282" s="1497">
        <v>4210</v>
      </c>
      <c r="B282" s="1513" t="s">
        <v>560</v>
      </c>
      <c r="C282" s="1457">
        <v>5000</v>
      </c>
      <c r="D282" s="1457">
        <f>J282+R282</f>
        <v>5000</v>
      </c>
      <c r="E282" s="1458">
        <v>5000</v>
      </c>
      <c r="F282" s="1459">
        <f>P282+W282</f>
        <v>5000</v>
      </c>
      <c r="G282" s="1499">
        <f t="shared" si="81"/>
        <v>100</v>
      </c>
      <c r="H282" s="1499">
        <f t="shared" si="80"/>
        <v>100</v>
      </c>
      <c r="I282" s="1450"/>
      <c r="J282" s="1461">
        <v>5000</v>
      </c>
      <c r="K282" s="1457">
        <v>5000</v>
      </c>
      <c r="L282" s="1457"/>
      <c r="M282" s="1457"/>
      <c r="N282" s="1457"/>
      <c r="O282" s="1457"/>
      <c r="P282" s="1462">
        <f>SUM(K282:N282)</f>
        <v>5000</v>
      </c>
      <c r="Q282" s="1495"/>
      <c r="R282" s="1461"/>
      <c r="S282" s="1457"/>
      <c r="T282" s="1457"/>
      <c r="U282" s="1457"/>
      <c r="V282" s="1457"/>
      <c r="W282" s="1462"/>
      <c r="X282" s="1496"/>
      <c r="Y282" s="1444"/>
    </row>
    <row r="283" spans="1:25" ht="12.75">
      <c r="A283" s="1497">
        <v>4300</v>
      </c>
      <c r="B283" s="1513" t="s">
        <v>564</v>
      </c>
      <c r="C283" s="1457">
        <v>12000</v>
      </c>
      <c r="D283" s="1457">
        <f>J283+R283</f>
        <v>10150</v>
      </c>
      <c r="E283" s="1458">
        <v>10150</v>
      </c>
      <c r="F283" s="1459">
        <f>P283+W283</f>
        <v>10000</v>
      </c>
      <c r="G283" s="1499">
        <f t="shared" si="81"/>
        <v>83.33333333333334</v>
      </c>
      <c r="H283" s="1499">
        <f t="shared" si="80"/>
        <v>98.52216748768473</v>
      </c>
      <c r="I283" s="1450"/>
      <c r="J283" s="1461">
        <v>10150</v>
      </c>
      <c r="K283" s="1457">
        <v>10000</v>
      </c>
      <c r="L283" s="1457"/>
      <c r="M283" s="1457"/>
      <c r="N283" s="1457"/>
      <c r="O283" s="1457"/>
      <c r="P283" s="1462">
        <f>SUM(K283:N283)</f>
        <v>10000</v>
      </c>
      <c r="Q283" s="1495">
        <f>P283/J283*100</f>
        <v>98.52216748768473</v>
      </c>
      <c r="R283" s="1461"/>
      <c r="S283" s="1457"/>
      <c r="T283" s="1457"/>
      <c r="U283" s="1457"/>
      <c r="V283" s="1457"/>
      <c r="W283" s="1462"/>
      <c r="X283" s="1496"/>
      <c r="Y283" s="1444"/>
    </row>
    <row r="284" spans="1:25" ht="12.75">
      <c r="A284" s="1497">
        <v>4430</v>
      </c>
      <c r="B284" s="1513" t="s">
        <v>582</v>
      </c>
      <c r="C284" s="1457">
        <v>1200</v>
      </c>
      <c r="D284" s="1457">
        <f>J284+R284</f>
        <v>1200</v>
      </c>
      <c r="E284" s="1514">
        <v>1200</v>
      </c>
      <c r="F284" s="1457">
        <f>P284+W284</f>
        <v>1200</v>
      </c>
      <c r="G284" s="1499">
        <f t="shared" si="81"/>
        <v>100</v>
      </c>
      <c r="H284" s="1499">
        <f t="shared" si="80"/>
        <v>100</v>
      </c>
      <c r="I284" s="1450"/>
      <c r="J284" s="1461">
        <v>1200</v>
      </c>
      <c r="K284" s="1457">
        <v>1200</v>
      </c>
      <c r="L284" s="1457"/>
      <c r="M284" s="1457"/>
      <c r="N284" s="1457"/>
      <c r="O284" s="1457"/>
      <c r="P284" s="1462">
        <f>SUM(K284:N284)</f>
        <v>1200</v>
      </c>
      <c r="Q284" s="1495">
        <f>P284/J284*100</f>
        <v>100</v>
      </c>
      <c r="R284" s="1461"/>
      <c r="S284" s="1457"/>
      <c r="T284" s="1457"/>
      <c r="U284" s="1457"/>
      <c r="V284" s="1457"/>
      <c r="W284" s="1462"/>
      <c r="X284" s="1496"/>
      <c r="Y284" s="1444"/>
    </row>
    <row r="285" spans="1:28" s="581" customFormat="1" ht="12.75">
      <c r="A285" s="1516">
        <v>75023</v>
      </c>
      <c r="B285" s="1605" t="s">
        <v>378</v>
      </c>
      <c r="C285" s="1467">
        <f>C286+SUM(C291:C302)+SUM(C308:C313)++C320+SUM(C323:C331)</f>
        <v>18653310</v>
      </c>
      <c r="D285" s="1467">
        <f>D286+SUM(D291:D302)+SUM(D308:D313)++D320+SUM(D323:D331)</f>
        <v>17840273</v>
      </c>
      <c r="E285" s="1518">
        <f>E286+SUM(E291:E302)+SUM(E308:E313)++E320+SUM(E323:E331)</f>
        <v>21394841</v>
      </c>
      <c r="F285" s="1467">
        <f>F286+SUM(F291:F302)+SUM(F308:F313)++F320+SUM(F323:F331)</f>
        <v>18468215</v>
      </c>
      <c r="G285" s="1519">
        <f t="shared" si="81"/>
        <v>99.00770962365392</v>
      </c>
      <c r="H285" s="1519">
        <f t="shared" si="80"/>
        <v>103.51980039767328</v>
      </c>
      <c r="I285" s="1471"/>
      <c r="J285" s="1470">
        <f aca="true" t="shared" si="83" ref="J285:P285">J286+SUM(J291:J302)+SUM(J308:J313)++J320+SUM(J323:J331)</f>
        <v>17840273</v>
      </c>
      <c r="K285" s="1467">
        <f t="shared" si="83"/>
        <v>17219815</v>
      </c>
      <c r="L285" s="1467">
        <f t="shared" si="83"/>
        <v>0</v>
      </c>
      <c r="M285" s="1467">
        <f t="shared" si="83"/>
        <v>693400</v>
      </c>
      <c r="N285" s="1467">
        <f t="shared" si="83"/>
        <v>555000</v>
      </c>
      <c r="O285" s="1467">
        <f t="shared" si="83"/>
        <v>0</v>
      </c>
      <c r="P285" s="1467">
        <f t="shared" si="83"/>
        <v>18468215</v>
      </c>
      <c r="Q285" s="1470" t="e">
        <f>Q287+Q288+Q289+Q290+Q291+Q292+Q293+Q294+Q295+Q296+Q298+Q301+Q302+Q308+Q309+Q310+Q313+Q320+Q324+Q325+Q326+Q327+Q328+Q331</f>
        <v>#DIV/0!</v>
      </c>
      <c r="R285" s="1470"/>
      <c r="S285" s="1467"/>
      <c r="T285" s="1467"/>
      <c r="U285" s="1467"/>
      <c r="V285" s="1467"/>
      <c r="W285" s="1471"/>
      <c r="X285" s="1606" t="e">
        <f>X287+X288+X289+X290+X291+X292+X293+X294+X295+X296+X298+X303+X304+X305+#REF!+X307+X308+X309+X310+X313+X320+X324+X325+X326+X327+X328+X331</f>
        <v>#REF!</v>
      </c>
      <c r="Y285" s="1444"/>
      <c r="Z285" s="1444">
        <f>SUM(K292:K293)+SUM(K296:K298)</f>
        <v>13526005</v>
      </c>
      <c r="AB285" s="1444">
        <f>Z285+AA285</f>
        <v>13526005</v>
      </c>
    </row>
    <row r="286" spans="1:28" s="571" customFormat="1" ht="24">
      <c r="A286" s="1497">
        <v>3020</v>
      </c>
      <c r="B286" s="1513" t="s">
        <v>717</v>
      </c>
      <c r="C286" s="1457">
        <f>SUM(C287:C290)</f>
        <v>139000</v>
      </c>
      <c r="D286" s="1457">
        <f>SUM(D287:D290)</f>
        <v>159000</v>
      </c>
      <c r="E286" s="1549">
        <f>SUM(E287:E290)</f>
        <v>127300</v>
      </c>
      <c r="F286" s="1457">
        <f>SUM(F287:F290)</f>
        <v>138000</v>
      </c>
      <c r="G286" s="1499">
        <f t="shared" si="81"/>
        <v>99.28057553956835</v>
      </c>
      <c r="H286" s="1499">
        <f t="shared" si="80"/>
        <v>86.79245283018868</v>
      </c>
      <c r="I286" s="1581"/>
      <c r="J286" s="1461">
        <f>SUM(J287:J290)</f>
        <v>159000</v>
      </c>
      <c r="K286" s="1457">
        <f>SUM(K287:K290)</f>
        <v>138000</v>
      </c>
      <c r="L286" s="1457"/>
      <c r="M286" s="1459"/>
      <c r="N286" s="1459"/>
      <c r="O286" s="1459"/>
      <c r="P286" s="1462">
        <f>SUM(K286:N286)</f>
        <v>138000</v>
      </c>
      <c r="Q286" s="1607"/>
      <c r="R286" s="1461"/>
      <c r="S286" s="1457"/>
      <c r="T286" s="1457"/>
      <c r="U286" s="1457"/>
      <c r="V286" s="1457"/>
      <c r="W286" s="1462"/>
      <c r="X286" s="1608"/>
      <c r="Y286" s="1300"/>
      <c r="Z286" s="1300"/>
      <c r="AB286" s="1300"/>
    </row>
    <row r="287" spans="1:25" s="618" customFormat="1" ht="12.75">
      <c r="A287" s="1521"/>
      <c r="B287" s="1522" t="s">
        <v>792</v>
      </c>
      <c r="C287" s="1523">
        <v>20000</v>
      </c>
      <c r="D287" s="1523">
        <f>J287+R287</f>
        <v>20000</v>
      </c>
      <c r="E287" s="1524">
        <v>20300</v>
      </c>
      <c r="F287" s="1523">
        <f>P287+W287</f>
        <v>20000</v>
      </c>
      <c r="G287" s="1538">
        <f t="shared" si="81"/>
        <v>100</v>
      </c>
      <c r="H287" s="1538">
        <f t="shared" si="80"/>
        <v>100</v>
      </c>
      <c r="I287" s="1530"/>
      <c r="J287" s="1526">
        <v>20000</v>
      </c>
      <c r="K287" s="1523">
        <v>20000</v>
      </c>
      <c r="L287" s="1523"/>
      <c r="M287" s="1523"/>
      <c r="N287" s="1523"/>
      <c r="O287" s="1523"/>
      <c r="P287" s="1527">
        <f>SUM(K287:N287)</f>
        <v>20000</v>
      </c>
      <c r="Q287" s="1528">
        <f>P287/J287*100</f>
        <v>100</v>
      </c>
      <c r="R287" s="1526"/>
      <c r="S287" s="1523"/>
      <c r="T287" s="1523"/>
      <c r="U287" s="1523"/>
      <c r="V287" s="1523"/>
      <c r="W287" s="1527"/>
      <c r="X287" s="1529"/>
      <c r="Y287" s="1305"/>
    </row>
    <row r="288" spans="1:25" s="618" customFormat="1" ht="12.75">
      <c r="A288" s="1521"/>
      <c r="B288" s="1522" t="s">
        <v>793</v>
      </c>
      <c r="C288" s="1523">
        <v>65000</v>
      </c>
      <c r="D288" s="1523">
        <f>J288+R288</f>
        <v>65000</v>
      </c>
      <c r="E288" s="1543">
        <f>67000+27000</f>
        <v>94000</v>
      </c>
      <c r="F288" s="1544">
        <f>P288+W288</f>
        <v>65000</v>
      </c>
      <c r="G288" s="1538">
        <f t="shared" si="81"/>
        <v>100</v>
      </c>
      <c r="H288" s="1538">
        <f t="shared" si="80"/>
        <v>100</v>
      </c>
      <c r="I288" s="1530"/>
      <c r="J288" s="1526">
        <v>65000</v>
      </c>
      <c r="K288" s="1523">
        <v>65000</v>
      </c>
      <c r="L288" s="1523"/>
      <c r="M288" s="1523"/>
      <c r="N288" s="1523"/>
      <c r="O288" s="1523"/>
      <c r="P288" s="1527">
        <v>65000</v>
      </c>
      <c r="Q288" s="1528">
        <f>P288/J288*100</f>
        <v>100</v>
      </c>
      <c r="R288" s="1526"/>
      <c r="S288" s="1523"/>
      <c r="T288" s="1523"/>
      <c r="U288" s="1523"/>
      <c r="V288" s="1523"/>
      <c r="W288" s="1527"/>
      <c r="X288" s="1529"/>
      <c r="Y288" s="1305"/>
    </row>
    <row r="289" spans="1:25" s="618" customFormat="1" ht="12.75">
      <c r="A289" s="1521"/>
      <c r="B289" s="1522" t="s">
        <v>794</v>
      </c>
      <c r="C289" s="1523">
        <v>40000</v>
      </c>
      <c r="D289" s="1523">
        <f aca="true" t="shared" si="84" ref="D289:D335">J289+R289</f>
        <v>60000</v>
      </c>
      <c r="E289" s="1543"/>
      <c r="F289" s="1544">
        <f aca="true" t="shared" si="85" ref="F289:F335">P289+W289</f>
        <v>40000</v>
      </c>
      <c r="G289" s="1538">
        <f t="shared" si="81"/>
        <v>100</v>
      </c>
      <c r="H289" s="1538">
        <f t="shared" si="80"/>
        <v>66.66666666666666</v>
      </c>
      <c r="I289" s="1530"/>
      <c r="J289" s="1526">
        <v>60000</v>
      </c>
      <c r="K289" s="1523">
        <v>40000</v>
      </c>
      <c r="L289" s="1523"/>
      <c r="M289" s="1523"/>
      <c r="N289" s="1523"/>
      <c r="O289" s="1523"/>
      <c r="P289" s="1527">
        <f aca="true" t="shared" si="86" ref="P289:P334">SUM(K289:N289)</f>
        <v>40000</v>
      </c>
      <c r="Q289" s="1528">
        <f>P289/J289*100</f>
        <v>66.66666666666666</v>
      </c>
      <c r="R289" s="1526"/>
      <c r="S289" s="1523"/>
      <c r="T289" s="1523"/>
      <c r="U289" s="1523"/>
      <c r="V289" s="1523"/>
      <c r="W289" s="1527"/>
      <c r="X289" s="1529"/>
      <c r="Y289" s="1305"/>
    </row>
    <row r="290" spans="1:25" s="618" customFormat="1" ht="12.75">
      <c r="A290" s="1521"/>
      <c r="B290" s="1522" t="s">
        <v>795</v>
      </c>
      <c r="C290" s="1523">
        <v>14000</v>
      </c>
      <c r="D290" s="1523">
        <f t="shared" si="84"/>
        <v>14000</v>
      </c>
      <c r="E290" s="1543">
        <v>13000</v>
      </c>
      <c r="F290" s="1544">
        <f t="shared" si="85"/>
        <v>13000</v>
      </c>
      <c r="G290" s="1538">
        <f t="shared" si="81"/>
        <v>92.85714285714286</v>
      </c>
      <c r="H290" s="1538">
        <f t="shared" si="80"/>
        <v>92.85714285714286</v>
      </c>
      <c r="I290" s="1530"/>
      <c r="J290" s="1526">
        <v>14000</v>
      </c>
      <c r="K290" s="1523">
        <v>13000</v>
      </c>
      <c r="L290" s="1523"/>
      <c r="M290" s="1523"/>
      <c r="N290" s="1523"/>
      <c r="O290" s="1523"/>
      <c r="P290" s="1527">
        <f t="shared" si="86"/>
        <v>13000</v>
      </c>
      <c r="Q290" s="1528">
        <f>P290/J290*100</f>
        <v>92.85714285714286</v>
      </c>
      <c r="R290" s="1526"/>
      <c r="S290" s="1523"/>
      <c r="T290" s="1523"/>
      <c r="U290" s="1523"/>
      <c r="V290" s="1523"/>
      <c r="W290" s="1527"/>
      <c r="X290" s="1529"/>
      <c r="Y290" s="1305"/>
    </row>
    <row r="291" spans="1:25" ht="24">
      <c r="A291" s="1497">
        <v>3030</v>
      </c>
      <c r="B291" s="1513" t="s">
        <v>796</v>
      </c>
      <c r="C291" s="1457">
        <v>2000</v>
      </c>
      <c r="D291" s="1457">
        <f t="shared" si="84"/>
        <v>2000</v>
      </c>
      <c r="E291" s="1458">
        <v>2030</v>
      </c>
      <c r="F291" s="1459">
        <f t="shared" si="85"/>
        <v>2000</v>
      </c>
      <c r="G291" s="1499">
        <f t="shared" si="81"/>
        <v>100</v>
      </c>
      <c r="H291" s="1499">
        <f t="shared" si="80"/>
        <v>100</v>
      </c>
      <c r="I291" s="1450"/>
      <c r="J291" s="1461">
        <v>2000</v>
      </c>
      <c r="K291" s="1457">
        <v>2000</v>
      </c>
      <c r="L291" s="1457"/>
      <c r="M291" s="1457"/>
      <c r="N291" s="1457"/>
      <c r="O291" s="1457"/>
      <c r="P291" s="1462">
        <f t="shared" si="86"/>
        <v>2000</v>
      </c>
      <c r="Q291" s="1495">
        <f aca="true" t="shared" si="87" ref="Q291:Q354">P291/J291*100</f>
        <v>100</v>
      </c>
      <c r="R291" s="1461"/>
      <c r="S291" s="1457"/>
      <c r="T291" s="1457"/>
      <c r="U291" s="1457"/>
      <c r="V291" s="1457"/>
      <c r="W291" s="1462"/>
      <c r="X291" s="1496"/>
      <c r="Y291" s="1444"/>
    </row>
    <row r="292" spans="1:25" ht="24">
      <c r="A292" s="1497">
        <v>4010</v>
      </c>
      <c r="B292" s="1513" t="s">
        <v>797</v>
      </c>
      <c r="C292" s="1457">
        <v>10086660</v>
      </c>
      <c r="D292" s="1457">
        <f t="shared" si="84"/>
        <v>10086660</v>
      </c>
      <c r="E292" s="1458">
        <v>12374440</v>
      </c>
      <c r="F292" s="1459">
        <f t="shared" si="85"/>
        <v>10467255</v>
      </c>
      <c r="G292" s="1499">
        <f t="shared" si="81"/>
        <v>103.77325100677528</v>
      </c>
      <c r="H292" s="1499">
        <f t="shared" si="80"/>
        <v>103.77325100677528</v>
      </c>
      <c r="I292" s="1450"/>
      <c r="J292" s="1461">
        <v>10086660</v>
      </c>
      <c r="K292" s="1457">
        <f>10611940-144685</f>
        <v>10467255</v>
      </c>
      <c r="L292" s="1457"/>
      <c r="M292" s="1457"/>
      <c r="N292" s="1457"/>
      <c r="O292" s="1457"/>
      <c r="P292" s="1462">
        <f t="shared" si="86"/>
        <v>10467255</v>
      </c>
      <c r="Q292" s="1495">
        <f t="shared" si="87"/>
        <v>103.77325100677528</v>
      </c>
      <c r="R292" s="1461"/>
      <c r="S292" s="1457"/>
      <c r="T292" s="1457"/>
      <c r="U292" s="1457"/>
      <c r="V292" s="1457"/>
      <c r="W292" s="1462"/>
      <c r="X292" s="1496"/>
      <c r="Y292" s="1444"/>
    </row>
    <row r="293" spans="1:25" ht="26.25" customHeight="1">
      <c r="A293" s="1551">
        <v>4040</v>
      </c>
      <c r="B293" s="1513" t="s">
        <v>798</v>
      </c>
      <c r="C293" s="1457">
        <v>823620</v>
      </c>
      <c r="D293" s="1457">
        <f t="shared" si="84"/>
        <v>756420</v>
      </c>
      <c r="E293" s="1458">
        <v>968700</v>
      </c>
      <c r="F293" s="1459">
        <f t="shared" si="85"/>
        <v>833900</v>
      </c>
      <c r="G293" s="1499">
        <f t="shared" si="81"/>
        <v>101.24814841795975</v>
      </c>
      <c r="H293" s="1499">
        <f t="shared" si="80"/>
        <v>110.24298670051029</v>
      </c>
      <c r="I293" s="1450"/>
      <c r="J293" s="1461">
        <v>756420</v>
      </c>
      <c r="K293" s="1457">
        <v>833900</v>
      </c>
      <c r="L293" s="1457"/>
      <c r="M293" s="1457"/>
      <c r="N293" s="1457"/>
      <c r="O293" s="1457"/>
      <c r="P293" s="1462">
        <f t="shared" si="86"/>
        <v>833900</v>
      </c>
      <c r="Q293" s="1495">
        <f t="shared" si="87"/>
        <v>110.24298670051029</v>
      </c>
      <c r="R293" s="1461"/>
      <c r="S293" s="1457"/>
      <c r="T293" s="1457"/>
      <c r="U293" s="1457"/>
      <c r="V293" s="1457"/>
      <c r="W293" s="1462"/>
      <c r="X293" s="1496"/>
      <c r="Y293" s="1444"/>
    </row>
    <row r="294" spans="1:25" ht="24">
      <c r="A294" s="1551">
        <v>4100</v>
      </c>
      <c r="B294" s="1513" t="s">
        <v>799</v>
      </c>
      <c r="C294" s="1457">
        <v>0</v>
      </c>
      <c r="D294" s="1457">
        <f t="shared" si="84"/>
        <v>0</v>
      </c>
      <c r="E294" s="1458">
        <v>65000</v>
      </c>
      <c r="F294" s="1459">
        <f t="shared" si="85"/>
        <v>109000</v>
      </c>
      <c r="G294" s="1499"/>
      <c r="H294" s="1499"/>
      <c r="I294" s="1450"/>
      <c r="J294" s="1461">
        <v>0</v>
      </c>
      <c r="K294" s="1457">
        <v>109000</v>
      </c>
      <c r="L294" s="1457"/>
      <c r="M294" s="1457"/>
      <c r="N294" s="1457"/>
      <c r="O294" s="1457"/>
      <c r="P294" s="1462">
        <f t="shared" si="86"/>
        <v>109000</v>
      </c>
      <c r="Q294" s="1495" t="e">
        <f t="shared" si="87"/>
        <v>#DIV/0!</v>
      </c>
      <c r="R294" s="1461"/>
      <c r="S294" s="1457"/>
      <c r="T294" s="1457"/>
      <c r="U294" s="1457"/>
      <c r="V294" s="1457"/>
      <c r="W294" s="1462"/>
      <c r="X294" s="1496"/>
      <c r="Y294" s="1444"/>
    </row>
    <row r="295" spans="1:25" ht="24">
      <c r="A295" s="1497">
        <v>4110</v>
      </c>
      <c r="B295" s="1513" t="s">
        <v>800</v>
      </c>
      <c r="C295" s="1457">
        <v>0</v>
      </c>
      <c r="D295" s="1457">
        <f t="shared" si="84"/>
        <v>450</v>
      </c>
      <c r="E295" s="1458"/>
      <c r="F295" s="1459">
        <f t="shared" si="85"/>
        <v>0</v>
      </c>
      <c r="G295" s="1499"/>
      <c r="H295" s="1499">
        <f t="shared" si="80"/>
        <v>0</v>
      </c>
      <c r="I295" s="1450"/>
      <c r="J295" s="1461">
        <v>450</v>
      </c>
      <c r="K295" s="1457"/>
      <c r="L295" s="1457"/>
      <c r="M295" s="1457"/>
      <c r="N295" s="1457"/>
      <c r="O295" s="1457"/>
      <c r="P295" s="1462">
        <f t="shared" si="86"/>
        <v>0</v>
      </c>
      <c r="Q295" s="1495">
        <f t="shared" si="87"/>
        <v>0</v>
      </c>
      <c r="R295" s="1461"/>
      <c r="S295" s="1457"/>
      <c r="T295" s="1457"/>
      <c r="U295" s="1457"/>
      <c r="V295" s="1457"/>
      <c r="W295" s="1462"/>
      <c r="X295" s="1496"/>
      <c r="Y295" s="1444"/>
    </row>
    <row r="296" spans="1:25" ht="24">
      <c r="A296" s="1497">
        <v>4110</v>
      </c>
      <c r="B296" s="1513" t="s">
        <v>801</v>
      </c>
      <c r="C296" s="1457">
        <v>1874300</v>
      </c>
      <c r="D296" s="1457">
        <f t="shared" si="84"/>
        <v>1795645</v>
      </c>
      <c r="E296" s="1458">
        <v>2132120</v>
      </c>
      <c r="F296" s="1459">
        <f t="shared" si="85"/>
        <v>1947250</v>
      </c>
      <c r="G296" s="1609">
        <f t="shared" si="81"/>
        <v>103.89211972469722</v>
      </c>
      <c r="H296" s="1610">
        <f t="shared" si="80"/>
        <v>108.44292719329268</v>
      </c>
      <c r="I296" s="1450"/>
      <c r="J296" s="1461">
        <v>1795645</v>
      </c>
      <c r="K296" s="1457">
        <f>1972150-24900</f>
        <v>1947250</v>
      </c>
      <c r="L296" s="1457"/>
      <c r="M296" s="1457"/>
      <c r="N296" s="1457"/>
      <c r="O296" s="1457"/>
      <c r="P296" s="1462">
        <f t="shared" si="86"/>
        <v>1947250</v>
      </c>
      <c r="Q296" s="1495">
        <f t="shared" si="87"/>
        <v>108.44292719329268</v>
      </c>
      <c r="R296" s="1461"/>
      <c r="S296" s="1457"/>
      <c r="T296" s="1457"/>
      <c r="U296" s="1457"/>
      <c r="V296" s="1457"/>
      <c r="W296" s="1462"/>
      <c r="X296" s="1496"/>
      <c r="Y296" s="1444"/>
    </row>
    <row r="297" spans="1:25" ht="12.75">
      <c r="A297" s="1497">
        <v>4120</v>
      </c>
      <c r="B297" s="1513" t="s">
        <v>802</v>
      </c>
      <c r="C297" s="1457"/>
      <c r="D297" s="1457">
        <f t="shared" si="84"/>
        <v>65</v>
      </c>
      <c r="E297" s="1458"/>
      <c r="F297" s="1459">
        <f t="shared" si="85"/>
        <v>0</v>
      </c>
      <c r="G297" s="1499"/>
      <c r="H297" s="1499">
        <f t="shared" si="80"/>
        <v>0</v>
      </c>
      <c r="I297" s="1450"/>
      <c r="J297" s="1461">
        <v>65</v>
      </c>
      <c r="K297" s="1457"/>
      <c r="L297" s="1457"/>
      <c r="M297" s="1457"/>
      <c r="N297" s="1457"/>
      <c r="O297" s="1457"/>
      <c r="P297" s="1462">
        <f t="shared" si="86"/>
        <v>0</v>
      </c>
      <c r="Q297" s="1495"/>
      <c r="R297" s="1461"/>
      <c r="S297" s="1457"/>
      <c r="T297" s="1457"/>
      <c r="U297" s="1457"/>
      <c r="V297" s="1457"/>
      <c r="W297" s="1462"/>
      <c r="X297" s="1496"/>
      <c r="Y297" s="1444"/>
    </row>
    <row r="298" spans="1:25" ht="12.75">
      <c r="A298" s="1497">
        <v>4120</v>
      </c>
      <c r="B298" s="1513" t="s">
        <v>803</v>
      </c>
      <c r="C298" s="1457">
        <v>266890</v>
      </c>
      <c r="D298" s="1457">
        <f t="shared" si="84"/>
        <v>266890</v>
      </c>
      <c r="E298" s="1458">
        <v>303170</v>
      </c>
      <c r="F298" s="1459">
        <f t="shared" si="85"/>
        <v>277600</v>
      </c>
      <c r="G298" s="1499">
        <f t="shared" si="81"/>
        <v>104.01288920529058</v>
      </c>
      <c r="H298" s="1499">
        <f t="shared" si="80"/>
        <v>104.01288920529058</v>
      </c>
      <c r="I298" s="1450"/>
      <c r="J298" s="1461">
        <v>266890</v>
      </c>
      <c r="K298" s="1457">
        <f>281200-3600</f>
        <v>277600</v>
      </c>
      <c r="L298" s="1457"/>
      <c r="M298" s="1457"/>
      <c r="N298" s="1457"/>
      <c r="O298" s="1457"/>
      <c r="P298" s="1462">
        <f t="shared" si="86"/>
        <v>277600</v>
      </c>
      <c r="Q298" s="1495">
        <f t="shared" si="87"/>
        <v>104.01288920529058</v>
      </c>
      <c r="R298" s="1461"/>
      <c r="S298" s="1457"/>
      <c r="T298" s="1457"/>
      <c r="U298" s="1457"/>
      <c r="V298" s="1457"/>
      <c r="W298" s="1462"/>
      <c r="X298" s="1496"/>
      <c r="Y298" s="1444"/>
    </row>
    <row r="299" spans="1:25" ht="12.75">
      <c r="A299" s="1497">
        <v>4170</v>
      </c>
      <c r="B299" s="1513" t="s">
        <v>804</v>
      </c>
      <c r="C299" s="1457"/>
      <c r="D299" s="1457">
        <f t="shared" si="84"/>
        <v>50000</v>
      </c>
      <c r="E299" s="1458">
        <v>50750</v>
      </c>
      <c r="F299" s="1459">
        <f t="shared" si="85"/>
        <v>50000</v>
      </c>
      <c r="G299" s="1499"/>
      <c r="H299" s="1499">
        <f t="shared" si="80"/>
        <v>100</v>
      </c>
      <c r="I299" s="1450"/>
      <c r="J299" s="1461">
        <v>50000</v>
      </c>
      <c r="K299" s="1457">
        <v>50000</v>
      </c>
      <c r="L299" s="1457"/>
      <c r="M299" s="1457"/>
      <c r="N299" s="1457"/>
      <c r="O299" s="1457"/>
      <c r="P299" s="1462">
        <f t="shared" si="86"/>
        <v>50000</v>
      </c>
      <c r="Q299" s="1495"/>
      <c r="R299" s="1461"/>
      <c r="S299" s="1457"/>
      <c r="T299" s="1457"/>
      <c r="U299" s="1457"/>
      <c r="V299" s="1457"/>
      <c r="W299" s="1462"/>
      <c r="X299" s="1496"/>
      <c r="Y299" s="1444"/>
    </row>
    <row r="300" spans="1:25" ht="12.75">
      <c r="A300" s="1497">
        <v>4170</v>
      </c>
      <c r="B300" s="1513" t="s">
        <v>805</v>
      </c>
      <c r="C300" s="1457"/>
      <c r="D300" s="1457">
        <f t="shared" si="84"/>
        <v>8710</v>
      </c>
      <c r="E300" s="1458"/>
      <c r="F300" s="1459">
        <f t="shared" si="85"/>
        <v>0</v>
      </c>
      <c r="G300" s="1499"/>
      <c r="H300" s="1499">
        <f t="shared" si="80"/>
        <v>0</v>
      </c>
      <c r="I300" s="1450"/>
      <c r="J300" s="1461">
        <v>8710</v>
      </c>
      <c r="K300" s="1457"/>
      <c r="L300" s="1457"/>
      <c r="M300" s="1457"/>
      <c r="N300" s="1457"/>
      <c r="O300" s="1457"/>
      <c r="P300" s="1462">
        <f t="shared" si="86"/>
        <v>0</v>
      </c>
      <c r="Q300" s="1495"/>
      <c r="R300" s="1461"/>
      <c r="S300" s="1457"/>
      <c r="T300" s="1457"/>
      <c r="U300" s="1457"/>
      <c r="V300" s="1457"/>
      <c r="W300" s="1462"/>
      <c r="X300" s="1496"/>
      <c r="Y300" s="1444"/>
    </row>
    <row r="301" spans="1:25" ht="12.75">
      <c r="A301" s="1497">
        <v>4140</v>
      </c>
      <c r="B301" s="1513" t="s">
        <v>722</v>
      </c>
      <c r="C301" s="1457">
        <v>10000</v>
      </c>
      <c r="D301" s="1457">
        <f t="shared" si="84"/>
        <v>50000</v>
      </c>
      <c r="E301" s="1458">
        <v>60000</v>
      </c>
      <c r="F301" s="1459">
        <f t="shared" si="85"/>
        <v>60000</v>
      </c>
      <c r="G301" s="1499">
        <f t="shared" si="81"/>
        <v>600</v>
      </c>
      <c r="H301" s="1499">
        <f t="shared" si="80"/>
        <v>120</v>
      </c>
      <c r="I301" s="1450"/>
      <c r="J301" s="1461">
        <v>50000</v>
      </c>
      <c r="K301" s="1457">
        <v>60000</v>
      </c>
      <c r="L301" s="1457"/>
      <c r="M301" s="1457"/>
      <c r="N301" s="1457"/>
      <c r="O301" s="1457"/>
      <c r="P301" s="1462">
        <f t="shared" si="86"/>
        <v>60000</v>
      </c>
      <c r="Q301" s="1495">
        <f t="shared" si="87"/>
        <v>120</v>
      </c>
      <c r="R301" s="1461"/>
      <c r="S301" s="1457"/>
      <c r="T301" s="1457"/>
      <c r="U301" s="1457"/>
      <c r="V301" s="1457"/>
      <c r="W301" s="1462"/>
      <c r="X301" s="1496"/>
      <c r="Y301" s="1444"/>
    </row>
    <row r="302" spans="1:25" ht="13.5" customHeight="1">
      <c r="A302" s="1497">
        <v>4210</v>
      </c>
      <c r="B302" s="1513" t="s">
        <v>560</v>
      </c>
      <c r="C302" s="1457">
        <f>SUM(C303:C307)</f>
        <v>669000</v>
      </c>
      <c r="D302" s="1457">
        <f>SUM(D303:D307)</f>
        <v>609000</v>
      </c>
      <c r="E302" s="1514">
        <f>SUM(E303:E307)</f>
        <v>620400</v>
      </c>
      <c r="F302" s="1457">
        <f>SUM(F303:F307)</f>
        <v>557000</v>
      </c>
      <c r="G302" s="1499">
        <f t="shared" si="81"/>
        <v>83.25859491778775</v>
      </c>
      <c r="H302" s="1499">
        <f t="shared" si="80"/>
        <v>91.46141215106732</v>
      </c>
      <c r="I302" s="1460"/>
      <c r="J302" s="1461">
        <f>SUM(J303:J307)</f>
        <v>609000</v>
      </c>
      <c r="K302" s="1457">
        <f>SUM(K303:K307)</f>
        <v>557000</v>
      </c>
      <c r="L302" s="1457">
        <f>SUM(L303:L307)</f>
        <v>0</v>
      </c>
      <c r="M302" s="1457">
        <f>SUM(M303:M307)</f>
        <v>0</v>
      </c>
      <c r="N302" s="1457">
        <f>SUM(N303:N307)</f>
        <v>0</v>
      </c>
      <c r="O302" s="1457"/>
      <c r="P302" s="1462">
        <f>SUM(P303:P307)</f>
        <v>557000</v>
      </c>
      <c r="Q302" s="1495">
        <f t="shared" si="87"/>
        <v>91.46141215106732</v>
      </c>
      <c r="R302" s="1461"/>
      <c r="S302" s="1457"/>
      <c r="T302" s="1457"/>
      <c r="U302" s="1457"/>
      <c r="V302" s="1457"/>
      <c r="W302" s="1462"/>
      <c r="X302" s="1496"/>
      <c r="Y302" s="1444"/>
    </row>
    <row r="303" spans="1:25" s="618" customFormat="1" ht="12" customHeight="1">
      <c r="A303" s="1521"/>
      <c r="B303" s="1522" t="s">
        <v>806</v>
      </c>
      <c r="C303" s="1523">
        <v>520000</v>
      </c>
      <c r="D303" s="1523">
        <f t="shared" si="84"/>
        <v>560000</v>
      </c>
      <c r="E303" s="1543">
        <v>568400</v>
      </c>
      <c r="F303" s="1544">
        <f t="shared" si="85"/>
        <v>520000</v>
      </c>
      <c r="G303" s="1538">
        <f t="shared" si="81"/>
        <v>100</v>
      </c>
      <c r="H303" s="1538">
        <f t="shared" si="80"/>
        <v>92.85714285714286</v>
      </c>
      <c r="I303" s="1450"/>
      <c r="J303" s="1526">
        <v>560000</v>
      </c>
      <c r="K303" s="1523">
        <v>520000</v>
      </c>
      <c r="L303" s="1523"/>
      <c r="M303" s="1523"/>
      <c r="N303" s="1523"/>
      <c r="O303" s="1523"/>
      <c r="P303" s="1527">
        <f t="shared" si="86"/>
        <v>520000</v>
      </c>
      <c r="Q303" s="1495">
        <f t="shared" si="87"/>
        <v>92.85714285714286</v>
      </c>
      <c r="R303" s="1526"/>
      <c r="S303" s="1523"/>
      <c r="T303" s="1523"/>
      <c r="U303" s="1523"/>
      <c r="V303" s="1523"/>
      <c r="W303" s="1527"/>
      <c r="X303" s="1529"/>
      <c r="Y303" s="1444"/>
    </row>
    <row r="304" spans="1:25" s="618" customFormat="1" ht="12" customHeight="1">
      <c r="A304" s="1521"/>
      <c r="B304" s="1522" t="s">
        <v>793</v>
      </c>
      <c r="C304" s="1523">
        <v>5000</v>
      </c>
      <c r="D304" s="1523">
        <f t="shared" si="84"/>
        <v>5000</v>
      </c>
      <c r="E304" s="1543">
        <f>5000+15000</f>
        <v>20000</v>
      </c>
      <c r="F304" s="1544">
        <f t="shared" si="85"/>
        <v>5000</v>
      </c>
      <c r="G304" s="1538">
        <f t="shared" si="81"/>
        <v>100</v>
      </c>
      <c r="H304" s="1538">
        <f t="shared" si="80"/>
        <v>100</v>
      </c>
      <c r="I304" s="1530"/>
      <c r="J304" s="1526">
        <v>5000</v>
      </c>
      <c r="K304" s="1523">
        <v>5000</v>
      </c>
      <c r="L304" s="1523"/>
      <c r="M304" s="1523"/>
      <c r="N304" s="1523"/>
      <c r="O304" s="1523"/>
      <c r="P304" s="1527">
        <f t="shared" si="86"/>
        <v>5000</v>
      </c>
      <c r="Q304" s="1528">
        <f t="shared" si="87"/>
        <v>100</v>
      </c>
      <c r="R304" s="1526"/>
      <c r="S304" s="1523"/>
      <c r="T304" s="1523"/>
      <c r="U304" s="1523"/>
      <c r="V304" s="1523"/>
      <c r="W304" s="1527"/>
      <c r="X304" s="1529"/>
      <c r="Y304" s="1444"/>
    </row>
    <row r="305" spans="1:25" s="618" customFormat="1" ht="12" customHeight="1">
      <c r="A305" s="1521"/>
      <c r="B305" s="1522" t="s">
        <v>807</v>
      </c>
      <c r="C305" s="1523">
        <v>100000</v>
      </c>
      <c r="D305" s="1523">
        <f t="shared" si="84"/>
        <v>0</v>
      </c>
      <c r="E305" s="1543"/>
      <c r="F305" s="1544">
        <f t="shared" si="85"/>
        <v>0</v>
      </c>
      <c r="G305" s="1538">
        <f t="shared" si="81"/>
        <v>0</v>
      </c>
      <c r="H305" s="1538"/>
      <c r="I305" s="1530"/>
      <c r="J305" s="1526">
        <v>0</v>
      </c>
      <c r="K305" s="1523"/>
      <c r="L305" s="1523"/>
      <c r="M305" s="1523"/>
      <c r="N305" s="1523"/>
      <c r="O305" s="1523"/>
      <c r="P305" s="1527">
        <f t="shared" si="86"/>
        <v>0</v>
      </c>
      <c r="Q305" s="1528" t="e">
        <f t="shared" si="87"/>
        <v>#DIV/0!</v>
      </c>
      <c r="R305" s="1526"/>
      <c r="S305" s="1523"/>
      <c r="T305" s="1523"/>
      <c r="U305" s="1523"/>
      <c r="V305" s="1523"/>
      <c r="W305" s="1527"/>
      <c r="X305" s="1529"/>
      <c r="Y305" s="1444"/>
    </row>
    <row r="306" spans="1:25" s="618" customFormat="1" ht="12" customHeight="1">
      <c r="A306" s="1521"/>
      <c r="B306" s="1522" t="s">
        <v>808</v>
      </c>
      <c r="C306" s="1523">
        <v>4000</v>
      </c>
      <c r="D306" s="1523">
        <f t="shared" si="84"/>
        <v>4000</v>
      </c>
      <c r="E306" s="1543">
        <v>4000</v>
      </c>
      <c r="F306" s="1544">
        <f>P306+W306</f>
        <v>4000</v>
      </c>
      <c r="G306" s="1538">
        <f t="shared" si="81"/>
        <v>100</v>
      </c>
      <c r="H306" s="1538">
        <f t="shared" si="80"/>
        <v>100</v>
      </c>
      <c r="I306" s="1530"/>
      <c r="J306" s="1526">
        <v>4000</v>
      </c>
      <c r="K306" s="1523">
        <v>4000</v>
      </c>
      <c r="L306" s="1523"/>
      <c r="M306" s="1523"/>
      <c r="N306" s="1523"/>
      <c r="O306" s="1523"/>
      <c r="P306" s="1527">
        <f t="shared" si="86"/>
        <v>4000</v>
      </c>
      <c r="Q306" s="1528">
        <f t="shared" si="87"/>
        <v>100</v>
      </c>
      <c r="R306" s="1526"/>
      <c r="S306" s="1523"/>
      <c r="T306" s="1523"/>
      <c r="U306" s="1523"/>
      <c r="V306" s="1523"/>
      <c r="W306" s="1527"/>
      <c r="X306" s="1529"/>
      <c r="Y306" s="1444"/>
    </row>
    <row r="307" spans="1:25" s="618" customFormat="1" ht="12" customHeight="1">
      <c r="A307" s="1521"/>
      <c r="B307" s="1522" t="s">
        <v>809</v>
      </c>
      <c r="C307" s="1523">
        <v>40000</v>
      </c>
      <c r="D307" s="1523">
        <f t="shared" si="84"/>
        <v>40000</v>
      </c>
      <c r="E307" s="1543">
        <v>28000</v>
      </c>
      <c r="F307" s="1544">
        <f t="shared" si="85"/>
        <v>28000</v>
      </c>
      <c r="G307" s="1538">
        <f t="shared" si="81"/>
        <v>70</v>
      </c>
      <c r="H307" s="1538">
        <f t="shared" si="80"/>
        <v>70</v>
      </c>
      <c r="I307" s="1530"/>
      <c r="J307" s="1526">
        <v>40000</v>
      </c>
      <c r="K307" s="1523">
        <v>28000</v>
      </c>
      <c r="L307" s="1523"/>
      <c r="M307" s="1523"/>
      <c r="N307" s="1523"/>
      <c r="O307" s="1523"/>
      <c r="P307" s="1527">
        <f t="shared" si="86"/>
        <v>28000</v>
      </c>
      <c r="Q307" s="1528">
        <f t="shared" si="87"/>
        <v>70</v>
      </c>
      <c r="R307" s="1526"/>
      <c r="S307" s="1523"/>
      <c r="T307" s="1523"/>
      <c r="U307" s="1523"/>
      <c r="V307" s="1523"/>
      <c r="W307" s="1527"/>
      <c r="X307" s="1529"/>
      <c r="Y307" s="1444"/>
    </row>
    <row r="308" spans="1:25" ht="24">
      <c r="A308" s="1497">
        <v>4240</v>
      </c>
      <c r="B308" s="1513" t="s">
        <v>810</v>
      </c>
      <c r="C308" s="1457">
        <v>6900</v>
      </c>
      <c r="D308" s="1457">
        <f t="shared" si="84"/>
        <v>10900</v>
      </c>
      <c r="E308" s="1458">
        <v>11060</v>
      </c>
      <c r="F308" s="1459">
        <f t="shared" si="85"/>
        <v>7000</v>
      </c>
      <c r="G308" s="1499">
        <f t="shared" si="81"/>
        <v>101.44927536231884</v>
      </c>
      <c r="H308" s="1499">
        <f t="shared" si="80"/>
        <v>64.22018348623854</v>
      </c>
      <c r="I308" s="1450"/>
      <c r="J308" s="1461">
        <v>10900</v>
      </c>
      <c r="K308" s="1457">
        <v>7000</v>
      </c>
      <c r="L308" s="1457"/>
      <c r="M308" s="1457"/>
      <c r="N308" s="1457"/>
      <c r="O308" s="1457"/>
      <c r="P308" s="1462">
        <f t="shared" si="86"/>
        <v>7000</v>
      </c>
      <c r="Q308" s="1495">
        <f t="shared" si="87"/>
        <v>64.22018348623854</v>
      </c>
      <c r="R308" s="1461"/>
      <c r="S308" s="1457"/>
      <c r="T308" s="1457"/>
      <c r="U308" s="1457"/>
      <c r="V308" s="1457"/>
      <c r="W308" s="1462"/>
      <c r="X308" s="1496"/>
      <c r="Y308" s="1444"/>
    </row>
    <row r="309" spans="1:25" ht="12.75">
      <c r="A309" s="1497">
        <v>4260</v>
      </c>
      <c r="B309" s="1513" t="s">
        <v>575</v>
      </c>
      <c r="C309" s="1457">
        <v>400000</v>
      </c>
      <c r="D309" s="1457">
        <f t="shared" si="84"/>
        <v>400000</v>
      </c>
      <c r="E309" s="1458">
        <v>406000</v>
      </c>
      <c r="F309" s="1459">
        <f t="shared" si="85"/>
        <v>406000</v>
      </c>
      <c r="G309" s="1499">
        <f t="shared" si="81"/>
        <v>101.49999999999999</v>
      </c>
      <c r="H309" s="1499">
        <f t="shared" si="80"/>
        <v>101.49999999999999</v>
      </c>
      <c r="I309" s="1450"/>
      <c r="J309" s="1461">
        <v>400000</v>
      </c>
      <c r="K309" s="1457">
        <v>406000</v>
      </c>
      <c r="L309" s="1457"/>
      <c r="M309" s="1457"/>
      <c r="N309" s="1457"/>
      <c r="O309" s="1457"/>
      <c r="P309" s="1462">
        <f t="shared" si="86"/>
        <v>406000</v>
      </c>
      <c r="Q309" s="1495">
        <f t="shared" si="87"/>
        <v>101.49999999999999</v>
      </c>
      <c r="R309" s="1461"/>
      <c r="S309" s="1457"/>
      <c r="T309" s="1457"/>
      <c r="U309" s="1457"/>
      <c r="V309" s="1457"/>
      <c r="W309" s="1462"/>
      <c r="X309" s="1496"/>
      <c r="Y309" s="1444"/>
    </row>
    <row r="310" spans="1:25" ht="12.75">
      <c r="A310" s="1497">
        <v>4270</v>
      </c>
      <c r="B310" s="1513" t="s">
        <v>811</v>
      </c>
      <c r="C310" s="1457">
        <v>610000</v>
      </c>
      <c r="D310" s="1457">
        <f t="shared" si="84"/>
        <v>520000</v>
      </c>
      <c r="E310" s="1458">
        <v>520000</v>
      </c>
      <c r="F310" s="1459">
        <f t="shared" si="85"/>
        <v>520000</v>
      </c>
      <c r="G310" s="1499">
        <f t="shared" si="81"/>
        <v>85.24590163934425</v>
      </c>
      <c r="H310" s="1499">
        <f t="shared" si="80"/>
        <v>100</v>
      </c>
      <c r="I310" s="1450"/>
      <c r="J310" s="1461">
        <f>610000-90000</f>
        <v>520000</v>
      </c>
      <c r="K310" s="1457"/>
      <c r="L310" s="1457"/>
      <c r="M310" s="1457"/>
      <c r="N310" s="1457">
        <v>520000</v>
      </c>
      <c r="O310" s="1457"/>
      <c r="P310" s="1462">
        <f t="shared" si="86"/>
        <v>520000</v>
      </c>
      <c r="Q310" s="1495">
        <f t="shared" si="87"/>
        <v>100</v>
      </c>
      <c r="R310" s="1461"/>
      <c r="S310" s="1457"/>
      <c r="T310" s="1457"/>
      <c r="U310" s="1457"/>
      <c r="V310" s="1457"/>
      <c r="W310" s="1462"/>
      <c r="X310" s="1496"/>
      <c r="Y310" s="1444"/>
    </row>
    <row r="311" spans="1:25" ht="12.75">
      <c r="A311" s="1497">
        <v>4270</v>
      </c>
      <c r="B311" s="1513" t="s">
        <v>812</v>
      </c>
      <c r="C311" s="1457">
        <v>90000</v>
      </c>
      <c r="D311" s="1457">
        <f t="shared" si="84"/>
        <v>90000</v>
      </c>
      <c r="E311" s="1458">
        <v>35000</v>
      </c>
      <c r="F311" s="1459">
        <f t="shared" si="85"/>
        <v>35000</v>
      </c>
      <c r="G311" s="1499">
        <f t="shared" si="81"/>
        <v>38.88888888888889</v>
      </c>
      <c r="H311" s="1499">
        <f t="shared" si="80"/>
        <v>38.88888888888889</v>
      </c>
      <c r="I311" s="1450"/>
      <c r="J311" s="1461">
        <f>90000</f>
        <v>90000</v>
      </c>
      <c r="K311" s="1457"/>
      <c r="L311" s="1457"/>
      <c r="M311" s="1457"/>
      <c r="N311" s="1457">
        <v>35000</v>
      </c>
      <c r="O311" s="1457"/>
      <c r="P311" s="1462">
        <f t="shared" si="86"/>
        <v>35000</v>
      </c>
      <c r="Q311" s="1495">
        <f t="shared" si="87"/>
        <v>38.88888888888889</v>
      </c>
      <c r="R311" s="1461"/>
      <c r="S311" s="1457"/>
      <c r="T311" s="1457"/>
      <c r="U311" s="1457"/>
      <c r="V311" s="1457"/>
      <c r="W311" s="1462"/>
      <c r="X311" s="1496"/>
      <c r="Y311" s="1444"/>
    </row>
    <row r="312" spans="1:25" ht="12.75">
      <c r="A312" s="1497">
        <v>4280</v>
      </c>
      <c r="B312" s="1513" t="s">
        <v>813</v>
      </c>
      <c r="C312" s="1457"/>
      <c r="D312" s="1457"/>
      <c r="E312" s="1458">
        <v>14000</v>
      </c>
      <c r="F312" s="1459">
        <f t="shared" si="85"/>
        <v>13000</v>
      </c>
      <c r="G312" s="1499"/>
      <c r="H312" s="1499"/>
      <c r="I312" s="1450"/>
      <c r="J312" s="1461"/>
      <c r="K312" s="1457">
        <v>13000</v>
      </c>
      <c r="L312" s="1457"/>
      <c r="M312" s="1457"/>
      <c r="N312" s="1457"/>
      <c r="O312" s="1457"/>
      <c r="P312" s="1462">
        <f t="shared" si="86"/>
        <v>13000</v>
      </c>
      <c r="Q312" s="1495"/>
      <c r="R312" s="1461"/>
      <c r="S312" s="1457"/>
      <c r="T312" s="1457"/>
      <c r="U312" s="1457"/>
      <c r="V312" s="1457"/>
      <c r="W312" s="1462"/>
      <c r="X312" s="1496"/>
      <c r="Y312" s="1444"/>
    </row>
    <row r="313" spans="1:25" ht="15.75" customHeight="1">
      <c r="A313" s="1497">
        <v>4300</v>
      </c>
      <c r="B313" s="1513" t="s">
        <v>814</v>
      </c>
      <c r="C313" s="1457">
        <f>SUM(C314:C319)</f>
        <v>2516700</v>
      </c>
      <c r="D313" s="1457">
        <f t="shared" si="84"/>
        <v>1587793</v>
      </c>
      <c r="E313" s="1458">
        <f>SUM(E314:E319)</f>
        <v>1725771</v>
      </c>
      <c r="F313" s="1459">
        <f t="shared" si="85"/>
        <v>1705790</v>
      </c>
      <c r="G313" s="1499">
        <f t="shared" si="81"/>
        <v>67.7788373663925</v>
      </c>
      <c r="H313" s="1499">
        <f t="shared" si="80"/>
        <v>107.43151027873282</v>
      </c>
      <c r="I313" s="1450"/>
      <c r="J313" s="1461">
        <f aca="true" t="shared" si="88" ref="J313:P313">SUM(J314:J319)</f>
        <v>1587793</v>
      </c>
      <c r="K313" s="1457">
        <f t="shared" si="88"/>
        <v>1705790</v>
      </c>
      <c r="L313" s="1457">
        <f t="shared" si="88"/>
        <v>0</v>
      </c>
      <c r="M313" s="1457">
        <f t="shared" si="88"/>
        <v>0</v>
      </c>
      <c r="N313" s="1457">
        <f t="shared" si="88"/>
        <v>0</v>
      </c>
      <c r="O313" s="1457"/>
      <c r="P313" s="1462">
        <f t="shared" si="88"/>
        <v>1705790</v>
      </c>
      <c r="Q313" s="1495">
        <f t="shared" si="87"/>
        <v>107.43151027873282</v>
      </c>
      <c r="R313" s="1461"/>
      <c r="S313" s="1457"/>
      <c r="T313" s="1457"/>
      <c r="U313" s="1457"/>
      <c r="V313" s="1457"/>
      <c r="W313" s="1462"/>
      <c r="X313" s="1496"/>
      <c r="Y313" s="1444"/>
    </row>
    <row r="314" spans="1:25" s="618" customFormat="1" ht="14.25" customHeight="1">
      <c r="A314" s="1521"/>
      <c r="B314" s="1522" t="s">
        <v>815</v>
      </c>
      <c r="C314" s="1523">
        <v>16700</v>
      </c>
      <c r="D314" s="1457">
        <f t="shared" si="84"/>
        <v>26700</v>
      </c>
      <c r="E314" s="1543">
        <v>30000</v>
      </c>
      <c r="F314" s="1544">
        <f t="shared" si="85"/>
        <v>30000</v>
      </c>
      <c r="G314" s="1538">
        <f t="shared" si="81"/>
        <v>179.64071856287424</v>
      </c>
      <c r="H314" s="1538">
        <f t="shared" si="80"/>
        <v>112.35955056179776</v>
      </c>
      <c r="I314" s="1530"/>
      <c r="J314" s="1526">
        <v>26700</v>
      </c>
      <c r="K314" s="1523">
        <v>30000</v>
      </c>
      <c r="L314" s="1523"/>
      <c r="M314" s="1523"/>
      <c r="N314" s="1523"/>
      <c r="O314" s="1523"/>
      <c r="P314" s="1527">
        <f t="shared" si="86"/>
        <v>30000</v>
      </c>
      <c r="Q314" s="1528">
        <f t="shared" si="87"/>
        <v>112.35955056179776</v>
      </c>
      <c r="R314" s="1526"/>
      <c r="S314" s="1523"/>
      <c r="T314" s="1523"/>
      <c r="U314" s="1523"/>
      <c r="V314" s="1523"/>
      <c r="W314" s="1462"/>
      <c r="X314" s="1496"/>
      <c r="Y314" s="1444"/>
    </row>
    <row r="315" spans="1:25" s="618" customFormat="1" ht="14.25" customHeight="1">
      <c r="A315" s="1521"/>
      <c r="B315" s="1522" t="s">
        <v>816</v>
      </c>
      <c r="C315" s="1523">
        <v>800000</v>
      </c>
      <c r="D315" s="1457">
        <f t="shared" si="84"/>
        <v>0</v>
      </c>
      <c r="E315" s="1543"/>
      <c r="F315" s="1544">
        <f t="shared" si="85"/>
        <v>0</v>
      </c>
      <c r="G315" s="1538">
        <f t="shared" si="81"/>
        <v>0</v>
      </c>
      <c r="H315" s="1538"/>
      <c r="I315" s="1530"/>
      <c r="J315" s="1526">
        <v>0</v>
      </c>
      <c r="K315" s="1523"/>
      <c r="L315" s="1523"/>
      <c r="M315" s="1523"/>
      <c r="N315" s="1523"/>
      <c r="O315" s="1523"/>
      <c r="P315" s="1527">
        <f t="shared" si="86"/>
        <v>0</v>
      </c>
      <c r="Q315" s="1528" t="e">
        <f t="shared" si="87"/>
        <v>#DIV/0!</v>
      </c>
      <c r="R315" s="1526"/>
      <c r="S315" s="1523"/>
      <c r="T315" s="1523"/>
      <c r="U315" s="1523"/>
      <c r="V315" s="1523"/>
      <c r="W315" s="1462"/>
      <c r="X315" s="1496"/>
      <c r="Y315" s="1444"/>
    </row>
    <row r="316" spans="1:25" s="618" customFormat="1" ht="14.25" customHeight="1">
      <c r="A316" s="1521"/>
      <c r="B316" s="1522" t="s">
        <v>817</v>
      </c>
      <c r="C316" s="1523">
        <v>1465000</v>
      </c>
      <c r="D316" s="1457">
        <f t="shared" si="84"/>
        <v>1359593</v>
      </c>
      <c r="E316" s="1543">
        <v>1379980</v>
      </c>
      <c r="F316" s="1544">
        <f t="shared" si="85"/>
        <v>1360000</v>
      </c>
      <c r="G316" s="1538">
        <f t="shared" si="81"/>
        <v>92.83276450511946</v>
      </c>
      <c r="H316" s="1538">
        <f t="shared" si="80"/>
        <v>100.02993542920566</v>
      </c>
      <c r="I316" s="1530"/>
      <c r="J316" s="1526">
        <v>1359593</v>
      </c>
      <c r="K316" s="1523">
        <v>1360000</v>
      </c>
      <c r="L316" s="1523"/>
      <c r="M316" s="1523"/>
      <c r="N316" s="1523"/>
      <c r="O316" s="1523"/>
      <c r="P316" s="1527">
        <f t="shared" si="86"/>
        <v>1360000</v>
      </c>
      <c r="Q316" s="1528">
        <f t="shared" si="87"/>
        <v>100.02993542920566</v>
      </c>
      <c r="R316" s="1526"/>
      <c r="S316" s="1523"/>
      <c r="T316" s="1523"/>
      <c r="U316" s="1523"/>
      <c r="V316" s="1523"/>
      <c r="W316" s="1462"/>
      <c r="X316" s="1496"/>
      <c r="Y316" s="1444"/>
    </row>
    <row r="317" spans="1:25" s="618" customFormat="1" ht="14.25" customHeight="1">
      <c r="A317" s="1521"/>
      <c r="B317" s="1522" t="s">
        <v>818</v>
      </c>
      <c r="C317" s="1523">
        <v>9000</v>
      </c>
      <c r="D317" s="1457">
        <f t="shared" si="84"/>
        <v>0</v>
      </c>
      <c r="E317" s="1543"/>
      <c r="F317" s="1544">
        <f t="shared" si="85"/>
        <v>0</v>
      </c>
      <c r="G317" s="1538">
        <f t="shared" si="81"/>
        <v>0</v>
      </c>
      <c r="H317" s="1538"/>
      <c r="I317" s="1530"/>
      <c r="J317" s="1526">
        <v>0</v>
      </c>
      <c r="K317" s="1523"/>
      <c r="L317" s="1523"/>
      <c r="M317" s="1523"/>
      <c r="N317" s="1523"/>
      <c r="O317" s="1523"/>
      <c r="P317" s="1527">
        <f t="shared" si="86"/>
        <v>0</v>
      </c>
      <c r="Q317" s="1528" t="e">
        <f t="shared" si="87"/>
        <v>#DIV/0!</v>
      </c>
      <c r="R317" s="1526"/>
      <c r="S317" s="1523"/>
      <c r="T317" s="1523"/>
      <c r="U317" s="1523"/>
      <c r="V317" s="1523"/>
      <c r="W317" s="1462"/>
      <c r="X317" s="1496"/>
      <c r="Y317" s="1444"/>
    </row>
    <row r="318" spans="1:25" s="618" customFormat="1" ht="14.25" customHeight="1">
      <c r="A318" s="1521"/>
      <c r="B318" s="1522" t="s">
        <v>795</v>
      </c>
      <c r="C318" s="1523">
        <v>13000</v>
      </c>
      <c r="D318" s="1457">
        <f t="shared" si="84"/>
        <v>13000</v>
      </c>
      <c r="E318" s="1543"/>
      <c r="F318" s="1544">
        <f t="shared" si="85"/>
        <v>0</v>
      </c>
      <c r="G318" s="1538">
        <f t="shared" si="81"/>
        <v>0</v>
      </c>
      <c r="H318" s="1538">
        <f t="shared" si="80"/>
        <v>0</v>
      </c>
      <c r="I318" s="1530"/>
      <c r="J318" s="1526">
        <v>13000</v>
      </c>
      <c r="K318" s="1523"/>
      <c r="L318" s="1523"/>
      <c r="M318" s="1523"/>
      <c r="N318" s="1523"/>
      <c r="O318" s="1523"/>
      <c r="P318" s="1527">
        <f t="shared" si="86"/>
        <v>0</v>
      </c>
      <c r="Q318" s="1528">
        <f t="shared" si="87"/>
        <v>0</v>
      </c>
      <c r="R318" s="1526"/>
      <c r="S318" s="1523"/>
      <c r="T318" s="1523"/>
      <c r="U318" s="1523"/>
      <c r="V318" s="1523"/>
      <c r="W318" s="1462"/>
      <c r="X318" s="1496"/>
      <c r="Y318" s="1444"/>
    </row>
    <row r="319" spans="1:25" s="618" customFormat="1" ht="12.75">
      <c r="A319" s="1521"/>
      <c r="B319" s="1522" t="s">
        <v>819</v>
      </c>
      <c r="C319" s="1523">
        <v>213000</v>
      </c>
      <c r="D319" s="1457">
        <f t="shared" si="84"/>
        <v>188500</v>
      </c>
      <c r="E319" s="1543">
        <v>315791</v>
      </c>
      <c r="F319" s="1544">
        <f t="shared" si="85"/>
        <v>315790</v>
      </c>
      <c r="G319" s="1538">
        <f t="shared" si="81"/>
        <v>148.2582159624413</v>
      </c>
      <c r="H319" s="1538">
        <f t="shared" si="80"/>
        <v>167.52785145888595</v>
      </c>
      <c r="I319" s="1530"/>
      <c r="J319" s="1526">
        <v>188500</v>
      </c>
      <c r="K319" s="1523">
        <v>315790</v>
      </c>
      <c r="L319" s="1523"/>
      <c r="M319" s="1523"/>
      <c r="N319" s="1523"/>
      <c r="O319" s="1523"/>
      <c r="P319" s="1527">
        <f t="shared" si="86"/>
        <v>315790</v>
      </c>
      <c r="Q319" s="1528">
        <f t="shared" si="87"/>
        <v>167.52785145888595</v>
      </c>
      <c r="R319" s="1526"/>
      <c r="S319" s="1523"/>
      <c r="T319" s="1523"/>
      <c r="U319" s="1523"/>
      <c r="V319" s="1523"/>
      <c r="W319" s="1462"/>
      <c r="X319" s="1496"/>
      <c r="Y319" s="1444"/>
    </row>
    <row r="320" spans="1:25" ht="12.75">
      <c r="A320" s="1497">
        <v>4350</v>
      </c>
      <c r="B320" s="1513" t="s">
        <v>820</v>
      </c>
      <c r="C320" s="1457">
        <f>SUM(C321:C322)</f>
        <v>0</v>
      </c>
      <c r="D320" s="1457">
        <f t="shared" si="84"/>
        <v>33500</v>
      </c>
      <c r="E320" s="1458">
        <f>SUM(E321:E322)</f>
        <v>43000</v>
      </c>
      <c r="F320" s="1459">
        <f t="shared" si="85"/>
        <v>35000</v>
      </c>
      <c r="G320" s="1499"/>
      <c r="H320" s="1499">
        <f t="shared" si="80"/>
        <v>104.4776119402985</v>
      </c>
      <c r="I320" s="1450"/>
      <c r="J320" s="1461">
        <f>SUM(J321:J322)</f>
        <v>33500</v>
      </c>
      <c r="K320" s="1457">
        <f>SUM(K321:K322)</f>
        <v>35000</v>
      </c>
      <c r="L320" s="1457"/>
      <c r="M320" s="1457"/>
      <c r="N320" s="1457"/>
      <c r="O320" s="1457"/>
      <c r="P320" s="1462">
        <f t="shared" si="86"/>
        <v>35000</v>
      </c>
      <c r="Q320" s="1495">
        <f t="shared" si="87"/>
        <v>104.4776119402985</v>
      </c>
      <c r="R320" s="1461"/>
      <c r="S320" s="1457"/>
      <c r="T320" s="1457"/>
      <c r="U320" s="1457"/>
      <c r="V320" s="1457"/>
      <c r="W320" s="1462"/>
      <c r="X320" s="1496"/>
      <c r="Y320" s="1444"/>
    </row>
    <row r="321" spans="1:25" s="618" customFormat="1" ht="12.75">
      <c r="A321" s="1521"/>
      <c r="B321" s="1522" t="s">
        <v>818</v>
      </c>
      <c r="C321" s="1523"/>
      <c r="D321" s="1523">
        <f t="shared" si="84"/>
        <v>9000</v>
      </c>
      <c r="E321" s="1543">
        <v>15000</v>
      </c>
      <c r="F321" s="1544">
        <f t="shared" si="85"/>
        <v>10000</v>
      </c>
      <c r="G321" s="1538"/>
      <c r="H321" s="1538">
        <f t="shared" si="80"/>
        <v>111.11111111111111</v>
      </c>
      <c r="I321" s="1530"/>
      <c r="J321" s="1526">
        <v>9000</v>
      </c>
      <c r="K321" s="1523">
        <v>10000</v>
      </c>
      <c r="L321" s="1523"/>
      <c r="M321" s="1523"/>
      <c r="N321" s="1523"/>
      <c r="O321" s="1523"/>
      <c r="P321" s="1527">
        <f t="shared" si="86"/>
        <v>10000</v>
      </c>
      <c r="Q321" s="1528"/>
      <c r="R321" s="1526"/>
      <c r="S321" s="1523"/>
      <c r="T321" s="1523"/>
      <c r="U321" s="1523"/>
      <c r="V321" s="1523"/>
      <c r="W321" s="1527"/>
      <c r="X321" s="1529"/>
      <c r="Y321" s="1305"/>
    </row>
    <row r="322" spans="1:25" s="618" customFormat="1" ht="12.75">
      <c r="A322" s="1521"/>
      <c r="B322" s="1522" t="s">
        <v>819</v>
      </c>
      <c r="C322" s="1523"/>
      <c r="D322" s="1523">
        <f t="shared" si="84"/>
        <v>24500</v>
      </c>
      <c r="E322" s="1543">
        <v>28000</v>
      </c>
      <c r="F322" s="1544">
        <f t="shared" si="85"/>
        <v>25000</v>
      </c>
      <c r="G322" s="1538"/>
      <c r="H322" s="1538">
        <f t="shared" si="80"/>
        <v>102.04081632653062</v>
      </c>
      <c r="I322" s="1530"/>
      <c r="J322" s="1526">
        <v>24500</v>
      </c>
      <c r="K322" s="1523">
        <v>25000</v>
      </c>
      <c r="L322" s="1523"/>
      <c r="M322" s="1523"/>
      <c r="N322" s="1523"/>
      <c r="O322" s="1523"/>
      <c r="P322" s="1527">
        <f t="shared" si="86"/>
        <v>25000</v>
      </c>
      <c r="Q322" s="1528"/>
      <c r="R322" s="1526"/>
      <c r="S322" s="1523"/>
      <c r="T322" s="1523"/>
      <c r="U322" s="1523"/>
      <c r="V322" s="1523"/>
      <c r="W322" s="1527"/>
      <c r="X322" s="1529"/>
      <c r="Y322" s="1305"/>
    </row>
    <row r="323" spans="1:25" ht="12.75">
      <c r="A323" s="1497">
        <v>4410</v>
      </c>
      <c r="B323" s="1513" t="s">
        <v>618</v>
      </c>
      <c r="C323" s="1457">
        <v>170000</v>
      </c>
      <c r="D323" s="1457">
        <f t="shared" si="84"/>
        <v>170000</v>
      </c>
      <c r="E323" s="1458">
        <v>172550</v>
      </c>
      <c r="F323" s="1459">
        <f t="shared" si="85"/>
        <v>170000</v>
      </c>
      <c r="G323" s="1499">
        <f t="shared" si="81"/>
        <v>100</v>
      </c>
      <c r="H323" s="1499">
        <f t="shared" si="80"/>
        <v>100</v>
      </c>
      <c r="I323" s="1450"/>
      <c r="J323" s="1461">
        <v>170000</v>
      </c>
      <c r="K323" s="1457">
        <v>170000</v>
      </c>
      <c r="L323" s="1457"/>
      <c r="M323" s="1457"/>
      <c r="N323" s="1457"/>
      <c r="O323" s="1457"/>
      <c r="P323" s="1462">
        <f t="shared" si="86"/>
        <v>170000</v>
      </c>
      <c r="Q323" s="1495"/>
      <c r="R323" s="1461"/>
      <c r="S323" s="1457"/>
      <c r="T323" s="1457"/>
      <c r="U323" s="1457"/>
      <c r="V323" s="1457"/>
      <c r="W323" s="1462"/>
      <c r="X323" s="1496"/>
      <c r="Y323" s="1444"/>
    </row>
    <row r="324" spans="1:25" ht="12.75">
      <c r="A324" s="1497">
        <v>4420</v>
      </c>
      <c r="B324" s="1513" t="s">
        <v>821</v>
      </c>
      <c r="C324" s="1457">
        <v>65000</v>
      </c>
      <c r="D324" s="1457">
        <f t="shared" si="84"/>
        <v>65000</v>
      </c>
      <c r="E324" s="1458">
        <v>100000</v>
      </c>
      <c r="F324" s="1459">
        <f t="shared" si="85"/>
        <v>65000</v>
      </c>
      <c r="G324" s="1499">
        <f t="shared" si="81"/>
        <v>100</v>
      </c>
      <c r="H324" s="1499">
        <f t="shared" si="80"/>
        <v>100</v>
      </c>
      <c r="I324" s="1450"/>
      <c r="J324" s="1461">
        <v>65000</v>
      </c>
      <c r="K324" s="1457">
        <v>65000</v>
      </c>
      <c r="L324" s="1457"/>
      <c r="M324" s="1457"/>
      <c r="N324" s="1457"/>
      <c r="O324" s="1457"/>
      <c r="P324" s="1462">
        <f t="shared" si="86"/>
        <v>65000</v>
      </c>
      <c r="Q324" s="1495">
        <f t="shared" si="87"/>
        <v>100</v>
      </c>
      <c r="R324" s="1461"/>
      <c r="S324" s="1457"/>
      <c r="T324" s="1457"/>
      <c r="U324" s="1457"/>
      <c r="V324" s="1457"/>
      <c r="W324" s="1462"/>
      <c r="X324" s="1496"/>
      <c r="Y324" s="1444"/>
    </row>
    <row r="325" spans="1:25" ht="12.75">
      <c r="A325" s="1497">
        <v>4430</v>
      </c>
      <c r="B325" s="1513" t="s">
        <v>582</v>
      </c>
      <c r="C325" s="1457">
        <v>67300</v>
      </c>
      <c r="D325" s="1457">
        <f t="shared" si="84"/>
        <v>67300</v>
      </c>
      <c r="E325" s="1458">
        <v>68310</v>
      </c>
      <c r="F325" s="1459">
        <f t="shared" si="85"/>
        <v>68310</v>
      </c>
      <c r="G325" s="1499">
        <f t="shared" si="81"/>
        <v>101.50074294205052</v>
      </c>
      <c r="H325" s="1499">
        <f t="shared" si="80"/>
        <v>101.50074294205052</v>
      </c>
      <c r="I325" s="1450"/>
      <c r="J325" s="1461">
        <v>67300</v>
      </c>
      <c r="K325" s="1457">
        <v>68310</v>
      </c>
      <c r="L325" s="1457"/>
      <c r="M325" s="1457"/>
      <c r="N325" s="1457"/>
      <c r="O325" s="1457"/>
      <c r="P325" s="1462">
        <f t="shared" si="86"/>
        <v>68310</v>
      </c>
      <c r="Q325" s="1495">
        <f t="shared" si="87"/>
        <v>101.50074294205052</v>
      </c>
      <c r="R325" s="1461"/>
      <c r="S325" s="1457"/>
      <c r="T325" s="1457"/>
      <c r="U325" s="1457"/>
      <c r="V325" s="1457"/>
      <c r="W325" s="1462"/>
      <c r="X325" s="1496"/>
      <c r="Y325" s="1444"/>
    </row>
    <row r="326" spans="1:25" ht="12.75">
      <c r="A326" s="1497">
        <v>4440</v>
      </c>
      <c r="B326" s="1513" t="s">
        <v>641</v>
      </c>
      <c r="C326" s="1457">
        <v>232940</v>
      </c>
      <c r="D326" s="1457">
        <f t="shared" si="84"/>
        <v>232940</v>
      </c>
      <c r="E326" s="1458">
        <v>256760</v>
      </c>
      <c r="F326" s="1459">
        <f t="shared" si="85"/>
        <v>242710</v>
      </c>
      <c r="G326" s="1499">
        <f t="shared" si="81"/>
        <v>104.19421310208637</v>
      </c>
      <c r="H326" s="1499">
        <f t="shared" si="80"/>
        <v>104.19421310208637</v>
      </c>
      <c r="I326" s="1450"/>
      <c r="J326" s="1461">
        <v>232940</v>
      </c>
      <c r="K326" s="1457">
        <f>256760-14050</f>
        <v>242710</v>
      </c>
      <c r="L326" s="1457"/>
      <c r="M326" s="1457"/>
      <c r="N326" s="1457"/>
      <c r="O326" s="1457"/>
      <c r="P326" s="1462">
        <f t="shared" si="86"/>
        <v>242710</v>
      </c>
      <c r="Q326" s="1495">
        <f t="shared" si="87"/>
        <v>104.19421310208637</v>
      </c>
      <c r="R326" s="1461"/>
      <c r="S326" s="1457"/>
      <c r="T326" s="1457"/>
      <c r="U326" s="1457"/>
      <c r="V326" s="1457"/>
      <c r="W326" s="1462"/>
      <c r="X326" s="1496"/>
      <c r="Y326" s="1444"/>
    </row>
    <row r="327" spans="1:25" ht="12.75">
      <c r="A327" s="1497">
        <v>4580</v>
      </c>
      <c r="B327" s="1513" t="s">
        <v>727</v>
      </c>
      <c r="C327" s="1457">
        <v>5000</v>
      </c>
      <c r="D327" s="1457">
        <f t="shared" si="84"/>
        <v>5000</v>
      </c>
      <c r="E327" s="1458">
        <v>5080</v>
      </c>
      <c r="F327" s="1459">
        <f t="shared" si="85"/>
        <v>5000</v>
      </c>
      <c r="G327" s="1499">
        <f t="shared" si="81"/>
        <v>100</v>
      </c>
      <c r="H327" s="1499">
        <f t="shared" si="80"/>
        <v>100</v>
      </c>
      <c r="I327" s="1450"/>
      <c r="J327" s="1461">
        <v>5000</v>
      </c>
      <c r="K327" s="1457">
        <v>5000</v>
      </c>
      <c r="L327" s="1457"/>
      <c r="M327" s="1457"/>
      <c r="N327" s="1457"/>
      <c r="O327" s="1457"/>
      <c r="P327" s="1462">
        <f t="shared" si="86"/>
        <v>5000</v>
      </c>
      <c r="Q327" s="1495">
        <f t="shared" si="87"/>
        <v>100</v>
      </c>
      <c r="R327" s="1461"/>
      <c r="S327" s="1457"/>
      <c r="T327" s="1457"/>
      <c r="U327" s="1457"/>
      <c r="V327" s="1457"/>
      <c r="W327" s="1462"/>
      <c r="X327" s="1496"/>
      <c r="Y327" s="1444"/>
    </row>
    <row r="328" spans="1:25" ht="12.75">
      <c r="A328" s="1497">
        <v>4610</v>
      </c>
      <c r="B328" s="1513" t="s">
        <v>822</v>
      </c>
      <c r="C328" s="1457">
        <f>48000-3400</f>
        <v>44600</v>
      </c>
      <c r="D328" s="1457">
        <f t="shared" si="84"/>
        <v>64600</v>
      </c>
      <c r="E328" s="1458"/>
      <c r="F328" s="1459">
        <f t="shared" si="85"/>
        <v>50000</v>
      </c>
      <c r="G328" s="1499">
        <f t="shared" si="81"/>
        <v>112.10762331838563</v>
      </c>
      <c r="H328" s="1499">
        <f t="shared" si="80"/>
        <v>77.39938080495357</v>
      </c>
      <c r="I328" s="1450"/>
      <c r="J328" s="1461">
        <v>64600</v>
      </c>
      <c r="K328" s="1457">
        <v>50000</v>
      </c>
      <c r="L328" s="1457"/>
      <c r="M328" s="1457"/>
      <c r="N328" s="1457"/>
      <c r="O328" s="1457"/>
      <c r="P328" s="1462">
        <f t="shared" si="86"/>
        <v>50000</v>
      </c>
      <c r="Q328" s="1495">
        <f t="shared" si="87"/>
        <v>77.39938080495357</v>
      </c>
      <c r="R328" s="1461"/>
      <c r="S328" s="1457"/>
      <c r="T328" s="1457"/>
      <c r="U328" s="1457"/>
      <c r="V328" s="1457"/>
      <c r="W328" s="1462"/>
      <c r="X328" s="1496"/>
      <c r="Y328" s="1444"/>
    </row>
    <row r="329" spans="1:25" ht="12.75">
      <c r="A329" s="1497">
        <v>4610</v>
      </c>
      <c r="B329" s="1513" t="s">
        <v>823</v>
      </c>
      <c r="C329" s="1457">
        <v>3400</v>
      </c>
      <c r="D329" s="1457">
        <f t="shared" si="84"/>
        <v>13400</v>
      </c>
      <c r="E329" s="1458">
        <v>10000</v>
      </c>
      <c r="F329" s="1459">
        <f t="shared" si="85"/>
        <v>10000</v>
      </c>
      <c r="G329" s="1499">
        <f t="shared" si="81"/>
        <v>294.11764705882354</v>
      </c>
      <c r="H329" s="1499">
        <f t="shared" si="80"/>
        <v>74.6268656716418</v>
      </c>
      <c r="I329" s="1450"/>
      <c r="J329" s="1461">
        <v>13400</v>
      </c>
      <c r="K329" s="1457">
        <v>10000</v>
      </c>
      <c r="L329" s="1457"/>
      <c r="M329" s="1457"/>
      <c r="N329" s="1457"/>
      <c r="O329" s="1457"/>
      <c r="P329" s="1462">
        <f t="shared" si="86"/>
        <v>10000</v>
      </c>
      <c r="Q329" s="1495">
        <f t="shared" si="87"/>
        <v>74.6268656716418</v>
      </c>
      <c r="R329" s="1461"/>
      <c r="S329" s="1457"/>
      <c r="T329" s="1457"/>
      <c r="U329" s="1457"/>
      <c r="V329" s="1457"/>
      <c r="W329" s="1462"/>
      <c r="X329" s="1496"/>
      <c r="Y329" s="1444"/>
    </row>
    <row r="330" spans="1:25" ht="24">
      <c r="A330" s="1497">
        <v>6050</v>
      </c>
      <c r="B330" s="1513" t="s">
        <v>824</v>
      </c>
      <c r="C330" s="1457"/>
      <c r="D330" s="1457">
        <f t="shared" si="84"/>
        <v>125000</v>
      </c>
      <c r="E330" s="1458">
        <v>600000</v>
      </c>
      <c r="F330" s="1459">
        <f t="shared" si="85"/>
        <v>0</v>
      </c>
      <c r="G330" s="1499"/>
      <c r="H330" s="1499">
        <f t="shared" si="80"/>
        <v>0</v>
      </c>
      <c r="I330" s="1450"/>
      <c r="J330" s="1461">
        <v>125000</v>
      </c>
      <c r="K330" s="1457"/>
      <c r="L330" s="1457">
        <f>600000-600000</f>
        <v>0</v>
      </c>
      <c r="M330" s="1457"/>
      <c r="N330" s="1457"/>
      <c r="O330" s="1457"/>
      <c r="P330" s="1462">
        <f t="shared" si="86"/>
        <v>0</v>
      </c>
      <c r="Q330" s="1495"/>
      <c r="R330" s="1461"/>
      <c r="S330" s="1457"/>
      <c r="T330" s="1457"/>
      <c r="U330" s="1457"/>
      <c r="V330" s="1457"/>
      <c r="W330" s="1462"/>
      <c r="X330" s="1496"/>
      <c r="Y330" s="1444"/>
    </row>
    <row r="331" spans="1:25" ht="24">
      <c r="A331" s="1497">
        <v>6060</v>
      </c>
      <c r="B331" s="1513" t="s">
        <v>825</v>
      </c>
      <c r="C331" s="1457">
        <f>SUM(C332:C335)</f>
        <v>570000</v>
      </c>
      <c r="D331" s="1457">
        <f>J331+R331</f>
        <v>670000</v>
      </c>
      <c r="E331" s="1458">
        <f>SUM(E332:E335)</f>
        <v>723400</v>
      </c>
      <c r="F331" s="1459">
        <f>SUM(F332:F335)</f>
        <v>693400</v>
      </c>
      <c r="G331" s="1499">
        <f t="shared" si="81"/>
        <v>121.64912280701753</v>
      </c>
      <c r="H331" s="1499">
        <f t="shared" si="80"/>
        <v>103.49253731343285</v>
      </c>
      <c r="I331" s="1450"/>
      <c r="J331" s="1461">
        <f>SUM(J332:J333)</f>
        <v>670000</v>
      </c>
      <c r="K331" s="1457"/>
      <c r="L331" s="1457"/>
      <c r="M331" s="1457">
        <f>SUM(M332:M335)</f>
        <v>693400</v>
      </c>
      <c r="N331" s="1457"/>
      <c r="O331" s="1457"/>
      <c r="P331" s="1462">
        <f>SUM(K331:N331)</f>
        <v>693400</v>
      </c>
      <c r="Q331" s="1495">
        <f t="shared" si="87"/>
        <v>103.49253731343285</v>
      </c>
      <c r="R331" s="1461"/>
      <c r="S331" s="1457"/>
      <c r="T331" s="1457"/>
      <c r="U331" s="1457"/>
      <c r="V331" s="1457"/>
      <c r="W331" s="1462"/>
      <c r="X331" s="1496"/>
      <c r="Y331" s="1444"/>
    </row>
    <row r="332" spans="1:25" s="618" customFormat="1" ht="12.75">
      <c r="A332" s="1521"/>
      <c r="B332" s="1522" t="s">
        <v>826</v>
      </c>
      <c r="C332" s="1523">
        <f>200000+370000</f>
        <v>570000</v>
      </c>
      <c r="D332" s="1523">
        <f t="shared" si="84"/>
        <v>570000</v>
      </c>
      <c r="E332" s="1543">
        <v>485000</v>
      </c>
      <c r="F332" s="1544">
        <f t="shared" si="85"/>
        <v>485000</v>
      </c>
      <c r="G332" s="1499">
        <f t="shared" si="81"/>
        <v>85.08771929824562</v>
      </c>
      <c r="H332" s="1499">
        <f aca="true" t="shared" si="89" ref="H332:H414">F332/D332*100</f>
        <v>85.08771929824562</v>
      </c>
      <c r="I332" s="1530"/>
      <c r="J332" s="1526">
        <v>570000</v>
      </c>
      <c r="K332" s="1523"/>
      <c r="L332" s="1523"/>
      <c r="M332" s="1523">
        <v>485000</v>
      </c>
      <c r="N332" s="1523"/>
      <c r="O332" s="1523"/>
      <c r="P332" s="1462">
        <f t="shared" si="86"/>
        <v>485000</v>
      </c>
      <c r="Q332" s="1528"/>
      <c r="R332" s="1526"/>
      <c r="S332" s="1523"/>
      <c r="T332" s="1523"/>
      <c r="U332" s="1523"/>
      <c r="V332" s="1523"/>
      <c r="W332" s="1527"/>
      <c r="X332" s="1529"/>
      <c r="Y332" s="1305"/>
    </row>
    <row r="333" spans="1:25" s="618" customFormat="1" ht="12.75">
      <c r="A333" s="1521"/>
      <c r="B333" s="1522" t="s">
        <v>827</v>
      </c>
      <c r="C333" s="1523"/>
      <c r="D333" s="1523">
        <f t="shared" si="84"/>
        <v>100000</v>
      </c>
      <c r="E333" s="1543">
        <v>150000</v>
      </c>
      <c r="F333" s="1544">
        <f t="shared" si="85"/>
        <v>140000</v>
      </c>
      <c r="G333" s="1499"/>
      <c r="H333" s="1499">
        <f t="shared" si="89"/>
        <v>140</v>
      </c>
      <c r="I333" s="1530"/>
      <c r="J333" s="1526">
        <f>10000+90000</f>
        <v>100000</v>
      </c>
      <c r="K333" s="1523"/>
      <c r="L333" s="1523"/>
      <c r="M333" s="1523">
        <f>150000-10000</f>
        <v>140000</v>
      </c>
      <c r="N333" s="1523"/>
      <c r="O333" s="1523"/>
      <c r="P333" s="1462">
        <f t="shared" si="86"/>
        <v>140000</v>
      </c>
      <c r="Q333" s="1528"/>
      <c r="R333" s="1526"/>
      <c r="S333" s="1523"/>
      <c r="T333" s="1523"/>
      <c r="U333" s="1523"/>
      <c r="V333" s="1523"/>
      <c r="W333" s="1527"/>
      <c r="X333" s="1529"/>
      <c r="Y333" s="1305"/>
    </row>
    <row r="334" spans="1:25" s="618" customFormat="1" ht="36">
      <c r="A334" s="1521"/>
      <c r="B334" s="1522" t="s">
        <v>828</v>
      </c>
      <c r="C334" s="1523"/>
      <c r="D334" s="1523"/>
      <c r="E334" s="1543">
        <f>1000+3500+3200+700</f>
        <v>8400</v>
      </c>
      <c r="F334" s="1544">
        <f t="shared" si="85"/>
        <v>8400</v>
      </c>
      <c r="G334" s="1499"/>
      <c r="H334" s="1499"/>
      <c r="I334" s="1530"/>
      <c r="J334" s="1526"/>
      <c r="K334" s="1523"/>
      <c r="L334" s="1523"/>
      <c r="M334" s="1523">
        <v>8400</v>
      </c>
      <c r="N334" s="1523"/>
      <c r="O334" s="1523"/>
      <c r="P334" s="1462">
        <f t="shared" si="86"/>
        <v>8400</v>
      </c>
      <c r="Q334" s="1528"/>
      <c r="R334" s="1526"/>
      <c r="S334" s="1523"/>
      <c r="T334" s="1523"/>
      <c r="U334" s="1523"/>
      <c r="V334" s="1523"/>
      <c r="W334" s="1527"/>
      <c r="X334" s="1529"/>
      <c r="Y334" s="1305"/>
    </row>
    <row r="335" spans="1:25" s="618" customFormat="1" ht="24">
      <c r="A335" s="1521"/>
      <c r="B335" s="1522" t="s">
        <v>829</v>
      </c>
      <c r="C335" s="1523"/>
      <c r="D335" s="1523">
        <f t="shared" si="84"/>
        <v>0</v>
      </c>
      <c r="E335" s="1543">
        <f>80000</f>
        <v>80000</v>
      </c>
      <c r="F335" s="1544">
        <f t="shared" si="85"/>
        <v>60000</v>
      </c>
      <c r="G335" s="1499"/>
      <c r="H335" s="1499"/>
      <c r="I335" s="1530"/>
      <c r="J335" s="1526">
        <v>0</v>
      </c>
      <c r="K335" s="1523"/>
      <c r="L335" s="1523"/>
      <c r="M335" s="1523">
        <f>80000-80000+60000</f>
        <v>60000</v>
      </c>
      <c r="N335" s="1523"/>
      <c r="O335" s="1523"/>
      <c r="P335" s="1527">
        <f>SUM(K335:N335)</f>
        <v>60000</v>
      </c>
      <c r="Q335" s="1528" t="e">
        <f t="shared" si="87"/>
        <v>#DIV/0!</v>
      </c>
      <c r="R335" s="1526"/>
      <c r="S335" s="1523"/>
      <c r="T335" s="1523"/>
      <c r="U335" s="1523"/>
      <c r="V335" s="1523"/>
      <c r="W335" s="1527"/>
      <c r="X335" s="1529"/>
      <c r="Y335" s="1305"/>
    </row>
    <row r="336" spans="1:25" s="581" customFormat="1" ht="13.5" hidden="1" thickBot="1">
      <c r="A336" s="1611">
        <v>75045</v>
      </c>
      <c r="B336" s="1550" t="s">
        <v>830</v>
      </c>
      <c r="C336" s="1467">
        <f>C337+C338+C339+C340+C341+C342+C343</f>
        <v>0</v>
      </c>
      <c r="D336" s="1467">
        <f aca="true" t="shared" si="90" ref="D336:W336">D337+D338+D339+D340+D341+D342+D343</f>
        <v>0</v>
      </c>
      <c r="E336" s="1468">
        <f t="shared" si="90"/>
        <v>0</v>
      </c>
      <c r="F336" s="1469">
        <f t="shared" si="90"/>
        <v>0</v>
      </c>
      <c r="G336" s="1602" t="e">
        <f aca="true" t="shared" si="91" ref="G336:G399">F336/C336*100</f>
        <v>#DIV/0!</v>
      </c>
      <c r="H336" s="1603" t="e">
        <f t="shared" si="89"/>
        <v>#DIV/0!</v>
      </c>
      <c r="I336" s="1450"/>
      <c r="J336" s="1470">
        <f t="shared" si="90"/>
        <v>0</v>
      </c>
      <c r="K336" s="1467">
        <f t="shared" si="90"/>
        <v>0</v>
      </c>
      <c r="L336" s="1467">
        <f t="shared" si="90"/>
        <v>0</v>
      </c>
      <c r="M336" s="1467">
        <f t="shared" si="90"/>
        <v>0</v>
      </c>
      <c r="N336" s="1467">
        <f t="shared" si="90"/>
        <v>0</v>
      </c>
      <c r="O336" s="1467"/>
      <c r="P336" s="1527">
        <f aca="true" t="shared" si="92" ref="P336:P356">SUM(K336:N336)</f>
        <v>0</v>
      </c>
      <c r="Q336" s="1495" t="e">
        <f t="shared" si="87"/>
        <v>#DIV/0!</v>
      </c>
      <c r="R336" s="1470">
        <f t="shared" si="90"/>
        <v>0</v>
      </c>
      <c r="S336" s="1467">
        <f t="shared" si="90"/>
        <v>0</v>
      </c>
      <c r="T336" s="1467">
        <f t="shared" si="90"/>
        <v>0</v>
      </c>
      <c r="U336" s="1467">
        <f t="shared" si="90"/>
        <v>0</v>
      </c>
      <c r="V336" s="1467">
        <f t="shared" si="90"/>
        <v>0</v>
      </c>
      <c r="W336" s="1471">
        <f t="shared" si="90"/>
        <v>0</v>
      </c>
      <c r="X336" s="1454" t="e">
        <f aca="true" t="shared" si="93" ref="X336:X347">W336/R336*100</f>
        <v>#DIV/0!</v>
      </c>
      <c r="Y336" s="1444"/>
    </row>
    <row r="337" spans="1:25" ht="25.5" hidden="1" thickBot="1" thickTop="1">
      <c r="A337" s="1612">
        <v>3030</v>
      </c>
      <c r="B337" s="1513" t="s">
        <v>624</v>
      </c>
      <c r="C337" s="1457"/>
      <c r="D337" s="1457">
        <f>J337+R337</f>
        <v>0</v>
      </c>
      <c r="E337" s="1458"/>
      <c r="F337" s="1459">
        <f>P337+W337</f>
        <v>0</v>
      </c>
      <c r="G337" s="1437" t="e">
        <f t="shared" si="91"/>
        <v>#DIV/0!</v>
      </c>
      <c r="H337" s="1438" t="e">
        <f t="shared" si="89"/>
        <v>#DIV/0!</v>
      </c>
      <c r="I337" s="1450"/>
      <c r="J337" s="1461"/>
      <c r="K337" s="1457"/>
      <c r="L337" s="1457"/>
      <c r="M337" s="1457"/>
      <c r="N337" s="1457"/>
      <c r="O337" s="1457"/>
      <c r="P337" s="1527">
        <f t="shared" si="92"/>
        <v>0</v>
      </c>
      <c r="Q337" s="1495" t="e">
        <f t="shared" si="87"/>
        <v>#DIV/0!</v>
      </c>
      <c r="R337" s="1461"/>
      <c r="S337" s="1457"/>
      <c r="T337" s="1457"/>
      <c r="U337" s="1457"/>
      <c r="V337" s="1457"/>
      <c r="W337" s="1462">
        <f>SUM(S337:V337)</f>
        <v>0</v>
      </c>
      <c r="X337" s="1496" t="e">
        <f t="shared" si="93"/>
        <v>#DIV/0!</v>
      </c>
      <c r="Y337" s="1444"/>
    </row>
    <row r="338" spans="1:25" ht="25.5" hidden="1" thickBot="1" thickTop="1">
      <c r="A338" s="1612">
        <v>4010</v>
      </c>
      <c r="B338" s="1513" t="s">
        <v>626</v>
      </c>
      <c r="C338" s="1457"/>
      <c r="D338" s="1457">
        <f aca="true" t="shared" si="94" ref="D338:D343">J338+R338</f>
        <v>0</v>
      </c>
      <c r="E338" s="1458"/>
      <c r="F338" s="1459">
        <f aca="true" t="shared" si="95" ref="F338:F347">P338+W338</f>
        <v>0</v>
      </c>
      <c r="G338" s="1437" t="e">
        <f t="shared" si="91"/>
        <v>#DIV/0!</v>
      </c>
      <c r="H338" s="1438" t="e">
        <f t="shared" si="89"/>
        <v>#DIV/0!</v>
      </c>
      <c r="I338" s="1450"/>
      <c r="J338" s="1461"/>
      <c r="K338" s="1457"/>
      <c r="L338" s="1457"/>
      <c r="M338" s="1457"/>
      <c r="N338" s="1457"/>
      <c r="O338" s="1457"/>
      <c r="P338" s="1527">
        <f t="shared" si="92"/>
        <v>0</v>
      </c>
      <c r="Q338" s="1495" t="e">
        <f t="shared" si="87"/>
        <v>#DIV/0!</v>
      </c>
      <c r="R338" s="1461"/>
      <c r="S338" s="1457"/>
      <c r="T338" s="1457"/>
      <c r="U338" s="1457"/>
      <c r="V338" s="1457"/>
      <c r="W338" s="1462">
        <f aca="true" t="shared" si="96" ref="W338:W343">SUM(S338:V338)</f>
        <v>0</v>
      </c>
      <c r="X338" s="1496" t="e">
        <f t="shared" si="93"/>
        <v>#DIV/0!</v>
      </c>
      <c r="Y338" s="1444"/>
    </row>
    <row r="339" spans="1:25" ht="14.25" hidden="1" thickBot="1" thickTop="1">
      <c r="A339" s="1612">
        <v>4110</v>
      </c>
      <c r="B339" s="1513" t="s">
        <v>568</v>
      </c>
      <c r="C339" s="1457"/>
      <c r="D339" s="1457">
        <f t="shared" si="94"/>
        <v>0</v>
      </c>
      <c r="E339" s="1458"/>
      <c r="F339" s="1459">
        <f t="shared" si="95"/>
        <v>0</v>
      </c>
      <c r="G339" s="1437" t="e">
        <f t="shared" si="91"/>
        <v>#DIV/0!</v>
      </c>
      <c r="H339" s="1438" t="e">
        <f t="shared" si="89"/>
        <v>#DIV/0!</v>
      </c>
      <c r="I339" s="1450"/>
      <c r="J339" s="1461"/>
      <c r="K339" s="1457"/>
      <c r="L339" s="1457"/>
      <c r="M339" s="1457"/>
      <c r="N339" s="1457"/>
      <c r="O339" s="1457"/>
      <c r="P339" s="1527">
        <f t="shared" si="92"/>
        <v>0</v>
      </c>
      <c r="Q339" s="1495" t="e">
        <f t="shared" si="87"/>
        <v>#DIV/0!</v>
      </c>
      <c r="R339" s="1461"/>
      <c r="S339" s="1457"/>
      <c r="T339" s="1457"/>
      <c r="U339" s="1457"/>
      <c r="V339" s="1457"/>
      <c r="W339" s="1462">
        <f t="shared" si="96"/>
        <v>0</v>
      </c>
      <c r="X339" s="1496" t="e">
        <f t="shared" si="93"/>
        <v>#DIV/0!</v>
      </c>
      <c r="Y339" s="1444"/>
    </row>
    <row r="340" spans="1:25" ht="14.25" hidden="1" thickBot="1" thickTop="1">
      <c r="A340" s="1612">
        <v>4120</v>
      </c>
      <c r="B340" s="1513" t="s">
        <v>763</v>
      </c>
      <c r="C340" s="1457"/>
      <c r="D340" s="1457">
        <f t="shared" si="94"/>
        <v>0</v>
      </c>
      <c r="E340" s="1458"/>
      <c r="F340" s="1459">
        <f t="shared" si="95"/>
        <v>0</v>
      </c>
      <c r="G340" s="1437" t="e">
        <f t="shared" si="91"/>
        <v>#DIV/0!</v>
      </c>
      <c r="H340" s="1438" t="e">
        <f t="shared" si="89"/>
        <v>#DIV/0!</v>
      </c>
      <c r="I340" s="1450"/>
      <c r="J340" s="1461"/>
      <c r="K340" s="1457"/>
      <c r="L340" s="1457"/>
      <c r="M340" s="1457"/>
      <c r="N340" s="1457"/>
      <c r="O340" s="1457"/>
      <c r="P340" s="1527">
        <f t="shared" si="92"/>
        <v>0</v>
      </c>
      <c r="Q340" s="1495" t="e">
        <f t="shared" si="87"/>
        <v>#DIV/0!</v>
      </c>
      <c r="R340" s="1461"/>
      <c r="S340" s="1457"/>
      <c r="T340" s="1457"/>
      <c r="U340" s="1457"/>
      <c r="V340" s="1457"/>
      <c r="W340" s="1462">
        <f t="shared" si="96"/>
        <v>0</v>
      </c>
      <c r="X340" s="1496" t="e">
        <f t="shared" si="93"/>
        <v>#DIV/0!</v>
      </c>
      <c r="Y340" s="1444"/>
    </row>
    <row r="341" spans="1:25" ht="14.25" hidden="1" thickBot="1" thickTop="1">
      <c r="A341" s="1612">
        <v>4210</v>
      </c>
      <c r="B341" s="1513" t="s">
        <v>560</v>
      </c>
      <c r="C341" s="1457"/>
      <c r="D341" s="1457">
        <f t="shared" si="94"/>
        <v>0</v>
      </c>
      <c r="E341" s="1458"/>
      <c r="F341" s="1459">
        <f t="shared" si="95"/>
        <v>0</v>
      </c>
      <c r="G341" s="1437" t="e">
        <f t="shared" si="91"/>
        <v>#DIV/0!</v>
      </c>
      <c r="H341" s="1438" t="e">
        <f t="shared" si="89"/>
        <v>#DIV/0!</v>
      </c>
      <c r="I341" s="1450"/>
      <c r="J341" s="1461"/>
      <c r="K341" s="1457"/>
      <c r="L341" s="1457"/>
      <c r="M341" s="1457"/>
      <c r="N341" s="1457"/>
      <c r="O341" s="1457"/>
      <c r="P341" s="1527">
        <f t="shared" si="92"/>
        <v>0</v>
      </c>
      <c r="Q341" s="1495" t="e">
        <f t="shared" si="87"/>
        <v>#DIV/0!</v>
      </c>
      <c r="R341" s="1461"/>
      <c r="S341" s="1457"/>
      <c r="T341" s="1457"/>
      <c r="U341" s="1457"/>
      <c r="V341" s="1457"/>
      <c r="W341" s="1462">
        <f t="shared" si="96"/>
        <v>0</v>
      </c>
      <c r="X341" s="1496" t="e">
        <f t="shared" si="93"/>
        <v>#DIV/0!</v>
      </c>
      <c r="Y341" s="1444"/>
    </row>
    <row r="342" spans="1:25" ht="14.25" hidden="1" thickBot="1" thickTop="1">
      <c r="A342" s="1612">
        <v>4300</v>
      </c>
      <c r="B342" s="1513" t="s">
        <v>564</v>
      </c>
      <c r="C342" s="1457"/>
      <c r="D342" s="1457">
        <f t="shared" si="94"/>
        <v>0</v>
      </c>
      <c r="E342" s="1458"/>
      <c r="F342" s="1459">
        <f t="shared" si="95"/>
        <v>0</v>
      </c>
      <c r="G342" s="1437" t="e">
        <f t="shared" si="91"/>
        <v>#DIV/0!</v>
      </c>
      <c r="H342" s="1438" t="e">
        <f t="shared" si="89"/>
        <v>#DIV/0!</v>
      </c>
      <c r="I342" s="1450"/>
      <c r="J342" s="1461"/>
      <c r="K342" s="1457"/>
      <c r="L342" s="1457"/>
      <c r="M342" s="1457"/>
      <c r="N342" s="1457"/>
      <c r="O342" s="1457"/>
      <c r="P342" s="1527">
        <f t="shared" si="92"/>
        <v>0</v>
      </c>
      <c r="Q342" s="1495" t="e">
        <f t="shared" si="87"/>
        <v>#DIV/0!</v>
      </c>
      <c r="R342" s="1461"/>
      <c r="S342" s="1457"/>
      <c r="T342" s="1457"/>
      <c r="U342" s="1457"/>
      <c r="V342" s="1457"/>
      <c r="W342" s="1462">
        <f t="shared" si="96"/>
        <v>0</v>
      </c>
      <c r="X342" s="1496" t="e">
        <f t="shared" si="93"/>
        <v>#DIV/0!</v>
      </c>
      <c r="Y342" s="1444"/>
    </row>
    <row r="343" spans="1:25" ht="14.25" hidden="1" thickBot="1" thickTop="1">
      <c r="A343" s="1612">
        <v>4410</v>
      </c>
      <c r="B343" s="1513" t="s">
        <v>618</v>
      </c>
      <c r="C343" s="1457"/>
      <c r="D343" s="1457">
        <f t="shared" si="94"/>
        <v>0</v>
      </c>
      <c r="E343" s="1458"/>
      <c r="F343" s="1459">
        <f t="shared" si="95"/>
        <v>0</v>
      </c>
      <c r="G343" s="1437" t="e">
        <f t="shared" si="91"/>
        <v>#DIV/0!</v>
      </c>
      <c r="H343" s="1438" t="e">
        <f t="shared" si="89"/>
        <v>#DIV/0!</v>
      </c>
      <c r="I343" s="1450"/>
      <c r="J343" s="1461"/>
      <c r="K343" s="1457"/>
      <c r="L343" s="1457"/>
      <c r="M343" s="1457"/>
      <c r="N343" s="1457"/>
      <c r="O343" s="1457"/>
      <c r="P343" s="1527">
        <f t="shared" si="92"/>
        <v>0</v>
      </c>
      <c r="Q343" s="1495" t="e">
        <f t="shared" si="87"/>
        <v>#DIV/0!</v>
      </c>
      <c r="R343" s="1461"/>
      <c r="S343" s="1457"/>
      <c r="T343" s="1457"/>
      <c r="U343" s="1457"/>
      <c r="V343" s="1457"/>
      <c r="W343" s="1462">
        <f t="shared" si="96"/>
        <v>0</v>
      </c>
      <c r="X343" s="1496" t="e">
        <f t="shared" si="93"/>
        <v>#DIV/0!</v>
      </c>
      <c r="Y343" s="1444"/>
    </row>
    <row r="344" spans="1:25" s="581" customFormat="1" ht="14.25" hidden="1" thickBot="1" thickTop="1">
      <c r="A344" s="1611">
        <v>75056</v>
      </c>
      <c r="B344" s="1550" t="s">
        <v>831</v>
      </c>
      <c r="C344" s="1467">
        <f>C345+C346+C347</f>
        <v>0</v>
      </c>
      <c r="D344" s="1467">
        <f aca="true" t="shared" si="97" ref="D344:W344">D345+D346+D347</f>
        <v>0</v>
      </c>
      <c r="E344" s="1468">
        <f t="shared" si="97"/>
        <v>0</v>
      </c>
      <c r="F344" s="1459">
        <f t="shared" si="95"/>
        <v>0</v>
      </c>
      <c r="G344" s="1437" t="e">
        <f t="shared" si="91"/>
        <v>#DIV/0!</v>
      </c>
      <c r="H344" s="1438" t="e">
        <f t="shared" si="89"/>
        <v>#DIV/0!</v>
      </c>
      <c r="I344" s="1450"/>
      <c r="J344" s="1470">
        <f t="shared" si="97"/>
        <v>0</v>
      </c>
      <c r="K344" s="1467">
        <f t="shared" si="97"/>
        <v>0</v>
      </c>
      <c r="L344" s="1467">
        <f t="shared" si="97"/>
        <v>0</v>
      </c>
      <c r="M344" s="1467">
        <f t="shared" si="97"/>
        <v>0</v>
      </c>
      <c r="N344" s="1467">
        <f t="shared" si="97"/>
        <v>0</v>
      </c>
      <c r="O344" s="1467"/>
      <c r="P344" s="1527">
        <f t="shared" si="92"/>
        <v>0</v>
      </c>
      <c r="Q344" s="1495" t="e">
        <f t="shared" si="87"/>
        <v>#DIV/0!</v>
      </c>
      <c r="R344" s="1470">
        <f t="shared" si="97"/>
        <v>0</v>
      </c>
      <c r="S344" s="1467">
        <f t="shared" si="97"/>
        <v>0</v>
      </c>
      <c r="T344" s="1467">
        <f t="shared" si="97"/>
        <v>0</v>
      </c>
      <c r="U344" s="1467">
        <f t="shared" si="97"/>
        <v>0</v>
      </c>
      <c r="V344" s="1467">
        <f t="shared" si="97"/>
        <v>0</v>
      </c>
      <c r="W344" s="1471">
        <f t="shared" si="97"/>
        <v>0</v>
      </c>
      <c r="X344" s="1496" t="e">
        <f t="shared" si="93"/>
        <v>#DIV/0!</v>
      </c>
      <c r="Y344" s="1444"/>
    </row>
    <row r="345" spans="1:25" ht="25.5" hidden="1" thickBot="1" thickTop="1">
      <c r="A345" s="1612">
        <v>3030</v>
      </c>
      <c r="B345" s="1513" t="s">
        <v>624</v>
      </c>
      <c r="C345" s="1457"/>
      <c r="D345" s="1457"/>
      <c r="E345" s="1458"/>
      <c r="F345" s="1459">
        <f t="shared" si="95"/>
        <v>0</v>
      </c>
      <c r="G345" s="1437" t="e">
        <f t="shared" si="91"/>
        <v>#DIV/0!</v>
      </c>
      <c r="H345" s="1438" t="e">
        <f t="shared" si="89"/>
        <v>#DIV/0!</v>
      </c>
      <c r="I345" s="1450"/>
      <c r="J345" s="1461"/>
      <c r="K345" s="1457"/>
      <c r="L345" s="1457"/>
      <c r="M345" s="1457"/>
      <c r="N345" s="1457"/>
      <c r="O345" s="1457"/>
      <c r="P345" s="1527">
        <f t="shared" si="92"/>
        <v>0</v>
      </c>
      <c r="Q345" s="1495" t="e">
        <f t="shared" si="87"/>
        <v>#DIV/0!</v>
      </c>
      <c r="R345" s="1461"/>
      <c r="S345" s="1457"/>
      <c r="T345" s="1457"/>
      <c r="U345" s="1457"/>
      <c r="V345" s="1457"/>
      <c r="W345" s="1462"/>
      <c r="X345" s="1496" t="e">
        <f t="shared" si="93"/>
        <v>#DIV/0!</v>
      </c>
      <c r="Y345" s="1444"/>
    </row>
    <row r="346" spans="1:25" ht="14.25" hidden="1" thickBot="1" thickTop="1">
      <c r="A346" s="1612">
        <v>4210</v>
      </c>
      <c r="B346" s="1513" t="s">
        <v>560</v>
      </c>
      <c r="C346" s="1457"/>
      <c r="D346" s="1457"/>
      <c r="E346" s="1458"/>
      <c r="F346" s="1459">
        <f t="shared" si="95"/>
        <v>0</v>
      </c>
      <c r="G346" s="1437" t="e">
        <f t="shared" si="91"/>
        <v>#DIV/0!</v>
      </c>
      <c r="H346" s="1438" t="e">
        <f t="shared" si="89"/>
        <v>#DIV/0!</v>
      </c>
      <c r="I346" s="1450"/>
      <c r="J346" s="1461"/>
      <c r="K346" s="1457"/>
      <c r="L346" s="1457"/>
      <c r="M346" s="1457"/>
      <c r="N346" s="1457"/>
      <c r="O346" s="1457"/>
      <c r="P346" s="1527">
        <f t="shared" si="92"/>
        <v>0</v>
      </c>
      <c r="Q346" s="1495" t="e">
        <f t="shared" si="87"/>
        <v>#DIV/0!</v>
      </c>
      <c r="R346" s="1461"/>
      <c r="S346" s="1457"/>
      <c r="T346" s="1457"/>
      <c r="U346" s="1457"/>
      <c r="V346" s="1457"/>
      <c r="W346" s="1462"/>
      <c r="X346" s="1496" t="e">
        <f t="shared" si="93"/>
        <v>#DIV/0!</v>
      </c>
      <c r="Y346" s="1444"/>
    </row>
    <row r="347" spans="1:25" ht="14.25" hidden="1" thickBot="1" thickTop="1">
      <c r="A347" s="1612">
        <v>4300</v>
      </c>
      <c r="B347" s="1513" t="s">
        <v>564</v>
      </c>
      <c r="C347" s="1457"/>
      <c r="D347" s="1457"/>
      <c r="E347" s="1458"/>
      <c r="F347" s="1459">
        <f t="shared" si="95"/>
        <v>0</v>
      </c>
      <c r="G347" s="1437" t="e">
        <f t="shared" si="91"/>
        <v>#DIV/0!</v>
      </c>
      <c r="H347" s="1438" t="e">
        <f t="shared" si="89"/>
        <v>#DIV/0!</v>
      </c>
      <c r="I347" s="1450"/>
      <c r="J347" s="1461"/>
      <c r="K347" s="1457"/>
      <c r="L347" s="1457"/>
      <c r="M347" s="1457"/>
      <c r="N347" s="1457"/>
      <c r="O347" s="1457"/>
      <c r="P347" s="1527">
        <f t="shared" si="92"/>
        <v>0</v>
      </c>
      <c r="Q347" s="1495" t="e">
        <f t="shared" si="87"/>
        <v>#DIV/0!</v>
      </c>
      <c r="R347" s="1461"/>
      <c r="S347" s="1457"/>
      <c r="T347" s="1457"/>
      <c r="U347" s="1457"/>
      <c r="V347" s="1457"/>
      <c r="W347" s="1462"/>
      <c r="X347" s="1496" t="e">
        <f t="shared" si="93"/>
        <v>#DIV/0!</v>
      </c>
      <c r="Y347" s="1444"/>
    </row>
    <row r="348" spans="1:25" s="581" customFormat="1" ht="14.25" hidden="1" thickBot="1" thickTop="1">
      <c r="A348" s="1613"/>
      <c r="B348" s="556"/>
      <c r="C348" s="556"/>
      <c r="D348" s="1614"/>
      <c r="E348" s="1615"/>
      <c r="F348" s="556"/>
      <c r="G348" s="1437" t="e">
        <f t="shared" si="91"/>
        <v>#DIV/0!</v>
      </c>
      <c r="H348" s="1438" t="e">
        <f t="shared" si="89"/>
        <v>#DIV/0!</v>
      </c>
      <c r="I348" s="1616"/>
      <c r="J348" s="1613"/>
      <c r="K348" s="556"/>
      <c r="L348" s="556"/>
      <c r="M348" s="556"/>
      <c r="N348" s="556"/>
      <c r="O348" s="556"/>
      <c r="P348" s="1527">
        <f t="shared" si="92"/>
        <v>0</v>
      </c>
      <c r="Q348" s="1495" t="e">
        <f t="shared" si="87"/>
        <v>#DIV/0!</v>
      </c>
      <c r="R348" s="1613"/>
      <c r="S348" s="556"/>
      <c r="T348" s="556"/>
      <c r="U348" s="556"/>
      <c r="V348" s="556"/>
      <c r="W348" s="1615"/>
      <c r="X348" s="1617"/>
      <c r="Y348" s="1444"/>
    </row>
    <row r="349" spans="1:25" s="571" customFormat="1" ht="14.25" hidden="1" thickBot="1" thickTop="1">
      <c r="A349" s="1618"/>
      <c r="B349" s="569"/>
      <c r="C349" s="569"/>
      <c r="D349" s="1619"/>
      <c r="E349" s="1620"/>
      <c r="F349" s="569"/>
      <c r="G349" s="1437" t="e">
        <f t="shared" si="91"/>
        <v>#DIV/0!</v>
      </c>
      <c r="H349" s="1438" t="e">
        <f t="shared" si="89"/>
        <v>#DIV/0!</v>
      </c>
      <c r="I349" s="1616"/>
      <c r="J349" s="1618"/>
      <c r="K349" s="569"/>
      <c r="L349" s="569"/>
      <c r="M349" s="569"/>
      <c r="N349" s="569"/>
      <c r="O349" s="569"/>
      <c r="P349" s="1527">
        <f t="shared" si="92"/>
        <v>0</v>
      </c>
      <c r="Q349" s="1495" t="e">
        <f t="shared" si="87"/>
        <v>#DIV/0!</v>
      </c>
      <c r="R349" s="1618"/>
      <c r="S349" s="569"/>
      <c r="T349" s="569"/>
      <c r="U349" s="569"/>
      <c r="V349" s="569"/>
      <c r="W349" s="1620"/>
      <c r="X349" s="1621"/>
      <c r="Y349" s="1444"/>
    </row>
    <row r="350" spans="1:25" ht="14.25" hidden="1" thickBot="1" thickTop="1">
      <c r="A350" s="1622"/>
      <c r="B350" s="636"/>
      <c r="C350" s="1623"/>
      <c r="D350" s="1624"/>
      <c r="E350" s="1625"/>
      <c r="F350" s="1623"/>
      <c r="G350" s="1437" t="e">
        <f t="shared" si="91"/>
        <v>#DIV/0!</v>
      </c>
      <c r="H350" s="1438" t="e">
        <f t="shared" si="89"/>
        <v>#DIV/0!</v>
      </c>
      <c r="I350" s="1626"/>
      <c r="J350" s="1627"/>
      <c r="K350" s="1623"/>
      <c r="L350" s="1623"/>
      <c r="M350" s="1623"/>
      <c r="N350" s="1623"/>
      <c r="O350" s="1623"/>
      <c r="P350" s="1527">
        <f t="shared" si="92"/>
        <v>0</v>
      </c>
      <c r="Q350" s="1495" t="e">
        <f t="shared" si="87"/>
        <v>#DIV/0!</v>
      </c>
      <c r="R350" s="1627"/>
      <c r="S350" s="1623"/>
      <c r="T350" s="1623"/>
      <c r="U350" s="1623"/>
      <c r="V350" s="1623"/>
      <c r="W350" s="1625"/>
      <c r="Y350" s="1444"/>
    </row>
    <row r="351" spans="1:25" ht="14.25" hidden="1" thickBot="1" thickTop="1">
      <c r="A351" s="1622"/>
      <c r="B351" s="636"/>
      <c r="C351" s="1623"/>
      <c r="D351" s="1624"/>
      <c r="E351" s="1625"/>
      <c r="F351" s="1623"/>
      <c r="G351" s="1437" t="e">
        <f t="shared" si="91"/>
        <v>#DIV/0!</v>
      </c>
      <c r="H351" s="1438" t="e">
        <f t="shared" si="89"/>
        <v>#DIV/0!</v>
      </c>
      <c r="I351" s="1626"/>
      <c r="J351" s="1627"/>
      <c r="K351" s="1623"/>
      <c r="L351" s="1623"/>
      <c r="M351" s="1623"/>
      <c r="N351" s="1623"/>
      <c r="O351" s="1623"/>
      <c r="P351" s="1527">
        <f t="shared" si="92"/>
        <v>0</v>
      </c>
      <c r="Q351" s="1495" t="e">
        <f t="shared" si="87"/>
        <v>#DIV/0!</v>
      </c>
      <c r="R351" s="1627"/>
      <c r="S351" s="1623"/>
      <c r="T351" s="1623"/>
      <c r="U351" s="1623"/>
      <c r="V351" s="1623"/>
      <c r="W351" s="1625"/>
      <c r="Y351" s="1444"/>
    </row>
    <row r="352" spans="1:25" ht="14.25" hidden="1" thickBot="1" thickTop="1">
      <c r="A352" s="1622"/>
      <c r="B352" s="636"/>
      <c r="C352" s="1623"/>
      <c r="D352" s="1624"/>
      <c r="E352" s="1625"/>
      <c r="F352" s="1623"/>
      <c r="G352" s="1437" t="e">
        <f t="shared" si="91"/>
        <v>#DIV/0!</v>
      </c>
      <c r="H352" s="1438" t="e">
        <f t="shared" si="89"/>
        <v>#DIV/0!</v>
      </c>
      <c r="I352" s="1626"/>
      <c r="J352" s="1627"/>
      <c r="K352" s="1623"/>
      <c r="L352" s="1623"/>
      <c r="M352" s="1623"/>
      <c r="N352" s="1623"/>
      <c r="O352" s="1623"/>
      <c r="P352" s="1527">
        <f t="shared" si="92"/>
        <v>0</v>
      </c>
      <c r="Q352" s="1495" t="e">
        <f t="shared" si="87"/>
        <v>#DIV/0!</v>
      </c>
      <c r="R352" s="1627"/>
      <c r="S352" s="1623"/>
      <c r="T352" s="1623"/>
      <c r="U352" s="1623"/>
      <c r="V352" s="1623"/>
      <c r="W352" s="1625"/>
      <c r="Y352" s="1444"/>
    </row>
    <row r="353" spans="1:25" ht="14.25" hidden="1" thickBot="1" thickTop="1">
      <c r="A353" s="1622"/>
      <c r="B353" s="636"/>
      <c r="C353" s="1623"/>
      <c r="D353" s="1624"/>
      <c r="E353" s="1625"/>
      <c r="F353" s="1623"/>
      <c r="G353" s="1437" t="e">
        <f t="shared" si="91"/>
        <v>#DIV/0!</v>
      </c>
      <c r="H353" s="1438" t="e">
        <f t="shared" si="89"/>
        <v>#DIV/0!</v>
      </c>
      <c r="I353" s="1626"/>
      <c r="J353" s="1627"/>
      <c r="K353" s="1623"/>
      <c r="L353" s="1623"/>
      <c r="M353" s="1623"/>
      <c r="N353" s="1623"/>
      <c r="O353" s="1623"/>
      <c r="P353" s="1527">
        <f t="shared" si="92"/>
        <v>0</v>
      </c>
      <c r="Q353" s="1495" t="e">
        <f t="shared" si="87"/>
        <v>#DIV/0!</v>
      </c>
      <c r="R353" s="1627"/>
      <c r="S353" s="1623"/>
      <c r="T353" s="1623"/>
      <c r="U353" s="1623"/>
      <c r="V353" s="1623"/>
      <c r="W353" s="1625"/>
      <c r="Y353" s="1444"/>
    </row>
    <row r="354" spans="1:25" ht="14.25" hidden="1" thickBot="1" thickTop="1">
      <c r="A354" s="1622"/>
      <c r="B354" s="636"/>
      <c r="C354" s="1623"/>
      <c r="D354" s="1624"/>
      <c r="E354" s="1625"/>
      <c r="F354" s="1623"/>
      <c r="G354" s="1437" t="e">
        <f t="shared" si="91"/>
        <v>#DIV/0!</v>
      </c>
      <c r="H354" s="1438" t="e">
        <f t="shared" si="89"/>
        <v>#DIV/0!</v>
      </c>
      <c r="I354" s="1626"/>
      <c r="J354" s="1627"/>
      <c r="K354" s="1623"/>
      <c r="L354" s="1623"/>
      <c r="M354" s="1623"/>
      <c r="N354" s="1623"/>
      <c r="O354" s="1623"/>
      <c r="P354" s="1527">
        <f t="shared" si="92"/>
        <v>0</v>
      </c>
      <c r="Q354" s="1495" t="e">
        <f t="shared" si="87"/>
        <v>#DIV/0!</v>
      </c>
      <c r="R354" s="1627"/>
      <c r="S354" s="1623"/>
      <c r="T354" s="1623"/>
      <c r="U354" s="1623"/>
      <c r="V354" s="1623"/>
      <c r="W354" s="1625"/>
      <c r="Y354" s="1444"/>
    </row>
    <row r="355" spans="1:25" ht="14.25" hidden="1" thickBot="1" thickTop="1">
      <c r="A355" s="1622"/>
      <c r="B355" s="636"/>
      <c r="C355" s="1623"/>
      <c r="D355" s="1624"/>
      <c r="E355" s="1625"/>
      <c r="F355" s="1623"/>
      <c r="G355" s="1437" t="e">
        <f t="shared" si="91"/>
        <v>#DIV/0!</v>
      </c>
      <c r="H355" s="1438" t="e">
        <f t="shared" si="89"/>
        <v>#DIV/0!</v>
      </c>
      <c r="I355" s="1626"/>
      <c r="J355" s="1627"/>
      <c r="K355" s="1623"/>
      <c r="L355" s="1623"/>
      <c r="M355" s="1623"/>
      <c r="N355" s="1623"/>
      <c r="O355" s="1623"/>
      <c r="P355" s="1527">
        <f t="shared" si="92"/>
        <v>0</v>
      </c>
      <c r="Q355" s="1495" t="e">
        <f>P355/J355*100</f>
        <v>#DIV/0!</v>
      </c>
      <c r="R355" s="1627"/>
      <c r="S355" s="1623"/>
      <c r="T355" s="1623"/>
      <c r="U355" s="1623"/>
      <c r="V355" s="1623"/>
      <c r="W355" s="1625"/>
      <c r="Y355" s="1444"/>
    </row>
    <row r="356" spans="1:25" ht="13.5" hidden="1" thickTop="1">
      <c r="A356" s="1622"/>
      <c r="B356" s="636"/>
      <c r="C356" s="1623"/>
      <c r="D356" s="1624"/>
      <c r="E356" s="1625"/>
      <c r="F356" s="1623"/>
      <c r="G356" s="1474" t="e">
        <f t="shared" si="91"/>
        <v>#DIV/0!</v>
      </c>
      <c r="H356" s="1475" t="e">
        <f t="shared" si="89"/>
        <v>#DIV/0!</v>
      </c>
      <c r="I356" s="1626"/>
      <c r="J356" s="1627"/>
      <c r="K356" s="1623"/>
      <c r="L356" s="1623"/>
      <c r="M356" s="1623"/>
      <c r="N356" s="1623"/>
      <c r="O356" s="1623"/>
      <c r="P356" s="1527">
        <f t="shared" si="92"/>
        <v>0</v>
      </c>
      <c r="Q356" s="1495" t="e">
        <f>P356/J356*100</f>
        <v>#DIV/0!</v>
      </c>
      <c r="R356" s="1627"/>
      <c r="S356" s="1623"/>
      <c r="T356" s="1623"/>
      <c r="U356" s="1623"/>
      <c r="V356" s="1623"/>
      <c r="W356" s="1625"/>
      <c r="Y356" s="1444"/>
    </row>
    <row r="357" spans="1:25" ht="12.75">
      <c r="A357" s="1629">
        <v>75045</v>
      </c>
      <c r="B357" s="1630" t="s">
        <v>832</v>
      </c>
      <c r="C357" s="1467">
        <f>SUM(C359)</f>
        <v>0</v>
      </c>
      <c r="D357" s="1467">
        <f>D358+D359</f>
        <v>100</v>
      </c>
      <c r="E357" s="1468">
        <f>E358+E359</f>
        <v>3000</v>
      </c>
      <c r="F357" s="1469">
        <f>F358+F359</f>
        <v>3000</v>
      </c>
      <c r="G357" s="1519"/>
      <c r="H357" s="1519">
        <f t="shared" si="89"/>
        <v>3000</v>
      </c>
      <c r="I357" s="1501"/>
      <c r="J357" s="1469"/>
      <c r="K357" s="1467"/>
      <c r="L357" s="1467"/>
      <c r="M357" s="1467"/>
      <c r="N357" s="1467"/>
      <c r="O357" s="1467"/>
      <c r="P357" s="1471"/>
      <c r="Q357" s="1495" t="e">
        <f>P357/J357*100</f>
        <v>#DIV/0!</v>
      </c>
      <c r="R357" s="1470">
        <f aca="true" t="shared" si="98" ref="R357:W357">R358+R359</f>
        <v>100</v>
      </c>
      <c r="S357" s="1467">
        <f t="shared" si="98"/>
        <v>3000</v>
      </c>
      <c r="T357" s="1467">
        <f t="shared" si="98"/>
        <v>0</v>
      </c>
      <c r="U357" s="1467">
        <f t="shared" si="98"/>
        <v>0</v>
      </c>
      <c r="V357" s="1467">
        <f t="shared" si="98"/>
        <v>0</v>
      </c>
      <c r="W357" s="1471">
        <f t="shared" si="98"/>
        <v>3000</v>
      </c>
      <c r="X357" s="1473"/>
      <c r="Y357" s="1444"/>
    </row>
    <row r="358" spans="1:25" ht="24" customHeight="1" hidden="1">
      <c r="A358" s="1631">
        <v>3030</v>
      </c>
      <c r="B358" s="1632" t="s">
        <v>624</v>
      </c>
      <c r="C358" s="1633"/>
      <c r="D358" s="1457">
        <f>J358+R358</f>
        <v>0</v>
      </c>
      <c r="E358" s="1634"/>
      <c r="F358" s="1469"/>
      <c r="G358" s="1519"/>
      <c r="H358" s="1519" t="e">
        <f t="shared" si="89"/>
        <v>#DIV/0!</v>
      </c>
      <c r="I358" s="1534"/>
      <c r="J358" s="1635"/>
      <c r="K358" s="1633"/>
      <c r="L358" s="1633"/>
      <c r="M358" s="1636"/>
      <c r="N358" s="1636"/>
      <c r="O358" s="1636"/>
      <c r="P358" s="1471"/>
      <c r="Q358" s="1495" t="e">
        <f>P358/J358*100</f>
        <v>#DIV/0!</v>
      </c>
      <c r="R358" s="1461"/>
      <c r="S358" s="1457"/>
      <c r="T358" s="1457"/>
      <c r="U358" s="1457"/>
      <c r="V358" s="1457"/>
      <c r="W358" s="1462"/>
      <c r="X358" s="1464"/>
      <c r="Y358" s="1444"/>
    </row>
    <row r="359" spans="1:25" ht="12.75">
      <c r="A359" s="1637">
        <v>4300</v>
      </c>
      <c r="B359" s="1632" t="s">
        <v>564</v>
      </c>
      <c r="C359" s="1633"/>
      <c r="D359" s="1457">
        <f>J359+R359</f>
        <v>100</v>
      </c>
      <c r="E359" s="1634">
        <v>3000</v>
      </c>
      <c r="F359" s="1459">
        <f>P359+W359</f>
        <v>3000</v>
      </c>
      <c r="G359" s="1499"/>
      <c r="H359" s="1499">
        <f t="shared" si="89"/>
        <v>3000</v>
      </c>
      <c r="I359" s="1534"/>
      <c r="J359" s="1635"/>
      <c r="K359" s="1633"/>
      <c r="L359" s="1633"/>
      <c r="M359" s="1636"/>
      <c r="N359" s="1636"/>
      <c r="O359" s="1636"/>
      <c r="P359" s="1471"/>
      <c r="Q359" s="1495" t="e">
        <f>P359/J359*100</f>
        <v>#DIV/0!</v>
      </c>
      <c r="R359" s="1461">
        <v>100</v>
      </c>
      <c r="S359" s="1457">
        <v>3000</v>
      </c>
      <c r="T359" s="1457"/>
      <c r="U359" s="1457"/>
      <c r="V359" s="1457"/>
      <c r="W359" s="1462">
        <f>SUM(S359:V359)</f>
        <v>3000</v>
      </c>
      <c r="X359" s="1464"/>
      <c r="Y359" s="1444"/>
    </row>
    <row r="360" spans="1:25" s="1641" customFormat="1" ht="24">
      <c r="A360" s="1638">
        <v>75075</v>
      </c>
      <c r="B360" s="1639" t="s">
        <v>833</v>
      </c>
      <c r="C360" s="1447">
        <f>SUM(C361:C368)+C373</f>
        <v>0</v>
      </c>
      <c r="D360" s="1467">
        <f aca="true" t="shared" si="99" ref="D360:D378">J360+R360</f>
        <v>0</v>
      </c>
      <c r="E360" s="1448">
        <f>SUM(E361:E368)+E373</f>
        <v>1129880</v>
      </c>
      <c r="F360" s="1469">
        <f aca="true" t="shared" si="100" ref="F360:F378">P360+W360</f>
        <v>1120880</v>
      </c>
      <c r="G360" s="1519"/>
      <c r="H360" s="1519"/>
      <c r="I360" s="1534"/>
      <c r="J360" s="1449"/>
      <c r="K360" s="1447">
        <f>SUM(K361:K368)+K373</f>
        <v>1120880</v>
      </c>
      <c r="L360" s="1447">
        <f>SUM(L361:L368)+L373</f>
        <v>0</v>
      </c>
      <c r="M360" s="1447">
        <f>SUM(M361:M368)+M373</f>
        <v>0</v>
      </c>
      <c r="N360" s="1447">
        <f>SUM(N361:N368)+N373</f>
        <v>0</v>
      </c>
      <c r="O360" s="1640"/>
      <c r="P360" s="1471">
        <f>SUM(P361:P368)+P373</f>
        <v>1120880</v>
      </c>
      <c r="Q360" s="1453"/>
      <c r="R360" s="1451"/>
      <c r="S360" s="1447"/>
      <c r="T360" s="1447"/>
      <c r="U360" s="1447"/>
      <c r="V360" s="1447"/>
      <c r="W360" s="1452"/>
      <c r="X360" s="1454"/>
      <c r="Y360" s="1537"/>
    </row>
    <row r="361" spans="1:25" s="941" customFormat="1" ht="12.75">
      <c r="A361" s="1497">
        <v>4210</v>
      </c>
      <c r="B361" s="1513" t="s">
        <v>834</v>
      </c>
      <c r="C361" s="1633"/>
      <c r="D361" s="1457">
        <f t="shared" si="99"/>
        <v>0</v>
      </c>
      <c r="E361" s="1634">
        <v>56000</v>
      </c>
      <c r="F361" s="1459">
        <f t="shared" si="100"/>
        <v>56000</v>
      </c>
      <c r="G361" s="1499"/>
      <c r="H361" s="1499"/>
      <c r="I361" s="1533"/>
      <c r="J361" s="1635"/>
      <c r="K361" s="1633">
        <v>56000</v>
      </c>
      <c r="L361" s="1633"/>
      <c r="M361" s="1636"/>
      <c r="N361" s="1636"/>
      <c r="O361" s="1636"/>
      <c r="P361" s="1462">
        <f aca="true" t="shared" si="101" ref="P361:P378">SUM(K361:N361)</f>
        <v>56000</v>
      </c>
      <c r="Q361" s="1495"/>
      <c r="R361" s="1642"/>
      <c r="S361" s="1633"/>
      <c r="T361" s="1633"/>
      <c r="U361" s="1633"/>
      <c r="V361" s="1633"/>
      <c r="W361" s="1643"/>
      <c r="X361" s="1496"/>
      <c r="Y361" s="1644"/>
    </row>
    <row r="362" spans="1:25" s="941" customFormat="1" ht="12.75">
      <c r="A362" s="1497">
        <v>4300</v>
      </c>
      <c r="B362" s="1513" t="s">
        <v>835</v>
      </c>
      <c r="C362" s="1633"/>
      <c r="D362" s="1457">
        <f t="shared" si="99"/>
        <v>0</v>
      </c>
      <c r="E362" s="1634">
        <v>279000</v>
      </c>
      <c r="F362" s="1459">
        <f t="shared" si="100"/>
        <v>270000</v>
      </c>
      <c r="G362" s="1499"/>
      <c r="H362" s="1499"/>
      <c r="I362" s="1533"/>
      <c r="J362" s="1635"/>
      <c r="K362" s="1633">
        <v>270000</v>
      </c>
      <c r="L362" s="1633"/>
      <c r="M362" s="1636"/>
      <c r="N362" s="1636"/>
      <c r="O362" s="1636"/>
      <c r="P362" s="1462">
        <f t="shared" si="101"/>
        <v>270000</v>
      </c>
      <c r="Q362" s="1495"/>
      <c r="R362" s="1642"/>
      <c r="S362" s="1633"/>
      <c r="T362" s="1633"/>
      <c r="U362" s="1633"/>
      <c r="V362" s="1633"/>
      <c r="W362" s="1643"/>
      <c r="X362" s="1496"/>
      <c r="Y362" s="1644"/>
    </row>
    <row r="363" spans="1:25" s="941" customFormat="1" ht="24">
      <c r="A363" s="1497">
        <v>4350</v>
      </c>
      <c r="B363" s="1513" t="s">
        <v>836</v>
      </c>
      <c r="C363" s="1633"/>
      <c r="D363" s="1457">
        <f t="shared" si="99"/>
        <v>0</v>
      </c>
      <c r="E363" s="1634">
        <v>9000</v>
      </c>
      <c r="F363" s="1459">
        <f t="shared" si="100"/>
        <v>9000</v>
      </c>
      <c r="G363" s="1499"/>
      <c r="H363" s="1499"/>
      <c r="I363" s="1533"/>
      <c r="J363" s="1635"/>
      <c r="K363" s="1633">
        <v>9000</v>
      </c>
      <c r="L363" s="1633"/>
      <c r="M363" s="1636"/>
      <c r="N363" s="1636"/>
      <c r="O363" s="1636"/>
      <c r="P363" s="1462">
        <f t="shared" si="101"/>
        <v>9000</v>
      </c>
      <c r="Q363" s="1495"/>
      <c r="R363" s="1642"/>
      <c r="S363" s="1633"/>
      <c r="T363" s="1633"/>
      <c r="U363" s="1633"/>
      <c r="V363" s="1633"/>
      <c r="W363" s="1643"/>
      <c r="X363" s="1496"/>
      <c r="Y363" s="1644"/>
    </row>
    <row r="364" spans="1:25" s="941" customFormat="1" ht="12.75" hidden="1">
      <c r="A364" s="1497">
        <v>4430</v>
      </c>
      <c r="B364" s="1513" t="s">
        <v>837</v>
      </c>
      <c r="C364" s="1633"/>
      <c r="D364" s="1457">
        <f t="shared" si="99"/>
        <v>0</v>
      </c>
      <c r="E364" s="1634"/>
      <c r="F364" s="1459">
        <f t="shared" si="100"/>
        <v>0</v>
      </c>
      <c r="G364" s="1499"/>
      <c r="H364" s="1499"/>
      <c r="I364" s="1533"/>
      <c r="J364" s="1635"/>
      <c r="K364" s="1633"/>
      <c r="L364" s="1633"/>
      <c r="M364" s="1636"/>
      <c r="N364" s="1636"/>
      <c r="O364" s="1636"/>
      <c r="P364" s="1462">
        <f t="shared" si="101"/>
        <v>0</v>
      </c>
      <c r="Q364" s="1495"/>
      <c r="R364" s="1642"/>
      <c r="S364" s="1633"/>
      <c r="T364" s="1633"/>
      <c r="U364" s="1633"/>
      <c r="V364" s="1633"/>
      <c r="W364" s="1643"/>
      <c r="X364" s="1496"/>
      <c r="Y364" s="1644"/>
    </row>
    <row r="365" spans="1:25" s="941" customFormat="1" ht="36">
      <c r="A365" s="1497">
        <v>4301</v>
      </c>
      <c r="B365" s="1513" t="s">
        <v>838</v>
      </c>
      <c r="C365" s="1633"/>
      <c r="D365" s="1457">
        <f t="shared" si="99"/>
        <v>0</v>
      </c>
      <c r="E365" s="1634">
        <v>106380</v>
      </c>
      <c r="F365" s="1459">
        <f t="shared" si="100"/>
        <v>106380</v>
      </c>
      <c r="G365" s="1499"/>
      <c r="H365" s="1499"/>
      <c r="I365" s="1533"/>
      <c r="J365" s="1635"/>
      <c r="K365" s="1633">
        <v>106380</v>
      </c>
      <c r="L365" s="1633"/>
      <c r="M365" s="1636"/>
      <c r="N365" s="1636"/>
      <c r="O365" s="1636"/>
      <c r="P365" s="1462">
        <f t="shared" si="101"/>
        <v>106380</v>
      </c>
      <c r="Q365" s="1495"/>
      <c r="R365" s="1642"/>
      <c r="S365" s="1633"/>
      <c r="T365" s="1633"/>
      <c r="U365" s="1633"/>
      <c r="V365" s="1633"/>
      <c r="W365" s="1643"/>
      <c r="X365" s="1496"/>
      <c r="Y365" s="1644"/>
    </row>
    <row r="366" spans="1:25" s="941" customFormat="1" ht="36">
      <c r="A366" s="1497">
        <v>4302</v>
      </c>
      <c r="B366" s="1513" t="s">
        <v>838</v>
      </c>
      <c r="C366" s="1633"/>
      <c r="D366" s="1457">
        <f t="shared" si="99"/>
        <v>0</v>
      </c>
      <c r="E366" s="1634">
        <v>66666</v>
      </c>
      <c r="F366" s="1459">
        <f t="shared" si="100"/>
        <v>66666</v>
      </c>
      <c r="G366" s="1499"/>
      <c r="H366" s="1499"/>
      <c r="I366" s="1533"/>
      <c r="J366" s="1635"/>
      <c r="K366" s="1633">
        <v>66666</v>
      </c>
      <c r="L366" s="1633"/>
      <c r="M366" s="1636"/>
      <c r="N366" s="1636"/>
      <c r="O366" s="1636"/>
      <c r="P366" s="1462">
        <f t="shared" si="101"/>
        <v>66666</v>
      </c>
      <c r="Q366" s="1495"/>
      <c r="R366" s="1642"/>
      <c r="S366" s="1633"/>
      <c r="T366" s="1633"/>
      <c r="U366" s="1633"/>
      <c r="V366" s="1633"/>
      <c r="W366" s="1643"/>
      <c r="X366" s="1496"/>
      <c r="Y366" s="1644"/>
    </row>
    <row r="367" spans="1:25" s="941" customFormat="1" ht="12.75">
      <c r="A367" s="1497">
        <v>4300</v>
      </c>
      <c r="B367" s="1513" t="s">
        <v>839</v>
      </c>
      <c r="C367" s="1633"/>
      <c r="D367" s="1457">
        <f t="shared" si="99"/>
        <v>0</v>
      </c>
      <c r="E367" s="1634">
        <v>350000</v>
      </c>
      <c r="F367" s="1459">
        <f t="shared" si="100"/>
        <v>350000</v>
      </c>
      <c r="G367" s="1499"/>
      <c r="H367" s="1499"/>
      <c r="I367" s="1533"/>
      <c r="J367" s="1635"/>
      <c r="K367" s="1633">
        <v>350000</v>
      </c>
      <c r="L367" s="1633"/>
      <c r="M367" s="1636"/>
      <c r="N367" s="1636"/>
      <c r="O367" s="1636"/>
      <c r="P367" s="1462">
        <f t="shared" si="101"/>
        <v>350000</v>
      </c>
      <c r="Q367" s="1495"/>
      <c r="R367" s="1642"/>
      <c r="S367" s="1633"/>
      <c r="T367" s="1633"/>
      <c r="U367" s="1633"/>
      <c r="V367" s="1633"/>
      <c r="W367" s="1643"/>
      <c r="X367" s="1496"/>
      <c r="Y367" s="1644"/>
    </row>
    <row r="368" spans="1:25" s="1641" customFormat="1" ht="24">
      <c r="A368" s="1516"/>
      <c r="B368" s="1550" t="s">
        <v>775</v>
      </c>
      <c r="C368" s="1447"/>
      <c r="D368" s="1467">
        <f t="shared" si="99"/>
        <v>0</v>
      </c>
      <c r="E368" s="1448">
        <f>SUM(E369:E372)</f>
        <v>131782</v>
      </c>
      <c r="F368" s="1469">
        <f t="shared" si="100"/>
        <v>131782</v>
      </c>
      <c r="G368" s="1519"/>
      <c r="H368" s="1519"/>
      <c r="I368" s="1534"/>
      <c r="J368" s="1449"/>
      <c r="K368" s="1447">
        <f>SUM(K369:K372)</f>
        <v>131782</v>
      </c>
      <c r="L368" s="1447"/>
      <c r="M368" s="1640"/>
      <c r="N368" s="1640"/>
      <c r="O368" s="1640"/>
      <c r="P368" s="1471">
        <f t="shared" si="101"/>
        <v>131782</v>
      </c>
      <c r="Q368" s="1453"/>
      <c r="R368" s="1451"/>
      <c r="S368" s="1447"/>
      <c r="T368" s="1447"/>
      <c r="U368" s="1447"/>
      <c r="V368" s="1447"/>
      <c r="W368" s="1452"/>
      <c r="X368" s="1454"/>
      <c r="Y368" s="1537"/>
    </row>
    <row r="369" spans="1:25" s="941" customFormat="1" ht="12.75">
      <c r="A369" s="1497">
        <v>4112</v>
      </c>
      <c r="B369" s="1513" t="s">
        <v>568</v>
      </c>
      <c r="C369" s="1633"/>
      <c r="D369" s="1457">
        <f t="shared" si="99"/>
        <v>0</v>
      </c>
      <c r="E369" s="1634">
        <v>2000</v>
      </c>
      <c r="F369" s="1459">
        <f t="shared" si="100"/>
        <v>2000</v>
      </c>
      <c r="G369" s="1499"/>
      <c r="H369" s="1499"/>
      <c r="I369" s="1533"/>
      <c r="J369" s="1635"/>
      <c r="K369" s="1633">
        <v>2000</v>
      </c>
      <c r="L369" s="1633"/>
      <c r="M369" s="1636"/>
      <c r="N369" s="1636"/>
      <c r="O369" s="1636"/>
      <c r="P369" s="1462">
        <f t="shared" si="101"/>
        <v>2000</v>
      </c>
      <c r="Q369" s="1495"/>
      <c r="R369" s="1642"/>
      <c r="S369" s="1633"/>
      <c r="T369" s="1633"/>
      <c r="U369" s="1633"/>
      <c r="V369" s="1633"/>
      <c r="W369" s="1643"/>
      <c r="X369" s="1496"/>
      <c r="Y369" s="1644"/>
    </row>
    <row r="370" spans="1:25" s="941" customFormat="1" ht="12.75">
      <c r="A370" s="1497">
        <v>4122</v>
      </c>
      <c r="B370" s="1513" t="s">
        <v>758</v>
      </c>
      <c r="C370" s="1633"/>
      <c r="D370" s="1457">
        <f t="shared" si="99"/>
        <v>0</v>
      </c>
      <c r="E370" s="1634">
        <v>500</v>
      </c>
      <c r="F370" s="1459">
        <f t="shared" si="100"/>
        <v>500</v>
      </c>
      <c r="G370" s="1499"/>
      <c r="H370" s="1499"/>
      <c r="I370" s="1533"/>
      <c r="J370" s="1635"/>
      <c r="K370" s="1633">
        <v>500</v>
      </c>
      <c r="L370" s="1633"/>
      <c r="M370" s="1636"/>
      <c r="N370" s="1636"/>
      <c r="O370" s="1636"/>
      <c r="P370" s="1462">
        <f t="shared" si="101"/>
        <v>500</v>
      </c>
      <c r="Q370" s="1495"/>
      <c r="R370" s="1642"/>
      <c r="S370" s="1633"/>
      <c r="T370" s="1633"/>
      <c r="U370" s="1633"/>
      <c r="V370" s="1633"/>
      <c r="W370" s="1643"/>
      <c r="X370" s="1496"/>
      <c r="Y370" s="1644"/>
    </row>
    <row r="371" spans="1:25" s="941" customFormat="1" ht="12.75">
      <c r="A371" s="1497">
        <v>4301</v>
      </c>
      <c r="B371" s="1513" t="s">
        <v>653</v>
      </c>
      <c r="C371" s="1633"/>
      <c r="D371" s="1457">
        <f t="shared" si="99"/>
        <v>0</v>
      </c>
      <c r="E371" s="1634">
        <v>83680</v>
      </c>
      <c r="F371" s="1459">
        <f t="shared" si="100"/>
        <v>83680</v>
      </c>
      <c r="G371" s="1499"/>
      <c r="H371" s="1499"/>
      <c r="I371" s="1533"/>
      <c r="J371" s="1635"/>
      <c r="K371" s="1633">
        <v>83680</v>
      </c>
      <c r="L371" s="1633"/>
      <c r="M371" s="1636"/>
      <c r="N371" s="1636"/>
      <c r="O371" s="1636"/>
      <c r="P371" s="1462">
        <f t="shared" si="101"/>
        <v>83680</v>
      </c>
      <c r="Q371" s="1495"/>
      <c r="R371" s="1642"/>
      <c r="S371" s="1633"/>
      <c r="T371" s="1633"/>
      <c r="U371" s="1633"/>
      <c r="V371" s="1633"/>
      <c r="W371" s="1643"/>
      <c r="X371" s="1496"/>
      <c r="Y371" s="1644"/>
    </row>
    <row r="372" spans="1:25" s="941" customFormat="1" ht="12.75">
      <c r="A372" s="1497">
        <v>4302</v>
      </c>
      <c r="B372" s="1513" t="s">
        <v>653</v>
      </c>
      <c r="C372" s="1633"/>
      <c r="D372" s="1457">
        <f t="shared" si="99"/>
        <v>0</v>
      </c>
      <c r="E372" s="1634">
        <v>45602</v>
      </c>
      <c r="F372" s="1459">
        <f t="shared" si="100"/>
        <v>45602</v>
      </c>
      <c r="G372" s="1499"/>
      <c r="H372" s="1499"/>
      <c r="I372" s="1533"/>
      <c r="J372" s="1635"/>
      <c r="K372" s="1633">
        <v>45602</v>
      </c>
      <c r="L372" s="1633"/>
      <c r="M372" s="1636"/>
      <c r="N372" s="1636"/>
      <c r="O372" s="1636"/>
      <c r="P372" s="1462">
        <f t="shared" si="101"/>
        <v>45602</v>
      </c>
      <c r="Q372" s="1495"/>
      <c r="R372" s="1642"/>
      <c r="S372" s="1633"/>
      <c r="T372" s="1633"/>
      <c r="U372" s="1633"/>
      <c r="V372" s="1633"/>
      <c r="W372" s="1643"/>
      <c r="X372" s="1496"/>
      <c r="Y372" s="1644"/>
    </row>
    <row r="373" spans="1:25" s="1641" customFormat="1" ht="24">
      <c r="A373" s="1516"/>
      <c r="B373" s="1550" t="s">
        <v>776</v>
      </c>
      <c r="C373" s="1447"/>
      <c r="D373" s="1467">
        <f t="shared" si="99"/>
        <v>0</v>
      </c>
      <c r="E373" s="1448">
        <f>SUM(E374:E378)</f>
        <v>131052</v>
      </c>
      <c r="F373" s="1469">
        <f t="shared" si="100"/>
        <v>131052</v>
      </c>
      <c r="G373" s="1519"/>
      <c r="H373" s="1519"/>
      <c r="I373" s="1534"/>
      <c r="J373" s="1449"/>
      <c r="K373" s="1447">
        <f>SUM(K374:K378)</f>
        <v>131052</v>
      </c>
      <c r="L373" s="1447"/>
      <c r="M373" s="1640"/>
      <c r="N373" s="1640"/>
      <c r="O373" s="1640"/>
      <c r="P373" s="1471">
        <f t="shared" si="101"/>
        <v>131052</v>
      </c>
      <c r="Q373" s="1453"/>
      <c r="R373" s="1451"/>
      <c r="S373" s="1447"/>
      <c r="T373" s="1447"/>
      <c r="U373" s="1447"/>
      <c r="V373" s="1447"/>
      <c r="W373" s="1452"/>
      <c r="X373" s="1454"/>
      <c r="Y373" s="1537"/>
    </row>
    <row r="374" spans="1:25" s="941" customFormat="1" ht="12.75">
      <c r="A374" s="1497">
        <v>4112</v>
      </c>
      <c r="B374" s="1513" t="s">
        <v>568</v>
      </c>
      <c r="C374" s="1633"/>
      <c r="D374" s="1457">
        <f t="shared" si="99"/>
        <v>0</v>
      </c>
      <c r="E374" s="1634">
        <v>1500</v>
      </c>
      <c r="F374" s="1459">
        <f t="shared" si="100"/>
        <v>1500</v>
      </c>
      <c r="G374" s="1499"/>
      <c r="H374" s="1499"/>
      <c r="I374" s="1533"/>
      <c r="J374" s="1635"/>
      <c r="K374" s="1633">
        <v>1500</v>
      </c>
      <c r="L374" s="1633"/>
      <c r="M374" s="1636"/>
      <c r="N374" s="1636"/>
      <c r="O374" s="1636"/>
      <c r="P374" s="1462">
        <f t="shared" si="101"/>
        <v>1500</v>
      </c>
      <c r="Q374" s="1495"/>
      <c r="R374" s="1642"/>
      <c r="S374" s="1633"/>
      <c r="T374" s="1633"/>
      <c r="U374" s="1633"/>
      <c r="V374" s="1633"/>
      <c r="W374" s="1643"/>
      <c r="X374" s="1496"/>
      <c r="Y374" s="1644"/>
    </row>
    <row r="375" spans="1:25" s="941" customFormat="1" ht="12.75">
      <c r="A375" s="1497">
        <v>4211</v>
      </c>
      <c r="B375" s="1513" t="s">
        <v>560</v>
      </c>
      <c r="C375" s="1633"/>
      <c r="D375" s="1457">
        <f t="shared" si="99"/>
        <v>0</v>
      </c>
      <c r="E375" s="1634">
        <v>1518</v>
      </c>
      <c r="F375" s="1459">
        <f t="shared" si="100"/>
        <v>1518</v>
      </c>
      <c r="G375" s="1499"/>
      <c r="H375" s="1499"/>
      <c r="I375" s="1533"/>
      <c r="J375" s="1635"/>
      <c r="K375" s="1633">
        <v>1518</v>
      </c>
      <c r="L375" s="1633"/>
      <c r="M375" s="1636"/>
      <c r="N375" s="1636"/>
      <c r="O375" s="1636"/>
      <c r="P375" s="1462">
        <f t="shared" si="101"/>
        <v>1518</v>
      </c>
      <c r="Q375" s="1495"/>
      <c r="R375" s="1642"/>
      <c r="S375" s="1633"/>
      <c r="T375" s="1633"/>
      <c r="U375" s="1633"/>
      <c r="V375" s="1633"/>
      <c r="W375" s="1643"/>
      <c r="X375" s="1496"/>
      <c r="Y375" s="1644"/>
    </row>
    <row r="376" spans="1:25" s="941" customFormat="1" ht="12.75">
      <c r="A376" s="1497">
        <v>4212</v>
      </c>
      <c r="B376" s="1513" t="s">
        <v>560</v>
      </c>
      <c r="C376" s="1633"/>
      <c r="D376" s="1457">
        <f t="shared" si="99"/>
        <v>0</v>
      </c>
      <c r="E376" s="1634">
        <v>951</v>
      </c>
      <c r="F376" s="1459">
        <f>P376+W376</f>
        <v>951</v>
      </c>
      <c r="G376" s="1499"/>
      <c r="H376" s="1499"/>
      <c r="I376" s="1533"/>
      <c r="J376" s="1635"/>
      <c r="K376" s="1633">
        <v>951</v>
      </c>
      <c r="L376" s="1633"/>
      <c r="M376" s="1636"/>
      <c r="N376" s="1636"/>
      <c r="O376" s="1636"/>
      <c r="P376" s="1462">
        <f t="shared" si="101"/>
        <v>951</v>
      </c>
      <c r="Q376" s="1495"/>
      <c r="R376" s="1642"/>
      <c r="S376" s="1633"/>
      <c r="T376" s="1633"/>
      <c r="U376" s="1633"/>
      <c r="V376" s="1633"/>
      <c r="W376" s="1643"/>
      <c r="X376" s="1496"/>
      <c r="Y376" s="1644"/>
    </row>
    <row r="377" spans="1:25" s="571" customFormat="1" ht="12.75">
      <c r="A377" s="1485">
        <v>4301</v>
      </c>
      <c r="B377" s="1513" t="s">
        <v>653</v>
      </c>
      <c r="C377" s="1633"/>
      <c r="D377" s="1457">
        <f t="shared" si="99"/>
        <v>0</v>
      </c>
      <c r="E377" s="1634">
        <v>78124</v>
      </c>
      <c r="F377" s="1459">
        <f t="shared" si="100"/>
        <v>78124</v>
      </c>
      <c r="G377" s="1499"/>
      <c r="H377" s="1499"/>
      <c r="I377" s="1533"/>
      <c r="J377" s="1635"/>
      <c r="K377" s="1633">
        <v>78124</v>
      </c>
      <c r="L377" s="1633"/>
      <c r="M377" s="1636"/>
      <c r="N377" s="1636"/>
      <c r="O377" s="1636"/>
      <c r="P377" s="1462">
        <f t="shared" si="101"/>
        <v>78124</v>
      </c>
      <c r="Q377" s="1495"/>
      <c r="R377" s="1642"/>
      <c r="S377" s="1633"/>
      <c r="T377" s="1633"/>
      <c r="U377" s="1633"/>
      <c r="V377" s="1633"/>
      <c r="W377" s="1643"/>
      <c r="X377" s="1496"/>
      <c r="Y377" s="1300"/>
    </row>
    <row r="378" spans="1:25" s="571" customFormat="1" ht="12.75">
      <c r="A378" s="1497">
        <v>4302</v>
      </c>
      <c r="B378" s="1513" t="s">
        <v>653</v>
      </c>
      <c r="C378" s="1633"/>
      <c r="D378" s="1457">
        <f t="shared" si="99"/>
        <v>0</v>
      </c>
      <c r="E378" s="1634">
        <v>48959</v>
      </c>
      <c r="F378" s="1459">
        <f t="shared" si="100"/>
        <v>48959</v>
      </c>
      <c r="G378" s="1499"/>
      <c r="H378" s="1499"/>
      <c r="I378" s="1533"/>
      <c r="J378" s="1635"/>
      <c r="K378" s="1633">
        <v>48959</v>
      </c>
      <c r="L378" s="1633"/>
      <c r="M378" s="1636"/>
      <c r="N378" s="1636"/>
      <c r="O378" s="1636"/>
      <c r="P378" s="1462">
        <f t="shared" si="101"/>
        <v>48959</v>
      </c>
      <c r="Q378" s="1495"/>
      <c r="R378" s="1642"/>
      <c r="S378" s="1633"/>
      <c r="T378" s="1633"/>
      <c r="U378" s="1633"/>
      <c r="V378" s="1633"/>
      <c r="W378" s="1643"/>
      <c r="X378" s="1496"/>
      <c r="Y378" s="1300"/>
    </row>
    <row r="379" spans="1:28" s="581" customFormat="1" ht="12.75">
      <c r="A379" s="1493">
        <v>75095</v>
      </c>
      <c r="B379" s="1506" t="s">
        <v>840</v>
      </c>
      <c r="C379" s="1447">
        <f>SUM(C380:C385)</f>
        <v>108746</v>
      </c>
      <c r="D379" s="1447">
        <f>SUM(D380:D385)</f>
        <v>117176</v>
      </c>
      <c r="E379" s="1448">
        <f>SUM(E380:E385)</f>
        <v>134410</v>
      </c>
      <c r="F379" s="1449">
        <f>SUM(F380:F385)</f>
        <v>134410</v>
      </c>
      <c r="G379" s="1519">
        <f t="shared" si="91"/>
        <v>123.59994850385301</v>
      </c>
      <c r="H379" s="1519">
        <f t="shared" si="89"/>
        <v>114.70778999112446</v>
      </c>
      <c r="I379" s="1534"/>
      <c r="J379" s="1449">
        <f>SUM(J380:J385)</f>
        <v>117176</v>
      </c>
      <c r="K379" s="1447">
        <f>SUM(K380:K385)</f>
        <v>134410</v>
      </c>
      <c r="L379" s="1447">
        <f>SUM(L380:L385)</f>
        <v>0</v>
      </c>
      <c r="M379" s="1447">
        <f>SUM(M380:M385)</f>
        <v>0</v>
      </c>
      <c r="N379" s="1447">
        <f>SUM(N380:N385)</f>
        <v>0</v>
      </c>
      <c r="O379" s="1447"/>
      <c r="P379" s="1452">
        <f>SUM(P380:P385)</f>
        <v>134410</v>
      </c>
      <c r="Q379" s="1453">
        <f>P379/J379*100</f>
        <v>114.70778999112446</v>
      </c>
      <c r="R379" s="1451"/>
      <c r="S379" s="1447"/>
      <c r="T379" s="1447"/>
      <c r="U379" s="1447"/>
      <c r="V379" s="1447"/>
      <c r="W379" s="1452"/>
      <c r="X379" s="1454"/>
      <c r="Y379" s="1444"/>
      <c r="Z379" s="1444">
        <f>SUM(K380:K380)</f>
        <v>2380</v>
      </c>
      <c r="AB379" s="1444">
        <f>Z379+AA379</f>
        <v>2380</v>
      </c>
    </row>
    <row r="380" spans="1:25" ht="17.25" customHeight="1">
      <c r="A380" s="1497">
        <v>4110</v>
      </c>
      <c r="B380" s="1513" t="s">
        <v>568</v>
      </c>
      <c r="C380" s="1457">
        <v>1200</v>
      </c>
      <c r="D380" s="1457">
        <f aca="true" t="shared" si="102" ref="D380:D385">J380+R380</f>
        <v>2150</v>
      </c>
      <c r="E380" s="1458">
        <v>2380</v>
      </c>
      <c r="F380" s="1459">
        <f aca="true" t="shared" si="103" ref="F380:F385">P380+W380</f>
        <v>2380</v>
      </c>
      <c r="G380" s="1499">
        <f t="shared" si="91"/>
        <v>198.33333333333334</v>
      </c>
      <c r="H380" s="1499">
        <f t="shared" si="89"/>
        <v>110.69767441860465</v>
      </c>
      <c r="I380" s="1534"/>
      <c r="J380" s="1459">
        <v>2150</v>
      </c>
      <c r="K380" s="1457">
        <v>2380</v>
      </c>
      <c r="L380" s="1457"/>
      <c r="M380" s="1457"/>
      <c r="N380" s="1457"/>
      <c r="O380" s="1457"/>
      <c r="P380" s="1462">
        <f aca="true" t="shared" si="104" ref="P380:P385">SUM(K380:N380)</f>
        <v>2380</v>
      </c>
      <c r="Q380" s="1495">
        <f>P380/J380*100</f>
        <v>110.69767441860465</v>
      </c>
      <c r="R380" s="1461"/>
      <c r="S380" s="1457"/>
      <c r="T380" s="1457"/>
      <c r="U380" s="1457"/>
      <c r="V380" s="1457"/>
      <c r="W380" s="1462"/>
      <c r="X380" s="1496"/>
      <c r="Y380" s="1444"/>
    </row>
    <row r="381" spans="1:25" ht="17.25" customHeight="1">
      <c r="A381" s="1497">
        <v>4170</v>
      </c>
      <c r="B381" s="1513" t="s">
        <v>572</v>
      </c>
      <c r="C381" s="1457"/>
      <c r="D381" s="1457">
        <f t="shared" si="102"/>
        <v>30990</v>
      </c>
      <c r="E381" s="1458">
        <v>32710</v>
      </c>
      <c r="F381" s="1459">
        <f t="shared" si="103"/>
        <v>32710</v>
      </c>
      <c r="G381" s="1499"/>
      <c r="H381" s="1499">
        <f t="shared" si="89"/>
        <v>105.55017747660536</v>
      </c>
      <c r="I381" s="1450"/>
      <c r="J381" s="1461">
        <v>30990</v>
      </c>
      <c r="K381" s="1457">
        <v>32710</v>
      </c>
      <c r="L381" s="1457"/>
      <c r="M381" s="1457"/>
      <c r="N381" s="1457"/>
      <c r="O381" s="1457"/>
      <c r="P381" s="1462">
        <f t="shared" si="104"/>
        <v>32710</v>
      </c>
      <c r="Q381" s="1495"/>
      <c r="R381" s="1461"/>
      <c r="S381" s="1457"/>
      <c r="T381" s="1457"/>
      <c r="U381" s="1457"/>
      <c r="V381" s="1457"/>
      <c r="W381" s="1462"/>
      <c r="X381" s="1496"/>
      <c r="Y381" s="1444"/>
    </row>
    <row r="382" spans="1:25" ht="17.25" customHeight="1">
      <c r="A382" s="1497">
        <v>4210</v>
      </c>
      <c r="B382" s="1513" t="s">
        <v>560</v>
      </c>
      <c r="C382" s="1457">
        <v>16005</v>
      </c>
      <c r="D382" s="1457">
        <f t="shared" si="102"/>
        <v>16480</v>
      </c>
      <c r="E382" s="1458">
        <v>22740</v>
      </c>
      <c r="F382" s="1459">
        <f t="shared" si="103"/>
        <v>22740</v>
      </c>
      <c r="G382" s="1499">
        <f t="shared" si="91"/>
        <v>142.08059981255857</v>
      </c>
      <c r="H382" s="1499">
        <f t="shared" si="89"/>
        <v>137.98543689320388</v>
      </c>
      <c r="I382" s="1450"/>
      <c r="J382" s="1461">
        <v>16480</v>
      </c>
      <c r="K382" s="1457">
        <v>22740</v>
      </c>
      <c r="L382" s="1457"/>
      <c r="M382" s="1457"/>
      <c r="N382" s="1457"/>
      <c r="O382" s="1457"/>
      <c r="P382" s="1462">
        <f t="shared" si="104"/>
        <v>22740</v>
      </c>
      <c r="Q382" s="1495">
        <f aca="true" t="shared" si="105" ref="Q382:Q388">P382/J382*100</f>
        <v>137.98543689320388</v>
      </c>
      <c r="R382" s="1461"/>
      <c r="S382" s="1457"/>
      <c r="T382" s="1457"/>
      <c r="U382" s="1457"/>
      <c r="V382" s="1457"/>
      <c r="W382" s="1462"/>
      <c r="X382" s="1496"/>
      <c r="Y382" s="1444"/>
    </row>
    <row r="383" spans="1:25" ht="17.25" customHeight="1">
      <c r="A383" s="1497">
        <v>4260</v>
      </c>
      <c r="B383" s="1513" t="s">
        <v>575</v>
      </c>
      <c r="C383" s="1457">
        <v>3800</v>
      </c>
      <c r="D383" s="1457">
        <f t="shared" si="102"/>
        <v>14600</v>
      </c>
      <c r="E383" s="1514">
        <v>8340</v>
      </c>
      <c r="F383" s="1457">
        <f t="shared" si="103"/>
        <v>8340</v>
      </c>
      <c r="G383" s="1499">
        <f t="shared" si="91"/>
        <v>219.4736842105263</v>
      </c>
      <c r="H383" s="1499">
        <f t="shared" si="89"/>
        <v>57.12328767123288</v>
      </c>
      <c r="I383" s="1450"/>
      <c r="J383" s="1461">
        <v>14600</v>
      </c>
      <c r="K383" s="1457">
        <v>8340</v>
      </c>
      <c r="L383" s="1457"/>
      <c r="M383" s="1457"/>
      <c r="N383" s="1457"/>
      <c r="O383" s="1457"/>
      <c r="P383" s="1462">
        <f t="shared" si="104"/>
        <v>8340</v>
      </c>
      <c r="Q383" s="1495">
        <f t="shared" si="105"/>
        <v>57.12328767123288</v>
      </c>
      <c r="R383" s="1461"/>
      <c r="S383" s="1457"/>
      <c r="T383" s="1457"/>
      <c r="U383" s="1457"/>
      <c r="V383" s="1457"/>
      <c r="W383" s="1462"/>
      <c r="X383" s="1496"/>
      <c r="Y383" s="1444"/>
    </row>
    <row r="384" spans="1:25" ht="17.25" customHeight="1">
      <c r="A384" s="1497">
        <v>4300</v>
      </c>
      <c r="B384" s="1513" t="s">
        <v>841</v>
      </c>
      <c r="C384" s="1457">
        <v>40485</v>
      </c>
      <c r="D384" s="1457">
        <f t="shared" si="102"/>
        <v>17500</v>
      </c>
      <c r="E384" s="1514">
        <v>26990</v>
      </c>
      <c r="F384" s="1457">
        <f t="shared" si="103"/>
        <v>26990</v>
      </c>
      <c r="G384" s="1499">
        <f t="shared" si="91"/>
        <v>66.66666666666666</v>
      </c>
      <c r="H384" s="1499">
        <f t="shared" si="89"/>
        <v>154.22857142857143</v>
      </c>
      <c r="I384" s="1450"/>
      <c r="J384" s="1461">
        <f>52956-35456</f>
        <v>17500</v>
      </c>
      <c r="K384" s="1457">
        <v>26990</v>
      </c>
      <c r="L384" s="1457"/>
      <c r="M384" s="1457"/>
      <c r="N384" s="1457"/>
      <c r="O384" s="1457"/>
      <c r="P384" s="1462">
        <f t="shared" si="104"/>
        <v>26990</v>
      </c>
      <c r="Q384" s="1495">
        <f t="shared" si="105"/>
        <v>154.22857142857143</v>
      </c>
      <c r="R384" s="1461"/>
      <c r="S384" s="1457"/>
      <c r="T384" s="1457"/>
      <c r="U384" s="1457"/>
      <c r="V384" s="1457"/>
      <c r="W384" s="1462"/>
      <c r="X384" s="1496"/>
      <c r="Y384" s="1444"/>
    </row>
    <row r="385" spans="1:25" ht="17.25" customHeight="1">
      <c r="A385" s="1497">
        <v>4300</v>
      </c>
      <c r="B385" s="1513" t="s">
        <v>842</v>
      </c>
      <c r="C385" s="1457">
        <v>47256</v>
      </c>
      <c r="D385" s="1457">
        <f t="shared" si="102"/>
        <v>35456</v>
      </c>
      <c r="E385" s="1549">
        <v>41250</v>
      </c>
      <c r="F385" s="1457">
        <f t="shared" si="103"/>
        <v>41250</v>
      </c>
      <c r="G385" s="1499">
        <f t="shared" si="91"/>
        <v>87.29050279329608</v>
      </c>
      <c r="H385" s="1499">
        <f t="shared" si="89"/>
        <v>116.34138086642601</v>
      </c>
      <c r="I385" s="1450"/>
      <c r="J385" s="1461">
        <v>35456</v>
      </c>
      <c r="K385" s="1457">
        <v>41250</v>
      </c>
      <c r="L385" s="1457"/>
      <c r="M385" s="1457"/>
      <c r="N385" s="1457"/>
      <c r="O385" s="1457"/>
      <c r="P385" s="1462">
        <f t="shared" si="104"/>
        <v>41250</v>
      </c>
      <c r="Q385" s="1495">
        <f t="shared" si="105"/>
        <v>116.34138086642601</v>
      </c>
      <c r="R385" s="1461"/>
      <c r="S385" s="1457"/>
      <c r="T385" s="1457"/>
      <c r="U385" s="1457"/>
      <c r="V385" s="1457"/>
      <c r="W385" s="1462"/>
      <c r="X385" s="1496"/>
      <c r="Y385" s="1444"/>
    </row>
    <row r="386" spans="1:25" s="581" customFormat="1" ht="12.75">
      <c r="A386" s="1516">
        <v>75095</v>
      </c>
      <c r="B386" s="1550" t="s">
        <v>209</v>
      </c>
      <c r="C386" s="1467">
        <f>SUM(C387:C420)</f>
        <v>1216400</v>
      </c>
      <c r="D386" s="1467">
        <f>SUM(D387:D420)</f>
        <v>1419007</v>
      </c>
      <c r="E386" s="1518">
        <f>SUM(E387:E420)</f>
        <v>1201000</v>
      </c>
      <c r="F386" s="1467">
        <f>SUM(F387:F420)</f>
        <v>1082200</v>
      </c>
      <c r="G386" s="1519">
        <f t="shared" si="91"/>
        <v>88.9674449194344</v>
      </c>
      <c r="H386" s="1519">
        <f t="shared" si="89"/>
        <v>76.26459911755192</v>
      </c>
      <c r="I386" s="1450"/>
      <c r="J386" s="1470">
        <f>SUM(J387:J420)</f>
        <v>1419007</v>
      </c>
      <c r="K386" s="1469">
        <f>SUM(K387:K420)</f>
        <v>1082200</v>
      </c>
      <c r="L386" s="1469">
        <f>SUM(L387:L420)</f>
        <v>0</v>
      </c>
      <c r="M386" s="1469">
        <f>SUM(M387:M420)</f>
        <v>0</v>
      </c>
      <c r="N386" s="1467">
        <f>SUM(N387:N420)</f>
        <v>0</v>
      </c>
      <c r="O386" s="1556"/>
      <c r="P386" s="1471">
        <f>SUM(P387:P420)</f>
        <v>1082200</v>
      </c>
      <c r="Q386" s="1453">
        <f t="shared" si="105"/>
        <v>76.26459911755192</v>
      </c>
      <c r="R386" s="1470"/>
      <c r="S386" s="1556"/>
      <c r="T386" s="1467"/>
      <c r="U386" s="1467"/>
      <c r="V386" s="1467"/>
      <c r="W386" s="1471"/>
      <c r="X386" s="1454"/>
      <c r="Y386" s="1444"/>
    </row>
    <row r="387" spans="1:25" s="581" customFormat="1" ht="24">
      <c r="A387" s="1497">
        <v>4110</v>
      </c>
      <c r="B387" s="1513" t="s">
        <v>843</v>
      </c>
      <c r="C387" s="1457">
        <v>1000</v>
      </c>
      <c r="D387" s="1457">
        <f aca="true" t="shared" si="106" ref="D387:D400">J387+R387</f>
        <v>1000</v>
      </c>
      <c r="E387" s="1549">
        <v>1000</v>
      </c>
      <c r="F387" s="1457">
        <f aca="true" t="shared" si="107" ref="F387:F402">P387+W387</f>
        <v>200</v>
      </c>
      <c r="G387" s="1499">
        <f t="shared" si="91"/>
        <v>20</v>
      </c>
      <c r="H387" s="1499">
        <f t="shared" si="89"/>
        <v>20</v>
      </c>
      <c r="I387" s="1450"/>
      <c r="J387" s="1461">
        <v>1000</v>
      </c>
      <c r="K387" s="1457">
        <v>200</v>
      </c>
      <c r="L387" s="1467"/>
      <c r="M387" s="1467"/>
      <c r="N387" s="1467"/>
      <c r="O387" s="1467"/>
      <c r="P387" s="1462">
        <f aca="true" t="shared" si="108" ref="P387:P402">SUM(K387:N387)</f>
        <v>200</v>
      </c>
      <c r="Q387" s="1495">
        <f t="shared" si="105"/>
        <v>20</v>
      </c>
      <c r="R387" s="1470"/>
      <c r="S387" s="1467"/>
      <c r="T387" s="1467"/>
      <c r="U387" s="1467"/>
      <c r="V387" s="1467"/>
      <c r="W387" s="1471"/>
      <c r="X387" s="1454"/>
      <c r="Y387" s="1444"/>
    </row>
    <row r="388" spans="1:25" s="581" customFormat="1" ht="24">
      <c r="A388" s="1497">
        <v>3020</v>
      </c>
      <c r="B388" s="1513" t="s">
        <v>717</v>
      </c>
      <c r="C388" s="1457">
        <v>2500</v>
      </c>
      <c r="D388" s="1457">
        <f t="shared" si="106"/>
        <v>0</v>
      </c>
      <c r="E388" s="1514"/>
      <c r="F388" s="1457">
        <f t="shared" si="107"/>
        <v>0</v>
      </c>
      <c r="G388" s="1499">
        <f t="shared" si="91"/>
        <v>0</v>
      </c>
      <c r="H388" s="1499"/>
      <c r="I388" s="1450"/>
      <c r="J388" s="1461">
        <v>0</v>
      </c>
      <c r="K388" s="1457"/>
      <c r="L388" s="1467"/>
      <c r="M388" s="1467"/>
      <c r="N388" s="1467"/>
      <c r="O388" s="1467"/>
      <c r="P388" s="1462">
        <f t="shared" si="108"/>
        <v>0</v>
      </c>
      <c r="Q388" s="1495" t="e">
        <f t="shared" si="105"/>
        <v>#DIV/0!</v>
      </c>
      <c r="R388" s="1470"/>
      <c r="S388" s="1467"/>
      <c r="T388" s="1467"/>
      <c r="U388" s="1467"/>
      <c r="V388" s="1467"/>
      <c r="W388" s="1471"/>
      <c r="X388" s="1454"/>
      <c r="Y388" s="1444"/>
    </row>
    <row r="389" spans="1:25" s="581" customFormat="1" ht="24">
      <c r="A389" s="1497">
        <v>3040</v>
      </c>
      <c r="B389" s="1513" t="s">
        <v>844</v>
      </c>
      <c r="C389" s="1457"/>
      <c r="D389" s="1457">
        <f t="shared" si="106"/>
        <v>2550</v>
      </c>
      <c r="E389" s="1458"/>
      <c r="F389" s="1459">
        <f t="shared" si="107"/>
        <v>0</v>
      </c>
      <c r="G389" s="1499"/>
      <c r="H389" s="1499">
        <f t="shared" si="89"/>
        <v>0</v>
      </c>
      <c r="I389" s="1450"/>
      <c r="J389" s="1461">
        <v>2550</v>
      </c>
      <c r="K389" s="1457"/>
      <c r="L389" s="1467"/>
      <c r="M389" s="1467"/>
      <c r="N389" s="1467"/>
      <c r="O389" s="1467"/>
      <c r="P389" s="1462">
        <f t="shared" si="108"/>
        <v>0</v>
      </c>
      <c r="Q389" s="1495"/>
      <c r="R389" s="1470"/>
      <c r="S389" s="1467"/>
      <c r="T389" s="1467"/>
      <c r="U389" s="1467"/>
      <c r="V389" s="1467"/>
      <c r="W389" s="1471"/>
      <c r="X389" s="1454"/>
      <c r="Y389" s="1444"/>
    </row>
    <row r="390" spans="1:25" s="581" customFormat="1" ht="24">
      <c r="A390" s="1497">
        <v>3040</v>
      </c>
      <c r="B390" s="1513" t="s">
        <v>845</v>
      </c>
      <c r="C390" s="1457"/>
      <c r="D390" s="1457">
        <f t="shared" si="106"/>
        <v>2500</v>
      </c>
      <c r="E390" s="1458">
        <v>1000</v>
      </c>
      <c r="F390" s="1459">
        <f t="shared" si="107"/>
        <v>4000</v>
      </c>
      <c r="G390" s="1499"/>
      <c r="H390" s="1499">
        <f t="shared" si="89"/>
        <v>160</v>
      </c>
      <c r="I390" s="1450"/>
      <c r="J390" s="1461">
        <v>2500</v>
      </c>
      <c r="K390" s="1457">
        <v>4000</v>
      </c>
      <c r="L390" s="1467"/>
      <c r="M390" s="1467"/>
      <c r="N390" s="1467"/>
      <c r="O390" s="1467"/>
      <c r="P390" s="1462">
        <f t="shared" si="108"/>
        <v>4000</v>
      </c>
      <c r="Q390" s="1495"/>
      <c r="R390" s="1470"/>
      <c r="S390" s="1467"/>
      <c r="T390" s="1467"/>
      <c r="U390" s="1467"/>
      <c r="V390" s="1467"/>
      <c r="W390" s="1471"/>
      <c r="X390" s="1454"/>
      <c r="Y390" s="1444"/>
    </row>
    <row r="391" spans="1:25" s="581" customFormat="1" ht="12.75">
      <c r="A391" s="1497">
        <v>4120</v>
      </c>
      <c r="B391" s="1513" t="s">
        <v>846</v>
      </c>
      <c r="C391" s="1457">
        <v>1000</v>
      </c>
      <c r="D391" s="1457">
        <f t="shared" si="106"/>
        <v>1000</v>
      </c>
      <c r="E391" s="1458">
        <v>1000</v>
      </c>
      <c r="F391" s="1459">
        <f t="shared" si="107"/>
        <v>1000</v>
      </c>
      <c r="G391" s="1499">
        <f t="shared" si="91"/>
        <v>100</v>
      </c>
      <c r="H391" s="1499">
        <f t="shared" si="89"/>
        <v>100</v>
      </c>
      <c r="I391" s="1450"/>
      <c r="J391" s="1461">
        <v>1000</v>
      </c>
      <c r="K391" s="1457">
        <v>1000</v>
      </c>
      <c r="L391" s="1467"/>
      <c r="M391" s="1467"/>
      <c r="N391" s="1467"/>
      <c r="O391" s="1467"/>
      <c r="P391" s="1462">
        <f t="shared" si="108"/>
        <v>1000</v>
      </c>
      <c r="Q391" s="1495"/>
      <c r="R391" s="1470"/>
      <c r="S391" s="1467"/>
      <c r="T391" s="1467"/>
      <c r="U391" s="1467"/>
      <c r="V391" s="1467"/>
      <c r="W391" s="1471"/>
      <c r="X391" s="1454"/>
      <c r="Y391" s="1444"/>
    </row>
    <row r="392" spans="1:25" s="581" customFormat="1" ht="12.75">
      <c r="A392" s="1645">
        <v>4170</v>
      </c>
      <c r="B392" s="1513" t="s">
        <v>847</v>
      </c>
      <c r="C392" s="1457"/>
      <c r="D392" s="1457">
        <f t="shared" si="106"/>
        <v>3000</v>
      </c>
      <c r="E392" s="1458">
        <v>1000</v>
      </c>
      <c r="F392" s="1459">
        <f t="shared" si="107"/>
        <v>1000</v>
      </c>
      <c r="G392" s="1499"/>
      <c r="H392" s="1499">
        <f t="shared" si="89"/>
        <v>33.33333333333333</v>
      </c>
      <c r="I392" s="1450"/>
      <c r="J392" s="1461">
        <v>3000</v>
      </c>
      <c r="K392" s="1457">
        <v>1000</v>
      </c>
      <c r="L392" s="1467"/>
      <c r="M392" s="1467"/>
      <c r="N392" s="1467"/>
      <c r="O392" s="1467"/>
      <c r="P392" s="1462">
        <f t="shared" si="108"/>
        <v>1000</v>
      </c>
      <c r="Q392" s="1495"/>
      <c r="R392" s="1470"/>
      <c r="S392" s="1467"/>
      <c r="T392" s="1467"/>
      <c r="U392" s="1467"/>
      <c r="V392" s="1467"/>
      <c r="W392" s="1471"/>
      <c r="X392" s="1454"/>
      <c r="Y392" s="1444"/>
    </row>
    <row r="393" spans="1:25" ht="24">
      <c r="A393" s="1497">
        <v>4210</v>
      </c>
      <c r="B393" s="1513" t="s">
        <v>848</v>
      </c>
      <c r="C393" s="1457">
        <v>6000</v>
      </c>
      <c r="D393" s="1457">
        <f t="shared" si="106"/>
        <v>8352</v>
      </c>
      <c r="E393" s="1458">
        <v>50000</v>
      </c>
      <c r="F393" s="1459">
        <f t="shared" si="107"/>
        <v>9000</v>
      </c>
      <c r="G393" s="1499">
        <f t="shared" si="91"/>
        <v>150</v>
      </c>
      <c r="H393" s="1499">
        <f t="shared" si="89"/>
        <v>107.75862068965519</v>
      </c>
      <c r="I393" s="1450"/>
      <c r="J393" s="1461">
        <v>8352</v>
      </c>
      <c r="K393" s="1457">
        <v>9000</v>
      </c>
      <c r="L393" s="1457"/>
      <c r="M393" s="1457"/>
      <c r="N393" s="1457"/>
      <c r="O393" s="1457"/>
      <c r="P393" s="1462">
        <f t="shared" si="108"/>
        <v>9000</v>
      </c>
      <c r="Q393" s="1495">
        <f>P393/J393*100</f>
        <v>107.75862068965519</v>
      </c>
      <c r="R393" s="1461"/>
      <c r="S393" s="1457"/>
      <c r="T393" s="1457"/>
      <c r="U393" s="1457"/>
      <c r="V393" s="1457"/>
      <c r="W393" s="1462"/>
      <c r="X393" s="1496"/>
      <c r="Y393" s="1444"/>
    </row>
    <row r="394" spans="1:25" ht="12.75">
      <c r="A394" s="1497">
        <v>4210</v>
      </c>
      <c r="B394" s="1513" t="s">
        <v>834</v>
      </c>
      <c r="C394" s="1457">
        <v>81000</v>
      </c>
      <c r="D394" s="1457">
        <f t="shared" si="106"/>
        <v>36850</v>
      </c>
      <c r="E394" s="1458"/>
      <c r="F394" s="1459">
        <f t="shared" si="107"/>
        <v>0</v>
      </c>
      <c r="G394" s="1499">
        <f t="shared" si="91"/>
        <v>0</v>
      </c>
      <c r="H394" s="1499">
        <f t="shared" si="89"/>
        <v>0</v>
      </c>
      <c r="I394" s="1450"/>
      <c r="J394" s="1461">
        <v>36850</v>
      </c>
      <c r="K394" s="1457"/>
      <c r="L394" s="1457"/>
      <c r="M394" s="1457"/>
      <c r="N394" s="1457"/>
      <c r="O394" s="1457"/>
      <c r="P394" s="1462">
        <f t="shared" si="108"/>
        <v>0</v>
      </c>
      <c r="Q394" s="1495">
        <f>P394/J394*100</f>
        <v>0</v>
      </c>
      <c r="R394" s="1461"/>
      <c r="S394" s="1457"/>
      <c r="T394" s="1457"/>
      <c r="U394" s="1457"/>
      <c r="V394" s="1457"/>
      <c r="W394" s="1462"/>
      <c r="X394" s="1496"/>
      <c r="Y394" s="1444"/>
    </row>
    <row r="395" spans="1:25" ht="12.75">
      <c r="A395" s="1497">
        <v>4300</v>
      </c>
      <c r="B395" s="1513" t="s">
        <v>835</v>
      </c>
      <c r="C395" s="1457">
        <v>250000</v>
      </c>
      <c r="D395" s="1457">
        <f t="shared" si="106"/>
        <v>315682</v>
      </c>
      <c r="E395" s="1458"/>
      <c r="F395" s="1459">
        <f t="shared" si="107"/>
        <v>0</v>
      </c>
      <c r="G395" s="1499">
        <f t="shared" si="91"/>
        <v>0</v>
      </c>
      <c r="H395" s="1499">
        <f t="shared" si="89"/>
        <v>0</v>
      </c>
      <c r="I395" s="1450"/>
      <c r="J395" s="1461">
        <v>315682</v>
      </c>
      <c r="K395" s="1457"/>
      <c r="L395" s="1457"/>
      <c r="M395" s="1457"/>
      <c r="N395" s="1457"/>
      <c r="O395" s="1457"/>
      <c r="P395" s="1462">
        <f t="shared" si="108"/>
        <v>0</v>
      </c>
      <c r="Q395" s="1495">
        <f>P395/J395*100</f>
        <v>0</v>
      </c>
      <c r="R395" s="1461"/>
      <c r="S395" s="1457"/>
      <c r="T395" s="1457"/>
      <c r="U395" s="1457"/>
      <c r="V395" s="1457"/>
      <c r="W395" s="1462"/>
      <c r="X395" s="1496"/>
      <c r="Y395" s="1444"/>
    </row>
    <row r="396" spans="1:25" ht="12.75">
      <c r="A396" s="1497">
        <v>4300</v>
      </c>
      <c r="B396" s="1513" t="s">
        <v>849</v>
      </c>
      <c r="C396" s="1457">
        <v>200000</v>
      </c>
      <c r="D396" s="1457">
        <f t="shared" si="106"/>
        <v>223648</v>
      </c>
      <c r="E396" s="1458">
        <v>280000</v>
      </c>
      <c r="F396" s="1459">
        <f t="shared" si="107"/>
        <v>200000</v>
      </c>
      <c r="G396" s="1499">
        <f t="shared" si="91"/>
        <v>100</v>
      </c>
      <c r="H396" s="1499">
        <f t="shared" si="89"/>
        <v>89.42624123622835</v>
      </c>
      <c r="I396" s="1450"/>
      <c r="J396" s="1461">
        <v>223648</v>
      </c>
      <c r="K396" s="1457">
        <v>200000</v>
      </c>
      <c r="L396" s="1457"/>
      <c r="M396" s="1457"/>
      <c r="N396" s="1457"/>
      <c r="O396" s="1457"/>
      <c r="P396" s="1462">
        <f t="shared" si="108"/>
        <v>200000</v>
      </c>
      <c r="Q396" s="1495"/>
      <c r="R396" s="1461"/>
      <c r="S396" s="1457"/>
      <c r="T396" s="1457"/>
      <c r="U396" s="1457"/>
      <c r="V396" s="1457"/>
      <c r="W396" s="1462"/>
      <c r="X396" s="1496"/>
      <c r="Y396" s="1444"/>
    </row>
    <row r="397" spans="1:25" ht="24">
      <c r="A397" s="1497">
        <v>4350</v>
      </c>
      <c r="B397" s="1513" t="s">
        <v>836</v>
      </c>
      <c r="C397" s="1457"/>
      <c r="D397" s="1457">
        <f t="shared" si="106"/>
        <v>9000</v>
      </c>
      <c r="E397" s="1458"/>
      <c r="F397" s="1459">
        <f t="shared" si="107"/>
        <v>0</v>
      </c>
      <c r="G397" s="1499"/>
      <c r="H397" s="1499">
        <f t="shared" si="89"/>
        <v>0</v>
      </c>
      <c r="I397" s="1450"/>
      <c r="J397" s="1461">
        <v>9000</v>
      </c>
      <c r="K397" s="1457"/>
      <c r="L397" s="1457"/>
      <c r="M397" s="1457"/>
      <c r="N397" s="1457"/>
      <c r="O397" s="1457"/>
      <c r="P397" s="1462">
        <f t="shared" si="108"/>
        <v>0</v>
      </c>
      <c r="Q397" s="1495">
        <f>P397/J397*100</f>
        <v>0</v>
      </c>
      <c r="R397" s="1461"/>
      <c r="S397" s="1457"/>
      <c r="T397" s="1457"/>
      <c r="U397" s="1457"/>
      <c r="V397" s="1457"/>
      <c r="W397" s="1462"/>
      <c r="X397" s="1496"/>
      <c r="Y397" s="1444"/>
    </row>
    <row r="398" spans="1:25" ht="12.75">
      <c r="A398" s="1497">
        <v>4430</v>
      </c>
      <c r="B398" s="1513" t="s">
        <v>837</v>
      </c>
      <c r="C398" s="1457"/>
      <c r="D398" s="1457">
        <f t="shared" si="106"/>
        <v>525</v>
      </c>
      <c r="E398" s="1458"/>
      <c r="F398" s="1459">
        <f t="shared" si="107"/>
        <v>0</v>
      </c>
      <c r="G398" s="1499"/>
      <c r="H398" s="1499">
        <f t="shared" si="89"/>
        <v>0</v>
      </c>
      <c r="I398" s="1450"/>
      <c r="J398" s="1461">
        <v>525</v>
      </c>
      <c r="K398" s="1457"/>
      <c r="L398" s="1457"/>
      <c r="M398" s="1457"/>
      <c r="N398" s="1457"/>
      <c r="O398" s="1457"/>
      <c r="P398" s="1462">
        <f t="shared" si="108"/>
        <v>0</v>
      </c>
      <c r="Q398" s="1495">
        <f>P398/J398*100</f>
        <v>0</v>
      </c>
      <c r="R398" s="1461"/>
      <c r="S398" s="1457"/>
      <c r="T398" s="1457"/>
      <c r="U398" s="1457"/>
      <c r="V398" s="1457"/>
      <c r="W398" s="1462"/>
      <c r="X398" s="1496" t="e">
        <f>W398/R398*100</f>
        <v>#DIV/0!</v>
      </c>
      <c r="Y398" s="1444"/>
    </row>
    <row r="399" spans="1:25" ht="12.75">
      <c r="A399" s="1497">
        <v>4430</v>
      </c>
      <c r="B399" s="1513" t="s">
        <v>850</v>
      </c>
      <c r="C399" s="1457">
        <v>220000</v>
      </c>
      <c r="D399" s="1457">
        <f t="shared" si="106"/>
        <v>360000</v>
      </c>
      <c r="E399" s="1514">
        <v>405000</v>
      </c>
      <c r="F399" s="1457">
        <f t="shared" si="107"/>
        <v>405000</v>
      </c>
      <c r="G399" s="1499">
        <f t="shared" si="91"/>
        <v>184.0909090909091</v>
      </c>
      <c r="H399" s="1499">
        <f t="shared" si="89"/>
        <v>112.5</v>
      </c>
      <c r="I399" s="1450"/>
      <c r="J399" s="1461">
        <v>360000</v>
      </c>
      <c r="K399" s="1457">
        <v>405000</v>
      </c>
      <c r="L399" s="1457"/>
      <c r="M399" s="1457"/>
      <c r="N399" s="1457"/>
      <c r="O399" s="1457"/>
      <c r="P399" s="1462">
        <f t="shared" si="108"/>
        <v>405000</v>
      </c>
      <c r="Q399" s="1495"/>
      <c r="R399" s="1461"/>
      <c r="S399" s="1457"/>
      <c r="T399" s="1457"/>
      <c r="U399" s="1457"/>
      <c r="V399" s="1457"/>
      <c r="W399" s="1462"/>
      <c r="X399" s="1496"/>
      <c r="Y399" s="1444"/>
    </row>
    <row r="400" spans="1:25" ht="43.5" customHeight="1" thickBot="1">
      <c r="A400" s="1497">
        <v>2810</v>
      </c>
      <c r="B400" s="1513" t="s">
        <v>851</v>
      </c>
      <c r="C400" s="1457">
        <v>454900</v>
      </c>
      <c r="D400" s="1457">
        <f t="shared" si="106"/>
        <v>454900</v>
      </c>
      <c r="E400" s="1549">
        <v>462000</v>
      </c>
      <c r="F400" s="1457">
        <f t="shared" si="107"/>
        <v>462000</v>
      </c>
      <c r="G400" s="1499">
        <f aca="true" t="shared" si="109" ref="G400:G463">F400/C400*100</f>
        <v>101.56078258958013</v>
      </c>
      <c r="H400" s="1499">
        <f t="shared" si="89"/>
        <v>101.56078258958013</v>
      </c>
      <c r="I400" s="1450"/>
      <c r="J400" s="1461">
        <v>454900</v>
      </c>
      <c r="K400" s="1457">
        <v>462000</v>
      </c>
      <c r="L400" s="1457">
        <f>SUM(L401:L402)</f>
        <v>0</v>
      </c>
      <c r="M400" s="1457">
        <f>SUM(M401:M402)</f>
        <v>0</v>
      </c>
      <c r="N400" s="1457">
        <f>SUM(N401:N402)</f>
        <v>0</v>
      </c>
      <c r="O400" s="1457"/>
      <c r="P400" s="1462">
        <f t="shared" si="108"/>
        <v>462000</v>
      </c>
      <c r="Q400" s="1495">
        <f>P400/J400*100</f>
        <v>101.56078258958013</v>
      </c>
      <c r="R400" s="1461"/>
      <c r="S400" s="1457"/>
      <c r="T400" s="1457"/>
      <c r="U400" s="1457"/>
      <c r="V400" s="1457"/>
      <c r="W400" s="1462"/>
      <c r="X400" s="1496"/>
      <c r="Y400" s="1444"/>
    </row>
    <row r="401" spans="1:25" s="618" customFormat="1" ht="36.75" hidden="1" thickBot="1">
      <c r="A401" s="1521"/>
      <c r="B401" s="1522" t="s">
        <v>852</v>
      </c>
      <c r="C401" s="1523"/>
      <c r="D401" s="1523"/>
      <c r="E401" s="1576"/>
      <c r="F401" s="1457">
        <f t="shared" si="107"/>
        <v>0</v>
      </c>
      <c r="G401" s="1602" t="e">
        <f t="shared" si="109"/>
        <v>#DIV/0!</v>
      </c>
      <c r="H401" s="1603" t="e">
        <f t="shared" si="89"/>
        <v>#DIV/0!</v>
      </c>
      <c r="I401" s="1450"/>
      <c r="J401" s="1526"/>
      <c r="K401" s="1523">
        <v>0</v>
      </c>
      <c r="L401" s="1523"/>
      <c r="M401" s="1523"/>
      <c r="N401" s="1523"/>
      <c r="O401" s="1523"/>
      <c r="P401" s="1462">
        <f t="shared" si="108"/>
        <v>0</v>
      </c>
      <c r="Q401" s="1495" t="e">
        <f>P401/J401*100</f>
        <v>#DIV/0!</v>
      </c>
      <c r="R401" s="1526"/>
      <c r="S401" s="1523"/>
      <c r="T401" s="1523"/>
      <c r="U401" s="1523"/>
      <c r="V401" s="1523"/>
      <c r="W401" s="1462"/>
      <c r="X401" s="1496"/>
      <c r="Y401" s="1444"/>
    </row>
    <row r="402" spans="1:25" s="618" customFormat="1" ht="14.25" hidden="1" thickBot="1" thickTop="1">
      <c r="A402" s="1521"/>
      <c r="B402" s="1522" t="s">
        <v>853</v>
      </c>
      <c r="C402" s="1523"/>
      <c r="D402" s="1523"/>
      <c r="E402" s="1576"/>
      <c r="F402" s="1457">
        <f t="shared" si="107"/>
        <v>0</v>
      </c>
      <c r="G402" s="1437" t="e">
        <f t="shared" si="109"/>
        <v>#DIV/0!</v>
      </c>
      <c r="H402" s="1438" t="e">
        <f t="shared" si="89"/>
        <v>#DIV/0!</v>
      </c>
      <c r="I402" s="1460"/>
      <c r="J402" s="1526"/>
      <c r="K402" s="1523">
        <v>0</v>
      </c>
      <c r="L402" s="1523"/>
      <c r="M402" s="1523"/>
      <c r="N402" s="1523"/>
      <c r="O402" s="1523"/>
      <c r="P402" s="1462">
        <f t="shared" si="108"/>
        <v>0</v>
      </c>
      <c r="Q402" s="1463" t="e">
        <f>P402/J402*100</f>
        <v>#DIV/0!</v>
      </c>
      <c r="R402" s="1526"/>
      <c r="S402" s="1523"/>
      <c r="T402" s="1523"/>
      <c r="U402" s="1523"/>
      <c r="V402" s="1523"/>
      <c r="W402" s="1462"/>
      <c r="X402" s="1464"/>
      <c r="Y402" s="1444"/>
    </row>
    <row r="403" spans="1:25" s="581" customFormat="1" ht="61.5" hidden="1" thickBot="1" thickTop="1">
      <c r="A403" s="1646">
        <v>751</v>
      </c>
      <c r="B403" s="1647" t="s">
        <v>854</v>
      </c>
      <c r="C403" s="1648">
        <f>C404+C407+C415</f>
        <v>0</v>
      </c>
      <c r="D403" s="1648">
        <f aca="true" t="shared" si="110" ref="D403:W403">D404+D407+D415</f>
        <v>0</v>
      </c>
      <c r="E403" s="1649">
        <f t="shared" si="110"/>
        <v>0</v>
      </c>
      <c r="F403" s="1648">
        <f t="shared" si="110"/>
        <v>0</v>
      </c>
      <c r="G403" s="1437" t="e">
        <f t="shared" si="109"/>
        <v>#DIV/0!</v>
      </c>
      <c r="H403" s="1438" t="e">
        <f t="shared" si="89"/>
        <v>#DIV/0!</v>
      </c>
      <c r="I403" s="1650"/>
      <c r="J403" s="1651">
        <f t="shared" si="110"/>
        <v>0</v>
      </c>
      <c r="K403" s="1648">
        <f t="shared" si="110"/>
        <v>0</v>
      </c>
      <c r="L403" s="1648">
        <f t="shared" si="110"/>
        <v>0</v>
      </c>
      <c r="M403" s="1648">
        <f t="shared" si="110"/>
        <v>0</v>
      </c>
      <c r="N403" s="1648">
        <f t="shared" si="110"/>
        <v>0</v>
      </c>
      <c r="O403" s="1648"/>
      <c r="P403" s="1652">
        <f t="shared" si="110"/>
        <v>0</v>
      </c>
      <c r="Q403" s="1653" t="e">
        <f>P403/J403*100</f>
        <v>#DIV/0!</v>
      </c>
      <c r="R403" s="1651">
        <f t="shared" si="110"/>
        <v>0</v>
      </c>
      <c r="S403" s="1648">
        <f t="shared" si="110"/>
        <v>0</v>
      </c>
      <c r="T403" s="1648">
        <f t="shared" si="110"/>
        <v>0</v>
      </c>
      <c r="U403" s="1648">
        <f t="shared" si="110"/>
        <v>0</v>
      </c>
      <c r="V403" s="1648">
        <f t="shared" si="110"/>
        <v>0</v>
      </c>
      <c r="W403" s="1652">
        <f t="shared" si="110"/>
        <v>0</v>
      </c>
      <c r="X403" s="1594" t="e">
        <f>W403/R403*100</f>
        <v>#DIV/0!</v>
      </c>
      <c r="Y403" s="1444"/>
    </row>
    <row r="404" spans="1:25" s="581" customFormat="1" ht="37.5" hidden="1" thickBot="1" thickTop="1">
      <c r="A404" s="1493">
        <v>75101</v>
      </c>
      <c r="B404" s="1506" t="s">
        <v>855</v>
      </c>
      <c r="C404" s="1447">
        <f>C405+C406</f>
        <v>0</v>
      </c>
      <c r="D404" s="1447">
        <f>D405+D406</f>
        <v>0</v>
      </c>
      <c r="E404" s="1654">
        <f>E405+E406</f>
        <v>0</v>
      </c>
      <c r="F404" s="1447">
        <f>F405+F406</f>
        <v>0</v>
      </c>
      <c r="G404" s="1437" t="e">
        <f t="shared" si="109"/>
        <v>#DIV/0!</v>
      </c>
      <c r="H404" s="1438" t="e">
        <f t="shared" si="89"/>
        <v>#DIV/0!</v>
      </c>
      <c r="I404" s="1450"/>
      <c r="J404" s="1451">
        <f aca="true" t="shared" si="111" ref="J404:P404">J405+J406</f>
        <v>0</v>
      </c>
      <c r="K404" s="1447">
        <f t="shared" si="111"/>
        <v>0</v>
      </c>
      <c r="L404" s="1447">
        <f t="shared" si="111"/>
        <v>0</v>
      </c>
      <c r="M404" s="1447">
        <f t="shared" si="111"/>
        <v>0</v>
      </c>
      <c r="N404" s="1447">
        <f t="shared" si="111"/>
        <v>0</v>
      </c>
      <c r="O404" s="1447"/>
      <c r="P404" s="1452">
        <f t="shared" si="111"/>
        <v>0</v>
      </c>
      <c r="Q404" s="1453" t="e">
        <f>P404/J404*100</f>
        <v>#DIV/0!</v>
      </c>
      <c r="R404" s="1451">
        <f aca="true" t="shared" si="112" ref="R404:W404">R405+R406</f>
        <v>0</v>
      </c>
      <c r="S404" s="1447">
        <f t="shared" si="112"/>
        <v>0</v>
      </c>
      <c r="T404" s="1447">
        <f t="shared" si="112"/>
        <v>0</v>
      </c>
      <c r="U404" s="1447">
        <f t="shared" si="112"/>
        <v>0</v>
      </c>
      <c r="V404" s="1447">
        <f t="shared" si="112"/>
        <v>0</v>
      </c>
      <c r="W404" s="1452">
        <f t="shared" si="112"/>
        <v>0</v>
      </c>
      <c r="X404" s="1454" t="e">
        <f>W404/R404*100</f>
        <v>#DIV/0!</v>
      </c>
      <c r="Y404" s="1444"/>
    </row>
    <row r="405" spans="1:25" ht="14.25" hidden="1" thickBot="1" thickTop="1">
      <c r="A405" s="1497">
        <v>4210</v>
      </c>
      <c r="B405" s="1513" t="s">
        <v>856</v>
      </c>
      <c r="C405" s="1457"/>
      <c r="D405" s="1457">
        <f>J405+R405</f>
        <v>0</v>
      </c>
      <c r="E405" s="1549"/>
      <c r="F405" s="1457">
        <f>P405+W405</f>
        <v>0</v>
      </c>
      <c r="G405" s="1437" t="e">
        <f t="shared" si="109"/>
        <v>#DIV/0!</v>
      </c>
      <c r="H405" s="1438" t="e">
        <f t="shared" si="89"/>
        <v>#DIV/0!</v>
      </c>
      <c r="I405" s="1450"/>
      <c r="J405" s="1461"/>
      <c r="K405" s="1457"/>
      <c r="L405" s="1457"/>
      <c r="M405" s="1457"/>
      <c r="N405" s="1457"/>
      <c r="O405" s="1457"/>
      <c r="P405" s="1462">
        <f>SUM(K405:N405)</f>
        <v>0</v>
      </c>
      <c r="Q405" s="1495" t="e">
        <f aca="true" t="shared" si="113" ref="Q405:Q420">P405/J405*100</f>
        <v>#DIV/0!</v>
      </c>
      <c r="R405" s="1461"/>
      <c r="S405" s="1457"/>
      <c r="T405" s="1457"/>
      <c r="U405" s="1457"/>
      <c r="V405" s="1457"/>
      <c r="W405" s="1462">
        <f>SUM(S405:V405)</f>
        <v>0</v>
      </c>
      <c r="X405" s="1496" t="e">
        <f aca="true" t="shared" si="114" ref="X405:X420">W405/R405*100</f>
        <v>#DIV/0!</v>
      </c>
      <c r="Y405" s="1444"/>
    </row>
    <row r="406" spans="1:25" ht="14.25" hidden="1" thickBot="1" thickTop="1">
      <c r="A406" s="1497">
        <v>4300</v>
      </c>
      <c r="B406" s="1513" t="s">
        <v>564</v>
      </c>
      <c r="C406" s="1457">
        <v>0</v>
      </c>
      <c r="D406" s="1457">
        <f>J406+R406</f>
        <v>0</v>
      </c>
      <c r="E406" s="1549"/>
      <c r="F406" s="1457">
        <f>P406+W406</f>
        <v>0</v>
      </c>
      <c r="G406" s="1437" t="e">
        <f t="shared" si="109"/>
        <v>#DIV/0!</v>
      </c>
      <c r="H406" s="1438" t="e">
        <f t="shared" si="89"/>
        <v>#DIV/0!</v>
      </c>
      <c r="I406" s="1450"/>
      <c r="J406" s="1461"/>
      <c r="K406" s="1457"/>
      <c r="L406" s="1457"/>
      <c r="M406" s="1457"/>
      <c r="N406" s="1457"/>
      <c r="O406" s="1457"/>
      <c r="P406" s="1462">
        <f aca="true" t="shared" si="115" ref="P406:P414">SUM(K406:N406)</f>
        <v>0</v>
      </c>
      <c r="Q406" s="1495" t="e">
        <f t="shared" si="113"/>
        <v>#DIV/0!</v>
      </c>
      <c r="R406" s="1461"/>
      <c r="S406" s="1457"/>
      <c r="T406" s="1457"/>
      <c r="U406" s="1457"/>
      <c r="V406" s="1457"/>
      <c r="W406" s="1462">
        <f>SUM(S406:V406)</f>
        <v>0</v>
      </c>
      <c r="X406" s="1496" t="e">
        <f t="shared" si="114"/>
        <v>#DIV/0!</v>
      </c>
      <c r="Y406" s="1444"/>
    </row>
    <row r="407" spans="1:25" s="581" customFormat="1" ht="49.5" hidden="1" thickBot="1" thickTop="1">
      <c r="A407" s="1516">
        <v>75109</v>
      </c>
      <c r="B407" s="1550" t="s">
        <v>857</v>
      </c>
      <c r="C407" s="1467">
        <f>SUM(C408:C414)</f>
        <v>0</v>
      </c>
      <c r="D407" s="1467">
        <f>D408+D409+D410+D411+D412+D413+D414</f>
        <v>0</v>
      </c>
      <c r="E407" s="1518">
        <f>E408+E409+E410+E411+E412+E413+E414</f>
        <v>0</v>
      </c>
      <c r="F407" s="1467">
        <f>F408+F409+F410+F411+F412+F413+F414</f>
        <v>0</v>
      </c>
      <c r="G407" s="1437" t="e">
        <f t="shared" si="109"/>
        <v>#DIV/0!</v>
      </c>
      <c r="H407" s="1438" t="e">
        <f t="shared" si="89"/>
        <v>#DIV/0!</v>
      </c>
      <c r="I407" s="1450"/>
      <c r="J407" s="1470">
        <f>J408+J409+J410+J411+J412+J413+J414</f>
        <v>0</v>
      </c>
      <c r="K407" s="1467">
        <f>K408+K409+K410+K411+K412+K413+K414</f>
        <v>0</v>
      </c>
      <c r="L407" s="1467">
        <f>L408+L409+L410+L411+L412+L413+L414</f>
        <v>0</v>
      </c>
      <c r="M407" s="1467">
        <f>M408+M409+M410+M411+M412+M413+M414</f>
        <v>0</v>
      </c>
      <c r="N407" s="1467">
        <f>N408+N409+N410+N411+N412+N413+N414</f>
        <v>0</v>
      </c>
      <c r="O407" s="1467"/>
      <c r="P407" s="1462">
        <f t="shared" si="115"/>
        <v>0</v>
      </c>
      <c r="Q407" s="1453" t="e">
        <f t="shared" si="113"/>
        <v>#DIV/0!</v>
      </c>
      <c r="R407" s="1470">
        <f aca="true" t="shared" si="116" ref="R407:W407">R408+R409+R410+R411+R412+R413+R414</f>
        <v>0</v>
      </c>
      <c r="S407" s="1467">
        <f t="shared" si="116"/>
        <v>0</v>
      </c>
      <c r="T407" s="1467">
        <f t="shared" si="116"/>
        <v>0</v>
      </c>
      <c r="U407" s="1467">
        <f t="shared" si="116"/>
        <v>0</v>
      </c>
      <c r="V407" s="1467">
        <f t="shared" si="116"/>
        <v>0</v>
      </c>
      <c r="W407" s="1471">
        <f t="shared" si="116"/>
        <v>0</v>
      </c>
      <c r="X407" s="1454" t="e">
        <f t="shared" si="114"/>
        <v>#DIV/0!</v>
      </c>
      <c r="Y407" s="1444"/>
    </row>
    <row r="408" spans="1:25" ht="25.5" hidden="1" thickBot="1" thickTop="1">
      <c r="A408" s="1497">
        <v>3020</v>
      </c>
      <c r="B408" s="1513" t="s">
        <v>858</v>
      </c>
      <c r="C408" s="1457"/>
      <c r="D408" s="1457"/>
      <c r="E408" s="1549"/>
      <c r="F408" s="1457"/>
      <c r="G408" s="1437" t="e">
        <f t="shared" si="109"/>
        <v>#DIV/0!</v>
      </c>
      <c r="H408" s="1438" t="e">
        <f t="shared" si="89"/>
        <v>#DIV/0!</v>
      </c>
      <c r="I408" s="1450"/>
      <c r="J408" s="1461"/>
      <c r="K408" s="1457"/>
      <c r="L408" s="1457"/>
      <c r="M408" s="1457"/>
      <c r="N408" s="1457"/>
      <c r="O408" s="1457"/>
      <c r="P408" s="1462">
        <f t="shared" si="115"/>
        <v>0</v>
      </c>
      <c r="Q408" s="1453" t="e">
        <f t="shared" si="113"/>
        <v>#DIV/0!</v>
      </c>
      <c r="R408" s="1461"/>
      <c r="S408" s="1457"/>
      <c r="T408" s="1457"/>
      <c r="U408" s="1457"/>
      <c r="V408" s="1457"/>
      <c r="W408" s="1462"/>
      <c r="X408" s="1454" t="e">
        <f t="shared" si="114"/>
        <v>#DIV/0!</v>
      </c>
      <c r="Y408" s="1444"/>
    </row>
    <row r="409" spans="1:25" ht="25.5" hidden="1" thickBot="1" thickTop="1">
      <c r="A409" s="1497">
        <v>3030</v>
      </c>
      <c r="B409" s="1513" t="s">
        <v>624</v>
      </c>
      <c r="C409" s="1457"/>
      <c r="D409" s="1457"/>
      <c r="E409" s="1549"/>
      <c r="F409" s="1457"/>
      <c r="G409" s="1437" t="e">
        <f t="shared" si="109"/>
        <v>#DIV/0!</v>
      </c>
      <c r="H409" s="1438" t="e">
        <f t="shared" si="89"/>
        <v>#DIV/0!</v>
      </c>
      <c r="I409" s="1450"/>
      <c r="J409" s="1461"/>
      <c r="K409" s="1457"/>
      <c r="L409" s="1457"/>
      <c r="M409" s="1457"/>
      <c r="N409" s="1457"/>
      <c r="O409" s="1457"/>
      <c r="P409" s="1462">
        <f t="shared" si="115"/>
        <v>0</v>
      </c>
      <c r="Q409" s="1453" t="e">
        <f t="shared" si="113"/>
        <v>#DIV/0!</v>
      </c>
      <c r="R409" s="1461"/>
      <c r="S409" s="1457"/>
      <c r="T409" s="1457"/>
      <c r="U409" s="1457"/>
      <c r="V409" s="1457"/>
      <c r="W409" s="1462"/>
      <c r="X409" s="1454" t="e">
        <f t="shared" si="114"/>
        <v>#DIV/0!</v>
      </c>
      <c r="Y409" s="1444"/>
    </row>
    <row r="410" spans="1:25" ht="14.25" hidden="1" thickBot="1" thickTop="1">
      <c r="A410" s="1497">
        <v>4110</v>
      </c>
      <c r="B410" s="1513" t="s">
        <v>568</v>
      </c>
      <c r="C410" s="1457"/>
      <c r="D410" s="1457"/>
      <c r="E410" s="1549"/>
      <c r="F410" s="1457"/>
      <c r="G410" s="1437" t="e">
        <f t="shared" si="109"/>
        <v>#DIV/0!</v>
      </c>
      <c r="H410" s="1438" t="e">
        <f t="shared" si="89"/>
        <v>#DIV/0!</v>
      </c>
      <c r="I410" s="1450"/>
      <c r="J410" s="1461"/>
      <c r="K410" s="1457"/>
      <c r="L410" s="1457"/>
      <c r="M410" s="1457"/>
      <c r="N410" s="1457"/>
      <c r="O410" s="1457"/>
      <c r="P410" s="1462">
        <f t="shared" si="115"/>
        <v>0</v>
      </c>
      <c r="Q410" s="1453" t="e">
        <f t="shared" si="113"/>
        <v>#DIV/0!</v>
      </c>
      <c r="R410" s="1461"/>
      <c r="S410" s="1457"/>
      <c r="T410" s="1457"/>
      <c r="U410" s="1457"/>
      <c r="V410" s="1457"/>
      <c r="W410" s="1462"/>
      <c r="X410" s="1454" t="e">
        <f t="shared" si="114"/>
        <v>#DIV/0!</v>
      </c>
      <c r="Y410" s="1444"/>
    </row>
    <row r="411" spans="1:25" ht="14.25" hidden="1" thickBot="1" thickTop="1">
      <c r="A411" s="1497">
        <v>4120</v>
      </c>
      <c r="B411" s="1513" t="s">
        <v>758</v>
      </c>
      <c r="C411" s="1457"/>
      <c r="D411" s="1457"/>
      <c r="E411" s="1549"/>
      <c r="F411" s="1457"/>
      <c r="G411" s="1437" t="e">
        <f t="shared" si="109"/>
        <v>#DIV/0!</v>
      </c>
      <c r="H411" s="1438" t="e">
        <f t="shared" si="89"/>
        <v>#DIV/0!</v>
      </c>
      <c r="I411" s="1450"/>
      <c r="J411" s="1461"/>
      <c r="K411" s="1457"/>
      <c r="L411" s="1457"/>
      <c r="M411" s="1457"/>
      <c r="N411" s="1457"/>
      <c r="O411" s="1457"/>
      <c r="P411" s="1462">
        <f t="shared" si="115"/>
        <v>0</v>
      </c>
      <c r="Q411" s="1453" t="e">
        <f t="shared" si="113"/>
        <v>#DIV/0!</v>
      </c>
      <c r="R411" s="1461"/>
      <c r="S411" s="1457"/>
      <c r="T411" s="1457"/>
      <c r="U411" s="1457"/>
      <c r="V411" s="1457"/>
      <c r="W411" s="1462"/>
      <c r="X411" s="1454" t="e">
        <f t="shared" si="114"/>
        <v>#DIV/0!</v>
      </c>
      <c r="Y411" s="1444"/>
    </row>
    <row r="412" spans="1:25" ht="14.25" hidden="1" thickBot="1" thickTop="1">
      <c r="A412" s="1497">
        <v>4210</v>
      </c>
      <c r="B412" s="1513" t="s">
        <v>560</v>
      </c>
      <c r="C412" s="1457"/>
      <c r="D412" s="1457"/>
      <c r="E412" s="1549"/>
      <c r="F412" s="1457"/>
      <c r="G412" s="1437" t="e">
        <f t="shared" si="109"/>
        <v>#DIV/0!</v>
      </c>
      <c r="H412" s="1438" t="e">
        <f t="shared" si="89"/>
        <v>#DIV/0!</v>
      </c>
      <c r="I412" s="1450"/>
      <c r="J412" s="1461"/>
      <c r="K412" s="1457"/>
      <c r="L412" s="1457"/>
      <c r="M412" s="1457"/>
      <c r="N412" s="1457"/>
      <c r="O412" s="1457"/>
      <c r="P412" s="1462">
        <f t="shared" si="115"/>
        <v>0</v>
      </c>
      <c r="Q412" s="1453" t="e">
        <f t="shared" si="113"/>
        <v>#DIV/0!</v>
      </c>
      <c r="R412" s="1461"/>
      <c r="S412" s="1457"/>
      <c r="T412" s="1457"/>
      <c r="U412" s="1457"/>
      <c r="V412" s="1457"/>
      <c r="W412" s="1462"/>
      <c r="X412" s="1454" t="e">
        <f t="shared" si="114"/>
        <v>#DIV/0!</v>
      </c>
      <c r="Y412" s="1444"/>
    </row>
    <row r="413" spans="1:25" ht="14.25" hidden="1" thickBot="1" thickTop="1">
      <c r="A413" s="1497">
        <v>4300</v>
      </c>
      <c r="B413" s="1513" t="s">
        <v>564</v>
      </c>
      <c r="C413" s="1457"/>
      <c r="D413" s="1457"/>
      <c r="E413" s="1549"/>
      <c r="F413" s="1457"/>
      <c r="G413" s="1437" t="e">
        <f t="shared" si="109"/>
        <v>#DIV/0!</v>
      </c>
      <c r="H413" s="1438" t="e">
        <f t="shared" si="89"/>
        <v>#DIV/0!</v>
      </c>
      <c r="I413" s="1450"/>
      <c r="J413" s="1461"/>
      <c r="K413" s="1457"/>
      <c r="L413" s="1457"/>
      <c r="M413" s="1457"/>
      <c r="N413" s="1457"/>
      <c r="O413" s="1457"/>
      <c r="P413" s="1462">
        <f t="shared" si="115"/>
        <v>0</v>
      </c>
      <c r="Q413" s="1453" t="e">
        <f t="shared" si="113"/>
        <v>#DIV/0!</v>
      </c>
      <c r="R413" s="1461"/>
      <c r="S413" s="1457"/>
      <c r="T413" s="1457"/>
      <c r="U413" s="1457"/>
      <c r="V413" s="1457"/>
      <c r="W413" s="1462"/>
      <c r="X413" s="1454" t="e">
        <f t="shared" si="114"/>
        <v>#DIV/0!</v>
      </c>
      <c r="Y413" s="1444"/>
    </row>
    <row r="414" spans="1:25" ht="14.25" hidden="1" thickBot="1" thickTop="1">
      <c r="A414" s="1497">
        <v>4300</v>
      </c>
      <c r="B414" s="1513" t="s">
        <v>564</v>
      </c>
      <c r="C414" s="1457"/>
      <c r="D414" s="1457"/>
      <c r="E414" s="1549"/>
      <c r="F414" s="1457"/>
      <c r="G414" s="1437" t="e">
        <f t="shared" si="109"/>
        <v>#DIV/0!</v>
      </c>
      <c r="H414" s="1438" t="e">
        <f t="shared" si="89"/>
        <v>#DIV/0!</v>
      </c>
      <c r="I414" s="1450"/>
      <c r="J414" s="1461"/>
      <c r="K414" s="1457"/>
      <c r="L414" s="1457"/>
      <c r="M414" s="1457"/>
      <c r="N414" s="1457"/>
      <c r="O414" s="1457"/>
      <c r="P414" s="1462">
        <f t="shared" si="115"/>
        <v>0</v>
      </c>
      <c r="Q414" s="1453" t="e">
        <f t="shared" si="113"/>
        <v>#DIV/0!</v>
      </c>
      <c r="R414" s="1461"/>
      <c r="S414" s="1457"/>
      <c r="T414" s="1457"/>
      <c r="U414" s="1457"/>
      <c r="V414" s="1457"/>
      <c r="W414" s="1462"/>
      <c r="X414" s="1454" t="e">
        <f t="shared" si="114"/>
        <v>#DIV/0!</v>
      </c>
      <c r="Y414" s="1444"/>
    </row>
    <row r="415" spans="1:25" s="581" customFormat="1" ht="25.5" hidden="1" thickBot="1" thickTop="1">
      <c r="A415" s="1516">
        <v>75110</v>
      </c>
      <c r="B415" s="1550" t="s">
        <v>859</v>
      </c>
      <c r="C415" s="1467">
        <f>C416+C417+C418+C419+C420</f>
        <v>0</v>
      </c>
      <c r="D415" s="1467">
        <f aca="true" t="shared" si="117" ref="D415:W415">D416+D417+D418+D419+D420</f>
        <v>0</v>
      </c>
      <c r="E415" s="1518">
        <f t="shared" si="117"/>
        <v>0</v>
      </c>
      <c r="F415" s="1467">
        <f t="shared" si="117"/>
        <v>0</v>
      </c>
      <c r="G415" s="1437" t="e">
        <f t="shared" si="109"/>
        <v>#DIV/0!</v>
      </c>
      <c r="H415" s="1438" t="e">
        <f aca="true" t="shared" si="118" ref="H415:H479">F415/D415*100</f>
        <v>#DIV/0!</v>
      </c>
      <c r="I415" s="1450"/>
      <c r="J415" s="1470">
        <f t="shared" si="117"/>
        <v>0</v>
      </c>
      <c r="K415" s="1467">
        <f t="shared" si="117"/>
        <v>0</v>
      </c>
      <c r="L415" s="1467">
        <f t="shared" si="117"/>
        <v>0</v>
      </c>
      <c r="M415" s="1467">
        <f t="shared" si="117"/>
        <v>0</v>
      </c>
      <c r="N415" s="1467">
        <f t="shared" si="117"/>
        <v>0</v>
      </c>
      <c r="O415" s="1467"/>
      <c r="P415" s="1471">
        <f t="shared" si="117"/>
        <v>0</v>
      </c>
      <c r="Q415" s="1453" t="e">
        <f t="shared" si="113"/>
        <v>#DIV/0!</v>
      </c>
      <c r="R415" s="1470">
        <f t="shared" si="117"/>
        <v>0</v>
      </c>
      <c r="S415" s="1467">
        <f t="shared" si="117"/>
        <v>0</v>
      </c>
      <c r="T415" s="1467">
        <f t="shared" si="117"/>
        <v>0</v>
      </c>
      <c r="U415" s="1467">
        <f t="shared" si="117"/>
        <v>0</v>
      </c>
      <c r="V415" s="1467">
        <f t="shared" si="117"/>
        <v>0</v>
      </c>
      <c r="W415" s="1471">
        <f t="shared" si="117"/>
        <v>0</v>
      </c>
      <c r="X415" s="1454" t="e">
        <f t="shared" si="114"/>
        <v>#DIV/0!</v>
      </c>
      <c r="Y415" s="1444"/>
    </row>
    <row r="416" spans="1:25" ht="25.5" hidden="1" thickBot="1" thickTop="1">
      <c r="A416" s="1497">
        <v>3030</v>
      </c>
      <c r="B416" s="1513" t="s">
        <v>624</v>
      </c>
      <c r="C416" s="1457">
        <v>0</v>
      </c>
      <c r="D416" s="1457">
        <f>J416+R416</f>
        <v>0</v>
      </c>
      <c r="E416" s="1549"/>
      <c r="F416" s="1457">
        <f>P416+W416</f>
        <v>0</v>
      </c>
      <c r="G416" s="1437" t="e">
        <f t="shared" si="109"/>
        <v>#DIV/0!</v>
      </c>
      <c r="H416" s="1438" t="e">
        <f t="shared" si="118"/>
        <v>#DIV/0!</v>
      </c>
      <c r="I416" s="1450"/>
      <c r="J416" s="1461"/>
      <c r="K416" s="1457"/>
      <c r="L416" s="1457"/>
      <c r="M416" s="1457"/>
      <c r="N416" s="1457"/>
      <c r="O416" s="1457"/>
      <c r="P416" s="1462">
        <f>SUM(K416:N416)</f>
        <v>0</v>
      </c>
      <c r="Q416" s="1495" t="e">
        <f t="shared" si="113"/>
        <v>#DIV/0!</v>
      </c>
      <c r="R416" s="1461"/>
      <c r="S416" s="1457"/>
      <c r="T416" s="1457"/>
      <c r="U416" s="1457"/>
      <c r="V416" s="1457"/>
      <c r="W416" s="1462">
        <f>SUM(S416:V416)</f>
        <v>0</v>
      </c>
      <c r="X416" s="1496" t="e">
        <f t="shared" si="114"/>
        <v>#DIV/0!</v>
      </c>
      <c r="Y416" s="1444"/>
    </row>
    <row r="417" spans="1:25" ht="14.25" hidden="1" thickBot="1" thickTop="1">
      <c r="A417" s="1497">
        <v>4110</v>
      </c>
      <c r="B417" s="1513" t="s">
        <v>568</v>
      </c>
      <c r="C417" s="1457">
        <v>0</v>
      </c>
      <c r="D417" s="1457">
        <f>J417+R417</f>
        <v>0</v>
      </c>
      <c r="E417" s="1549"/>
      <c r="F417" s="1457">
        <f>P417+W417</f>
        <v>0</v>
      </c>
      <c r="G417" s="1437" t="e">
        <f t="shared" si="109"/>
        <v>#DIV/0!</v>
      </c>
      <c r="H417" s="1438" t="e">
        <f t="shared" si="118"/>
        <v>#DIV/0!</v>
      </c>
      <c r="I417" s="1450"/>
      <c r="J417" s="1461"/>
      <c r="K417" s="1457"/>
      <c r="L417" s="1457"/>
      <c r="M417" s="1457"/>
      <c r="N417" s="1457"/>
      <c r="O417" s="1457"/>
      <c r="P417" s="1462">
        <f>SUM(K417:N417)</f>
        <v>0</v>
      </c>
      <c r="Q417" s="1495" t="e">
        <f t="shared" si="113"/>
        <v>#DIV/0!</v>
      </c>
      <c r="R417" s="1461"/>
      <c r="S417" s="1457"/>
      <c r="T417" s="1457"/>
      <c r="U417" s="1457"/>
      <c r="V417" s="1457"/>
      <c r="W417" s="1462">
        <f>SUM(S417:V417)</f>
        <v>0</v>
      </c>
      <c r="X417" s="1496" t="e">
        <f t="shared" si="114"/>
        <v>#DIV/0!</v>
      </c>
      <c r="Y417" s="1444"/>
    </row>
    <row r="418" spans="1:25" ht="14.25" hidden="1" thickBot="1" thickTop="1">
      <c r="A418" s="1497">
        <v>4120</v>
      </c>
      <c r="B418" s="1513" t="s">
        <v>763</v>
      </c>
      <c r="C418" s="1457">
        <v>0</v>
      </c>
      <c r="D418" s="1457">
        <f>J418+R418</f>
        <v>0</v>
      </c>
      <c r="E418" s="1549"/>
      <c r="F418" s="1457">
        <f>P418+W418</f>
        <v>0</v>
      </c>
      <c r="G418" s="1437" t="e">
        <f t="shared" si="109"/>
        <v>#DIV/0!</v>
      </c>
      <c r="H418" s="1438" t="e">
        <f t="shared" si="118"/>
        <v>#DIV/0!</v>
      </c>
      <c r="I418" s="1450"/>
      <c r="J418" s="1461"/>
      <c r="K418" s="1457"/>
      <c r="L418" s="1457"/>
      <c r="M418" s="1457"/>
      <c r="N418" s="1457"/>
      <c r="O418" s="1457"/>
      <c r="P418" s="1462">
        <f>SUM(K418:N418)</f>
        <v>0</v>
      </c>
      <c r="Q418" s="1495" t="e">
        <f t="shared" si="113"/>
        <v>#DIV/0!</v>
      </c>
      <c r="R418" s="1461"/>
      <c r="S418" s="1457"/>
      <c r="T418" s="1457"/>
      <c r="U418" s="1457"/>
      <c r="V418" s="1457"/>
      <c r="W418" s="1462">
        <f>SUM(S418:V418)</f>
        <v>0</v>
      </c>
      <c r="X418" s="1496" t="e">
        <f t="shared" si="114"/>
        <v>#DIV/0!</v>
      </c>
      <c r="Y418" s="1444"/>
    </row>
    <row r="419" spans="1:25" ht="14.25" hidden="1" thickBot="1" thickTop="1">
      <c r="A419" s="1497">
        <v>4210</v>
      </c>
      <c r="B419" s="1513" t="s">
        <v>560</v>
      </c>
      <c r="C419" s="1457">
        <v>0</v>
      </c>
      <c r="D419" s="1457">
        <f>J419+R419</f>
        <v>0</v>
      </c>
      <c r="E419" s="1549"/>
      <c r="F419" s="1457">
        <f>P419+W419</f>
        <v>0</v>
      </c>
      <c r="G419" s="1437" t="e">
        <f t="shared" si="109"/>
        <v>#DIV/0!</v>
      </c>
      <c r="H419" s="1438" t="e">
        <f t="shared" si="118"/>
        <v>#DIV/0!</v>
      </c>
      <c r="I419" s="1450"/>
      <c r="J419" s="1461"/>
      <c r="K419" s="1457"/>
      <c r="L419" s="1457"/>
      <c r="M419" s="1457"/>
      <c r="N419" s="1457"/>
      <c r="O419" s="1457"/>
      <c r="P419" s="1462">
        <f>SUM(K419:N419)</f>
        <v>0</v>
      </c>
      <c r="Q419" s="1495" t="e">
        <f t="shared" si="113"/>
        <v>#DIV/0!</v>
      </c>
      <c r="R419" s="1461"/>
      <c r="S419" s="1457"/>
      <c r="T419" s="1457"/>
      <c r="U419" s="1457"/>
      <c r="V419" s="1457"/>
      <c r="W419" s="1462">
        <f>SUM(S419:V419)</f>
        <v>0</v>
      </c>
      <c r="X419" s="1496" t="e">
        <f t="shared" si="114"/>
        <v>#DIV/0!</v>
      </c>
      <c r="Y419" s="1444"/>
    </row>
    <row r="420" spans="1:25" ht="14.25" hidden="1" thickBot="1" thickTop="1">
      <c r="A420" s="1485">
        <v>4300</v>
      </c>
      <c r="B420" s="1502" t="s">
        <v>564</v>
      </c>
      <c r="C420" s="1478">
        <v>0</v>
      </c>
      <c r="D420" s="1478">
        <f>J420+R420</f>
        <v>0</v>
      </c>
      <c r="E420" s="1655"/>
      <c r="F420" s="1457">
        <f>P420+W420</f>
        <v>0</v>
      </c>
      <c r="G420" s="1437" t="e">
        <f t="shared" si="109"/>
        <v>#DIV/0!</v>
      </c>
      <c r="H420" s="1438" t="e">
        <f t="shared" si="118"/>
        <v>#DIV/0!</v>
      </c>
      <c r="I420" s="1486"/>
      <c r="J420" s="1483"/>
      <c r="K420" s="1478"/>
      <c r="L420" s="1478"/>
      <c r="M420" s="1478"/>
      <c r="N420" s="1478"/>
      <c r="O420" s="1478"/>
      <c r="P420" s="1462">
        <f>SUM(K420:N420)</f>
        <v>0</v>
      </c>
      <c r="Q420" s="1495" t="e">
        <f t="shared" si="113"/>
        <v>#DIV/0!</v>
      </c>
      <c r="R420" s="1483"/>
      <c r="S420" s="1478"/>
      <c r="T420" s="1478"/>
      <c r="U420" s="1478"/>
      <c r="V420" s="1478"/>
      <c r="W420" s="1462">
        <f>SUM(S420:V420)</f>
        <v>0</v>
      </c>
      <c r="X420" s="1496" t="e">
        <f t="shared" si="114"/>
        <v>#DIV/0!</v>
      </c>
      <c r="Y420" s="1444"/>
    </row>
    <row r="421" spans="1:25" s="581" customFormat="1" ht="29.25" customHeight="1" thickBot="1" thickTop="1">
      <c r="A421" s="1489">
        <v>754</v>
      </c>
      <c r="B421" s="1490" t="s">
        <v>216</v>
      </c>
      <c r="C421" s="1434">
        <f>C422+C425+C429+C431+C438</f>
        <v>35970</v>
      </c>
      <c r="D421" s="1434">
        <f>D422+D425+D429+D431+D438</f>
        <v>509370</v>
      </c>
      <c r="E421" s="1590">
        <f>E422+E425+E429+E431+E438</f>
        <v>1076400</v>
      </c>
      <c r="F421" s="1434">
        <f>F422+F425+F429+F431</f>
        <v>325500</v>
      </c>
      <c r="G421" s="1437">
        <f t="shared" si="109"/>
        <v>904.9207673060885</v>
      </c>
      <c r="H421" s="1438">
        <f t="shared" si="118"/>
        <v>63.90246775428471</v>
      </c>
      <c r="I421" s="1439">
        <f>F421/F$1426*100</f>
        <v>0.11871569487974394</v>
      </c>
      <c r="J421" s="1440">
        <f>J422+J425+J429+J431+J438</f>
        <v>195970</v>
      </c>
      <c r="K421" s="1434">
        <f>K422+K425+K429+K431</f>
        <v>35500</v>
      </c>
      <c r="L421" s="1434">
        <f>L422+L425+L429+L431</f>
        <v>0</v>
      </c>
      <c r="M421" s="1434">
        <f>M422+M425+M429+M431</f>
        <v>0</v>
      </c>
      <c r="N421" s="1434">
        <f>N422+N425+N429+N431</f>
        <v>0</v>
      </c>
      <c r="O421" s="1434"/>
      <c r="P421" s="1441">
        <f>P422+P425+P429+P431</f>
        <v>35500</v>
      </c>
      <c r="Q421" s="1442">
        <f>P421/J421*100</f>
        <v>18.11501760473542</v>
      </c>
      <c r="R421" s="1440">
        <f aca="true" t="shared" si="119" ref="R421:W421">R422+R425+R429+R431</f>
        <v>313400</v>
      </c>
      <c r="S421" s="1434">
        <f t="shared" si="119"/>
        <v>40000</v>
      </c>
      <c r="T421" s="1434">
        <f t="shared" si="119"/>
        <v>250000</v>
      </c>
      <c r="U421" s="1434">
        <f t="shared" si="119"/>
        <v>0</v>
      </c>
      <c r="V421" s="1434">
        <f t="shared" si="119"/>
        <v>0</v>
      </c>
      <c r="W421" s="1441">
        <f t="shared" si="119"/>
        <v>290000</v>
      </c>
      <c r="X421" s="1443">
        <f>W421/R421*100</f>
        <v>92.53350350989152</v>
      </c>
      <c r="Y421" s="1444"/>
    </row>
    <row r="422" spans="1:25" s="581" customFormat="1" ht="15" customHeight="1" thickTop="1">
      <c r="A422" s="1493">
        <v>75405</v>
      </c>
      <c r="B422" s="1506" t="s">
        <v>860</v>
      </c>
      <c r="C422" s="1447">
        <f>SUM(C423:C424)</f>
        <v>0</v>
      </c>
      <c r="D422" s="1447">
        <f>SUM(D423:D424)</f>
        <v>247000</v>
      </c>
      <c r="E422" s="1654">
        <f>SUM(E423:E424)</f>
        <v>500000</v>
      </c>
      <c r="F422" s="1447">
        <f>SUM(F423:F424)</f>
        <v>250000</v>
      </c>
      <c r="G422" s="1474"/>
      <c r="H422" s="1474">
        <f t="shared" si="118"/>
        <v>101.21457489878543</v>
      </c>
      <c r="I422" s="1509"/>
      <c r="J422" s="1510"/>
      <c r="K422" s="1449"/>
      <c r="L422" s="1449"/>
      <c r="M422" s="1449"/>
      <c r="N422" s="1449"/>
      <c r="O422" s="1449"/>
      <c r="P422" s="1509"/>
      <c r="Q422" s="1575">
        <f aca="true" t="shared" si="120" ref="Q422:W422">SUM(Q423:Q424)</f>
        <v>0</v>
      </c>
      <c r="R422" s="1510">
        <f t="shared" si="120"/>
        <v>247000</v>
      </c>
      <c r="S422" s="1449">
        <f t="shared" si="120"/>
        <v>0</v>
      </c>
      <c r="T422" s="1449">
        <f t="shared" si="120"/>
        <v>250000</v>
      </c>
      <c r="U422" s="1449">
        <f t="shared" si="120"/>
        <v>0</v>
      </c>
      <c r="V422" s="1449">
        <f t="shared" si="120"/>
        <v>0</v>
      </c>
      <c r="W422" s="1452">
        <f t="shared" si="120"/>
        <v>250000</v>
      </c>
      <c r="X422" s="1454">
        <f>W422/R422*100</f>
        <v>101.21457489878543</v>
      </c>
      <c r="Y422" s="1444"/>
    </row>
    <row r="423" spans="1:25" s="571" customFormat="1" ht="15" customHeight="1" hidden="1">
      <c r="A423" s="1656">
        <v>3000</v>
      </c>
      <c r="B423" s="1657" t="s">
        <v>861</v>
      </c>
      <c r="C423" s="1633"/>
      <c r="D423" s="1633"/>
      <c r="E423" s="1658">
        <v>500000</v>
      </c>
      <c r="F423" s="1457">
        <f>P423+W423</f>
        <v>0</v>
      </c>
      <c r="G423" s="1499"/>
      <c r="H423" s="1499"/>
      <c r="I423" s="1581"/>
      <c r="J423" s="1642"/>
      <c r="K423" s="1633"/>
      <c r="L423" s="1633"/>
      <c r="M423" s="1633"/>
      <c r="N423" s="1633"/>
      <c r="O423" s="1633"/>
      <c r="P423" s="1643"/>
      <c r="Q423" s="1659"/>
      <c r="R423" s="1642"/>
      <c r="S423" s="1633"/>
      <c r="T423" s="1633"/>
      <c r="U423" s="1633"/>
      <c r="V423" s="1633"/>
      <c r="W423" s="1462">
        <f>SUM(S423:V423)</f>
        <v>0</v>
      </c>
      <c r="X423" s="1496"/>
      <c r="Y423" s="1300"/>
    </row>
    <row r="424" spans="1:25" ht="36">
      <c r="A424" s="1497">
        <v>6170</v>
      </c>
      <c r="B424" s="1513" t="s">
        <v>862</v>
      </c>
      <c r="C424" s="1457">
        <v>0</v>
      </c>
      <c r="D424" s="1457">
        <f>J424+R424</f>
        <v>247000</v>
      </c>
      <c r="E424" s="1514"/>
      <c r="F424" s="1457">
        <f>P424+W424</f>
        <v>250000</v>
      </c>
      <c r="G424" s="1499"/>
      <c r="H424" s="1499">
        <f t="shared" si="118"/>
        <v>101.21457489878543</v>
      </c>
      <c r="I424" s="1450"/>
      <c r="J424" s="1461"/>
      <c r="K424" s="1457"/>
      <c r="L424" s="1457"/>
      <c r="M424" s="1457"/>
      <c r="N424" s="1457"/>
      <c r="O424" s="1457"/>
      <c r="P424" s="1462"/>
      <c r="Q424" s="1660"/>
      <c r="R424" s="1461">
        <v>247000</v>
      </c>
      <c r="S424" s="1457"/>
      <c r="T424" s="1457">
        <v>250000</v>
      </c>
      <c r="U424" s="1457"/>
      <c r="V424" s="1457"/>
      <c r="W424" s="1462">
        <f>SUM(S424:V424)</f>
        <v>250000</v>
      </c>
      <c r="X424" s="1496">
        <f aca="true" t="shared" si="121" ref="X424:X434">W424/R424*100</f>
        <v>101.21457489878543</v>
      </c>
      <c r="Y424" s="1444"/>
    </row>
    <row r="425" spans="1:25" s="581" customFormat="1" ht="27" customHeight="1">
      <c r="A425" s="1516">
        <v>75411</v>
      </c>
      <c r="B425" s="1550" t="s">
        <v>863</v>
      </c>
      <c r="C425" s="1467">
        <f>SUM(C426:C428)</f>
        <v>0</v>
      </c>
      <c r="D425" s="1467">
        <f>SUM(D426:D428)</f>
        <v>66400</v>
      </c>
      <c r="E425" s="1468">
        <f>SUM(E426:E428)</f>
        <v>540000</v>
      </c>
      <c r="F425" s="1469">
        <f>SUM(F426:F428)</f>
        <v>40000</v>
      </c>
      <c r="G425" s="1531"/>
      <c r="H425" s="1532">
        <f t="shared" si="118"/>
        <v>60.24096385542169</v>
      </c>
      <c r="I425" s="1450"/>
      <c r="J425" s="1470"/>
      <c r="K425" s="1467"/>
      <c r="L425" s="1467"/>
      <c r="M425" s="1467"/>
      <c r="N425" s="1467"/>
      <c r="O425" s="1467"/>
      <c r="P425" s="1471"/>
      <c r="Q425" s="1661"/>
      <c r="R425" s="1470">
        <f aca="true" t="shared" si="122" ref="R425:W425">SUM(R426:R428)</f>
        <v>66400</v>
      </c>
      <c r="S425" s="1467">
        <f t="shared" si="122"/>
        <v>40000</v>
      </c>
      <c r="T425" s="1467">
        <f t="shared" si="122"/>
        <v>0</v>
      </c>
      <c r="U425" s="1467">
        <f t="shared" si="122"/>
        <v>0</v>
      </c>
      <c r="V425" s="1467">
        <f t="shared" si="122"/>
        <v>0</v>
      </c>
      <c r="W425" s="1471">
        <f t="shared" si="122"/>
        <v>40000</v>
      </c>
      <c r="X425" s="1454">
        <f t="shared" si="121"/>
        <v>60.24096385542169</v>
      </c>
      <c r="Y425" s="1444"/>
    </row>
    <row r="426" spans="1:25" ht="24">
      <c r="A426" s="1497">
        <v>4210</v>
      </c>
      <c r="B426" s="1513" t="s">
        <v>864</v>
      </c>
      <c r="C426" s="1457"/>
      <c r="D426" s="1457">
        <f>J426+R426</f>
        <v>62000</v>
      </c>
      <c r="E426" s="1458">
        <v>40000</v>
      </c>
      <c r="F426" s="1459">
        <f>P426+W426</f>
        <v>40000</v>
      </c>
      <c r="G426" s="1499"/>
      <c r="H426" s="1499">
        <f t="shared" si="118"/>
        <v>64.51612903225806</v>
      </c>
      <c r="I426" s="1450"/>
      <c r="J426" s="1461"/>
      <c r="K426" s="1457"/>
      <c r="L426" s="1457"/>
      <c r="M426" s="1457"/>
      <c r="N426" s="1457"/>
      <c r="O426" s="1457"/>
      <c r="P426" s="1462"/>
      <c r="Q426" s="1495"/>
      <c r="R426" s="1461">
        <v>62000</v>
      </c>
      <c r="S426" s="1457">
        <v>40000</v>
      </c>
      <c r="T426" s="1457"/>
      <c r="U426" s="1457"/>
      <c r="V426" s="1457"/>
      <c r="W426" s="1462">
        <f>SUM(S426:V426)</f>
        <v>40000</v>
      </c>
      <c r="X426" s="1496">
        <f t="shared" si="121"/>
        <v>64.51612903225806</v>
      </c>
      <c r="Y426" s="1444"/>
    </row>
    <row r="427" spans="1:25" ht="60" hidden="1">
      <c r="A427" s="1497">
        <v>6060</v>
      </c>
      <c r="B427" s="1513" t="s">
        <v>865</v>
      </c>
      <c r="C427" s="1457"/>
      <c r="D427" s="1457">
        <f>J427+R427</f>
        <v>0</v>
      </c>
      <c r="E427" s="1458">
        <v>500000</v>
      </c>
      <c r="F427" s="1459">
        <f>P427+W427</f>
        <v>0</v>
      </c>
      <c r="G427" s="1499"/>
      <c r="H427" s="1499"/>
      <c r="I427" s="1450"/>
      <c r="J427" s="1461"/>
      <c r="K427" s="1457"/>
      <c r="L427" s="1457"/>
      <c r="M427" s="1457"/>
      <c r="N427" s="1457"/>
      <c r="O427" s="1457"/>
      <c r="P427" s="1462"/>
      <c r="Q427" s="1495"/>
      <c r="R427" s="1461">
        <v>0</v>
      </c>
      <c r="S427" s="1457"/>
      <c r="T427" s="1457"/>
      <c r="U427" s="1457">
        <f>500000-500000</f>
        <v>0</v>
      </c>
      <c r="V427" s="1457"/>
      <c r="W427" s="1462">
        <f>SUM(S427:V427)</f>
        <v>0</v>
      </c>
      <c r="X427" s="1496" t="e">
        <f t="shared" si="121"/>
        <v>#DIV/0!</v>
      </c>
      <c r="Y427" s="1444"/>
    </row>
    <row r="428" spans="1:25" ht="12.75">
      <c r="A428" s="1497">
        <v>4300</v>
      </c>
      <c r="B428" s="1513" t="s">
        <v>564</v>
      </c>
      <c r="C428" s="1457"/>
      <c r="D428" s="1457">
        <f>J428+R428</f>
        <v>4400</v>
      </c>
      <c r="E428" s="1458"/>
      <c r="F428" s="1459">
        <f>P428+W428</f>
        <v>0</v>
      </c>
      <c r="G428" s="1499"/>
      <c r="H428" s="1499">
        <f t="shared" si="118"/>
        <v>0</v>
      </c>
      <c r="I428" s="1450"/>
      <c r="J428" s="1461"/>
      <c r="K428" s="1457"/>
      <c r="L428" s="1457"/>
      <c r="M428" s="1457"/>
      <c r="N428" s="1457"/>
      <c r="O428" s="1457"/>
      <c r="P428" s="1462"/>
      <c r="Q428" s="1495"/>
      <c r="R428" s="1461">
        <v>4400</v>
      </c>
      <c r="S428" s="1457"/>
      <c r="T428" s="1457"/>
      <c r="U428" s="1457"/>
      <c r="V428" s="1457"/>
      <c r="W428" s="1462">
        <f>SUM(S428:V428)</f>
        <v>0</v>
      </c>
      <c r="X428" s="1496">
        <f t="shared" si="121"/>
        <v>0</v>
      </c>
      <c r="Y428" s="1444"/>
    </row>
    <row r="429" spans="1:25" s="581" customFormat="1" ht="15.75" customHeight="1">
      <c r="A429" s="1516">
        <v>75412</v>
      </c>
      <c r="B429" s="1550" t="s">
        <v>866</v>
      </c>
      <c r="C429" s="1467">
        <f>C430</f>
        <v>10000</v>
      </c>
      <c r="D429" s="1467">
        <f>D430</f>
        <v>30000</v>
      </c>
      <c r="E429" s="1468">
        <f>E430</f>
        <v>10000</v>
      </c>
      <c r="F429" s="1469">
        <f>F430</f>
        <v>10000</v>
      </c>
      <c r="G429" s="1519">
        <f t="shared" si="109"/>
        <v>100</v>
      </c>
      <c r="H429" s="1519">
        <f t="shared" si="118"/>
        <v>33.33333333333333</v>
      </c>
      <c r="I429" s="1450"/>
      <c r="J429" s="1470">
        <f>J430</f>
        <v>30000</v>
      </c>
      <c r="K429" s="1467">
        <f>K430</f>
        <v>10000</v>
      </c>
      <c r="L429" s="1467">
        <f>L430</f>
        <v>0</v>
      </c>
      <c r="M429" s="1467">
        <f>M430</f>
        <v>0</v>
      </c>
      <c r="N429" s="1467">
        <f>N430</f>
        <v>0</v>
      </c>
      <c r="O429" s="1467"/>
      <c r="P429" s="1471">
        <f>P430</f>
        <v>10000</v>
      </c>
      <c r="Q429" s="1453">
        <f aca="true" t="shared" si="123" ref="Q429:Q437">P429/J429*100</f>
        <v>33.33333333333333</v>
      </c>
      <c r="R429" s="1470"/>
      <c r="S429" s="1467"/>
      <c r="T429" s="1467"/>
      <c r="U429" s="1467"/>
      <c r="V429" s="1467"/>
      <c r="W429" s="1471"/>
      <c r="X429" s="1454"/>
      <c r="Y429" s="1444"/>
    </row>
    <row r="430" spans="1:25" ht="48">
      <c r="A430" s="1497">
        <v>2820</v>
      </c>
      <c r="B430" s="1513" t="s">
        <v>867</v>
      </c>
      <c r="C430" s="1457">
        <v>10000</v>
      </c>
      <c r="D430" s="1457">
        <f>J430+R430</f>
        <v>30000</v>
      </c>
      <c r="E430" s="1458">
        <v>10000</v>
      </c>
      <c r="F430" s="1459">
        <f>P430+W430</f>
        <v>10000</v>
      </c>
      <c r="G430" s="1499">
        <f t="shared" si="109"/>
        <v>100</v>
      </c>
      <c r="H430" s="1499">
        <f t="shared" si="118"/>
        <v>33.33333333333333</v>
      </c>
      <c r="I430" s="1450"/>
      <c r="J430" s="1461">
        <v>30000</v>
      </c>
      <c r="K430" s="1457">
        <v>10000</v>
      </c>
      <c r="L430" s="1457"/>
      <c r="M430" s="1457"/>
      <c r="N430" s="1457"/>
      <c r="O430" s="1457"/>
      <c r="P430" s="1462">
        <f>SUM(K430:N430)</f>
        <v>10000</v>
      </c>
      <c r="Q430" s="1495">
        <f t="shared" si="123"/>
        <v>33.33333333333333</v>
      </c>
      <c r="R430" s="1461"/>
      <c r="S430" s="1457"/>
      <c r="T430" s="1457"/>
      <c r="U430" s="1457"/>
      <c r="V430" s="1457"/>
      <c r="W430" s="1462"/>
      <c r="X430" s="1496"/>
      <c r="Y430" s="1444"/>
    </row>
    <row r="431" spans="1:25" s="581" customFormat="1" ht="12.75">
      <c r="A431" s="1516">
        <v>75414</v>
      </c>
      <c r="B431" s="1550" t="s">
        <v>868</v>
      </c>
      <c r="C431" s="1467">
        <f>C432+C433+C434+C435+C436+C437</f>
        <v>25970</v>
      </c>
      <c r="D431" s="1467">
        <f>D432+D433+D434+D435+D436+D437</f>
        <v>25970</v>
      </c>
      <c r="E431" s="1468">
        <f>E432+E433+E434+E435+E436+E437</f>
        <v>26400</v>
      </c>
      <c r="F431" s="1469">
        <f>F432+F433+F434+F435+F436+F437</f>
        <v>25500</v>
      </c>
      <c r="G431" s="1519">
        <f t="shared" si="109"/>
        <v>98.19021948402002</v>
      </c>
      <c r="H431" s="1519">
        <f t="shared" si="118"/>
        <v>98.19021948402002</v>
      </c>
      <c r="I431" s="1450"/>
      <c r="J431" s="1470">
        <f>J432+J433+J434+J435+J436+J437</f>
        <v>25970</v>
      </c>
      <c r="K431" s="1467">
        <f>K432+K433+K434+K435+K436+K437</f>
        <v>25500</v>
      </c>
      <c r="L431" s="1467">
        <f>L432+L433+L434+L435+L436+L437</f>
        <v>0</v>
      </c>
      <c r="M431" s="1467">
        <f>M432+M433+M434+M435+M436+M437</f>
        <v>0</v>
      </c>
      <c r="N431" s="1467">
        <f>N432+N433+N434+N435+N436+N437</f>
        <v>0</v>
      </c>
      <c r="O431" s="1467"/>
      <c r="P431" s="1471">
        <f>P432+P433+P434+P435+P436+P437</f>
        <v>25500</v>
      </c>
      <c r="Q431" s="1453">
        <f t="shared" si="123"/>
        <v>98.19021948402002</v>
      </c>
      <c r="R431" s="1470"/>
      <c r="S431" s="1467"/>
      <c r="T431" s="1467"/>
      <c r="U431" s="1467"/>
      <c r="V431" s="1467"/>
      <c r="W431" s="1471"/>
      <c r="X431" s="1454"/>
      <c r="Y431" s="1444"/>
    </row>
    <row r="432" spans="1:25" ht="24" hidden="1">
      <c r="A432" s="1497">
        <v>3020</v>
      </c>
      <c r="B432" s="1513" t="s">
        <v>566</v>
      </c>
      <c r="C432" s="1457"/>
      <c r="D432" s="1457"/>
      <c r="E432" s="1458"/>
      <c r="F432" s="1459"/>
      <c r="G432" s="1519" t="e">
        <f t="shared" si="109"/>
        <v>#DIV/0!</v>
      </c>
      <c r="H432" s="1519" t="e">
        <f t="shared" si="118"/>
        <v>#DIV/0!</v>
      </c>
      <c r="I432" s="1450"/>
      <c r="J432" s="1461"/>
      <c r="K432" s="1457"/>
      <c r="L432" s="1457"/>
      <c r="M432" s="1457"/>
      <c r="N432" s="1457"/>
      <c r="O432" s="1457"/>
      <c r="P432" s="1462"/>
      <c r="Q432" s="1495" t="e">
        <f t="shared" si="123"/>
        <v>#DIV/0!</v>
      </c>
      <c r="R432" s="1461"/>
      <c r="S432" s="1457"/>
      <c r="T432" s="1457"/>
      <c r="U432" s="1457"/>
      <c r="V432" s="1457"/>
      <c r="W432" s="1462"/>
      <c r="X432" s="1496" t="e">
        <f t="shared" si="121"/>
        <v>#DIV/0!</v>
      </c>
      <c r="Y432" s="1444"/>
    </row>
    <row r="433" spans="1:25" ht="12.75" hidden="1">
      <c r="A433" s="1497">
        <v>4110</v>
      </c>
      <c r="B433" s="1513" t="s">
        <v>568</v>
      </c>
      <c r="C433" s="1457"/>
      <c r="D433" s="1457"/>
      <c r="E433" s="1458"/>
      <c r="F433" s="1459"/>
      <c r="G433" s="1519" t="e">
        <f t="shared" si="109"/>
        <v>#DIV/0!</v>
      </c>
      <c r="H433" s="1519" t="e">
        <f t="shared" si="118"/>
        <v>#DIV/0!</v>
      </c>
      <c r="I433" s="1450"/>
      <c r="J433" s="1461"/>
      <c r="K433" s="1457"/>
      <c r="L433" s="1457"/>
      <c r="M433" s="1457"/>
      <c r="N433" s="1457"/>
      <c r="O433" s="1457"/>
      <c r="P433" s="1462"/>
      <c r="Q433" s="1495" t="e">
        <f t="shared" si="123"/>
        <v>#DIV/0!</v>
      </c>
      <c r="R433" s="1461"/>
      <c r="S433" s="1457"/>
      <c r="T433" s="1457"/>
      <c r="U433" s="1457"/>
      <c r="V433" s="1457"/>
      <c r="W433" s="1462"/>
      <c r="X433" s="1496" t="e">
        <f t="shared" si="121"/>
        <v>#DIV/0!</v>
      </c>
      <c r="Y433" s="1444"/>
    </row>
    <row r="434" spans="1:25" ht="12.75" hidden="1">
      <c r="A434" s="1497">
        <v>4120</v>
      </c>
      <c r="B434" s="1513" t="s">
        <v>763</v>
      </c>
      <c r="C434" s="1457"/>
      <c r="D434" s="1457"/>
      <c r="E434" s="1458"/>
      <c r="F434" s="1459"/>
      <c r="G434" s="1519" t="e">
        <f t="shared" si="109"/>
        <v>#DIV/0!</v>
      </c>
      <c r="H434" s="1519" t="e">
        <f t="shared" si="118"/>
        <v>#DIV/0!</v>
      </c>
      <c r="I434" s="1450"/>
      <c r="J434" s="1461"/>
      <c r="K434" s="1457"/>
      <c r="L434" s="1457"/>
      <c r="M434" s="1457"/>
      <c r="N434" s="1457"/>
      <c r="O434" s="1457"/>
      <c r="P434" s="1462"/>
      <c r="Q434" s="1495" t="e">
        <f t="shared" si="123"/>
        <v>#DIV/0!</v>
      </c>
      <c r="R434" s="1461"/>
      <c r="S434" s="1457"/>
      <c r="T434" s="1457"/>
      <c r="U434" s="1457"/>
      <c r="V434" s="1457"/>
      <c r="W434" s="1462"/>
      <c r="X434" s="1496" t="e">
        <f t="shared" si="121"/>
        <v>#DIV/0!</v>
      </c>
      <c r="Y434" s="1444"/>
    </row>
    <row r="435" spans="1:25" ht="12.75">
      <c r="A435" s="1497">
        <v>4210</v>
      </c>
      <c r="B435" s="1513" t="s">
        <v>560</v>
      </c>
      <c r="C435" s="1457">
        <v>15000</v>
      </c>
      <c r="D435" s="1457">
        <f>J435+R435</f>
        <v>15000</v>
      </c>
      <c r="E435" s="1458">
        <v>15900</v>
      </c>
      <c r="F435" s="1459">
        <f>P435+W435</f>
        <v>15000</v>
      </c>
      <c r="G435" s="1499">
        <f t="shared" si="109"/>
        <v>100</v>
      </c>
      <c r="H435" s="1499">
        <f t="shared" si="118"/>
        <v>100</v>
      </c>
      <c r="I435" s="1450"/>
      <c r="J435" s="1461">
        <v>15000</v>
      </c>
      <c r="K435" s="1457">
        <v>15000</v>
      </c>
      <c r="L435" s="1457"/>
      <c r="M435" s="1457"/>
      <c r="N435" s="1457"/>
      <c r="O435" s="1457"/>
      <c r="P435" s="1462">
        <f>SUM(K435:N435)</f>
        <v>15000</v>
      </c>
      <c r="Q435" s="1495">
        <f t="shared" si="123"/>
        <v>100</v>
      </c>
      <c r="R435" s="1461"/>
      <c r="S435" s="1457"/>
      <c r="T435" s="1457"/>
      <c r="U435" s="1457"/>
      <c r="V435" s="1457"/>
      <c r="W435" s="1462"/>
      <c r="X435" s="1496"/>
      <c r="Y435" s="1444"/>
    </row>
    <row r="436" spans="1:25" ht="12.75" hidden="1">
      <c r="A436" s="1497">
        <v>4270</v>
      </c>
      <c r="B436" s="1513" t="s">
        <v>576</v>
      </c>
      <c r="C436" s="1457">
        <v>0</v>
      </c>
      <c r="D436" s="1457">
        <f>J436+R436</f>
        <v>0</v>
      </c>
      <c r="E436" s="1458"/>
      <c r="F436" s="1459">
        <f>P436+W436</f>
        <v>0</v>
      </c>
      <c r="G436" s="1499" t="e">
        <f t="shared" si="109"/>
        <v>#DIV/0!</v>
      </c>
      <c r="H436" s="1499" t="e">
        <f t="shared" si="118"/>
        <v>#DIV/0!</v>
      </c>
      <c r="I436" s="1450"/>
      <c r="J436" s="1461">
        <v>0</v>
      </c>
      <c r="K436" s="1457"/>
      <c r="L436" s="1457"/>
      <c r="M436" s="1457"/>
      <c r="N436" s="1457"/>
      <c r="O436" s="1457"/>
      <c r="P436" s="1462">
        <f>SUM(K436:N436)</f>
        <v>0</v>
      </c>
      <c r="Q436" s="1495" t="e">
        <f t="shared" si="123"/>
        <v>#DIV/0!</v>
      </c>
      <c r="R436" s="1461"/>
      <c r="S436" s="1457"/>
      <c r="T436" s="1457"/>
      <c r="U436" s="1457"/>
      <c r="V436" s="1457"/>
      <c r="W436" s="1462"/>
      <c r="X436" s="1496"/>
      <c r="Y436" s="1444"/>
    </row>
    <row r="437" spans="1:25" ht="24">
      <c r="A437" s="1485">
        <v>4300</v>
      </c>
      <c r="B437" s="1500" t="s">
        <v>869</v>
      </c>
      <c r="C437" s="1478">
        <v>10970</v>
      </c>
      <c r="D437" s="1478">
        <f>J437+R437</f>
        <v>10970</v>
      </c>
      <c r="E437" s="1479">
        <v>10500</v>
      </c>
      <c r="F437" s="1480">
        <f>P437+W437</f>
        <v>10500</v>
      </c>
      <c r="G437" s="1499">
        <f t="shared" si="109"/>
        <v>95.71558796718323</v>
      </c>
      <c r="H437" s="1499">
        <f t="shared" si="118"/>
        <v>95.71558796718323</v>
      </c>
      <c r="I437" s="1486"/>
      <c r="J437" s="1483">
        <v>10970</v>
      </c>
      <c r="K437" s="1478">
        <v>10500</v>
      </c>
      <c r="L437" s="1478"/>
      <c r="M437" s="1478"/>
      <c r="N437" s="1478"/>
      <c r="O437" s="1478"/>
      <c r="P437" s="1484">
        <f>SUM(K437:N437)</f>
        <v>10500</v>
      </c>
      <c r="Q437" s="1662">
        <f t="shared" si="123"/>
        <v>95.71558796718323</v>
      </c>
      <c r="R437" s="1483"/>
      <c r="S437" s="1478"/>
      <c r="T437" s="1478"/>
      <c r="U437" s="1478"/>
      <c r="V437" s="1478"/>
      <c r="W437" s="1484"/>
      <c r="X437" s="1488"/>
      <c r="Y437" s="1444"/>
    </row>
    <row r="438" spans="1:25" s="581" customFormat="1" ht="12.75">
      <c r="A438" s="1516">
        <v>75495</v>
      </c>
      <c r="B438" s="1517" t="s">
        <v>209</v>
      </c>
      <c r="C438" s="1467">
        <f>C439</f>
        <v>0</v>
      </c>
      <c r="D438" s="1596">
        <f>J438+R438</f>
        <v>140000</v>
      </c>
      <c r="E438" s="1468">
        <f>E439</f>
        <v>0</v>
      </c>
      <c r="F438" s="1469"/>
      <c r="G438" s="1519"/>
      <c r="H438" s="1519">
        <f t="shared" si="118"/>
        <v>0</v>
      </c>
      <c r="I438" s="1460"/>
      <c r="J438" s="1470">
        <f>SUM(J439)</f>
        <v>140000</v>
      </c>
      <c r="K438" s="1467"/>
      <c r="L438" s="1467"/>
      <c r="M438" s="1467"/>
      <c r="N438" s="1467"/>
      <c r="O438" s="1467"/>
      <c r="P438" s="1471"/>
      <c r="Q438" s="1472"/>
      <c r="R438" s="1470"/>
      <c r="S438" s="1467"/>
      <c r="T438" s="1467"/>
      <c r="U438" s="1467"/>
      <c r="V438" s="1467"/>
      <c r="W438" s="1471"/>
      <c r="X438" s="1557"/>
      <c r="Y438" s="1444"/>
    </row>
    <row r="439" spans="1:25" ht="24.75" thickBot="1">
      <c r="A439" s="1645">
        <v>6060</v>
      </c>
      <c r="B439" s="1663" t="s">
        <v>870</v>
      </c>
      <c r="C439" s="1664"/>
      <c r="D439" s="1478">
        <f>J439+R439</f>
        <v>140000</v>
      </c>
      <c r="E439" s="1665"/>
      <c r="F439" s="1666"/>
      <c r="G439" s="1481"/>
      <c r="H439" s="1481">
        <f t="shared" si="118"/>
        <v>0</v>
      </c>
      <c r="I439" s="1486"/>
      <c r="J439" s="1667">
        <v>140000</v>
      </c>
      <c r="K439" s="1664"/>
      <c r="L439" s="1664"/>
      <c r="M439" s="1664"/>
      <c r="N439" s="1664"/>
      <c r="O439" s="1664"/>
      <c r="P439" s="1668"/>
      <c r="Q439" s="1662"/>
      <c r="R439" s="1667"/>
      <c r="S439" s="1664"/>
      <c r="T439" s="1664"/>
      <c r="U439" s="1664"/>
      <c r="V439" s="1664"/>
      <c r="W439" s="1668"/>
      <c r="X439" s="1488"/>
      <c r="Y439" s="1444"/>
    </row>
    <row r="440" spans="1:28" s="581" customFormat="1" ht="73.5" thickBot="1" thickTop="1">
      <c r="A440" s="1489">
        <v>756</v>
      </c>
      <c r="B440" s="1669" t="s">
        <v>871</v>
      </c>
      <c r="C440" s="1434">
        <f>C441</f>
        <v>399200</v>
      </c>
      <c r="D440" s="1434">
        <f>D441</f>
        <v>459200</v>
      </c>
      <c r="E440" s="1435">
        <f>E441</f>
        <v>434400</v>
      </c>
      <c r="F440" s="1436">
        <f>F441</f>
        <v>434400</v>
      </c>
      <c r="G440" s="1437">
        <f t="shared" si="109"/>
        <v>108.81763527054109</v>
      </c>
      <c r="H440" s="1438">
        <f t="shared" si="118"/>
        <v>94.5993031358885</v>
      </c>
      <c r="I440" s="1439">
        <f>F440/F$1426*100</f>
        <v>0.1584334803556398</v>
      </c>
      <c r="J440" s="1440">
        <f aca="true" t="shared" si="124" ref="J440:P440">J441</f>
        <v>459200</v>
      </c>
      <c r="K440" s="1434">
        <f t="shared" si="124"/>
        <v>434400</v>
      </c>
      <c r="L440" s="1434">
        <f t="shared" si="124"/>
        <v>0</v>
      </c>
      <c r="M440" s="1434">
        <f t="shared" si="124"/>
        <v>0</v>
      </c>
      <c r="N440" s="1434">
        <f t="shared" si="124"/>
        <v>0</v>
      </c>
      <c r="O440" s="1434"/>
      <c r="P440" s="1441">
        <f t="shared" si="124"/>
        <v>434400</v>
      </c>
      <c r="Q440" s="1442">
        <f aca="true" t="shared" si="125" ref="Q440:Q455">P440/J440*100</f>
        <v>94.5993031358885</v>
      </c>
      <c r="R440" s="1440"/>
      <c r="S440" s="1434"/>
      <c r="T440" s="1434"/>
      <c r="U440" s="1434"/>
      <c r="V440" s="1434"/>
      <c r="W440" s="1441"/>
      <c r="X440" s="1492" t="e">
        <f>W440/R440*100</f>
        <v>#DIV/0!</v>
      </c>
      <c r="Y440" s="1444"/>
      <c r="Z440" s="1591">
        <f>Z441</f>
        <v>22400</v>
      </c>
      <c r="AA440" s="1670"/>
      <c r="AB440" s="1671">
        <f>Z440+AA440</f>
        <v>22400</v>
      </c>
    </row>
    <row r="441" spans="1:29" ht="36.75" thickTop="1">
      <c r="A441" s="1611">
        <v>75647</v>
      </c>
      <c r="B441" s="1550" t="s">
        <v>872</v>
      </c>
      <c r="C441" s="1467">
        <f>SUM(C442:C449)</f>
        <v>399200</v>
      </c>
      <c r="D441" s="1467">
        <f>SUM(D442:D449)</f>
        <v>459200</v>
      </c>
      <c r="E441" s="1509">
        <f>SUM(E442:E449)</f>
        <v>434400</v>
      </c>
      <c r="F441" s="1507">
        <f>SUM(F442:F449)</f>
        <v>434400</v>
      </c>
      <c r="G441" s="1601">
        <f t="shared" si="109"/>
        <v>108.81763527054109</v>
      </c>
      <c r="H441" s="1475">
        <f t="shared" si="118"/>
        <v>94.5993031358885</v>
      </c>
      <c r="I441" s="1672"/>
      <c r="J441" s="1469">
        <f aca="true" t="shared" si="126" ref="J441:P441">SUM(J442:J449)</f>
        <v>459200</v>
      </c>
      <c r="K441" s="1469">
        <f t="shared" si="126"/>
        <v>434400</v>
      </c>
      <c r="L441" s="1469">
        <f t="shared" si="126"/>
        <v>0</v>
      </c>
      <c r="M441" s="1469">
        <f t="shared" si="126"/>
        <v>0</v>
      </c>
      <c r="N441" s="1469">
        <f t="shared" si="126"/>
        <v>0</v>
      </c>
      <c r="O441" s="1469">
        <f t="shared" si="126"/>
        <v>0</v>
      </c>
      <c r="P441" s="1469">
        <f t="shared" si="126"/>
        <v>434400</v>
      </c>
      <c r="Q441" s="1518">
        <f>Q442+Q443+Q444+Q445+Q446+Q447+Q449</f>
        <v>709.5346419046829</v>
      </c>
      <c r="R441" s="1510"/>
      <c r="S441" s="1508"/>
      <c r="T441" s="1508"/>
      <c r="U441" s="1508"/>
      <c r="V441" s="1508"/>
      <c r="W441" s="1509"/>
      <c r="X441" s="1496" t="e">
        <f>W441/R441*100</f>
        <v>#DIV/0!</v>
      </c>
      <c r="Y441" s="1444"/>
      <c r="Z441" s="1673">
        <f>SUM(K444:K447)</f>
        <v>22400</v>
      </c>
      <c r="AB441" s="1674">
        <f>Z441+AA441</f>
        <v>22400</v>
      </c>
      <c r="AC441" s="636"/>
    </row>
    <row r="442" spans="1:25" ht="24">
      <c r="A442" s="1551">
        <v>4100</v>
      </c>
      <c r="B442" s="1513" t="s">
        <v>799</v>
      </c>
      <c r="C442" s="1457">
        <v>32000</v>
      </c>
      <c r="D442" s="1457">
        <f>J442+R442</f>
        <v>54400</v>
      </c>
      <c r="E442" s="1458">
        <v>55000</v>
      </c>
      <c r="F442" s="1459">
        <f>P442+W442</f>
        <v>55000</v>
      </c>
      <c r="G442" s="1499">
        <f t="shared" si="109"/>
        <v>171.875</v>
      </c>
      <c r="H442" s="1499">
        <f t="shared" si="118"/>
        <v>101.10294117647058</v>
      </c>
      <c r="I442" s="1450"/>
      <c r="J442" s="1461">
        <v>54400</v>
      </c>
      <c r="K442" s="1457">
        <v>55000</v>
      </c>
      <c r="L442" s="1457"/>
      <c r="M442" s="1457"/>
      <c r="N442" s="1457"/>
      <c r="O442" s="1457"/>
      <c r="P442" s="1462">
        <f>SUM(K442:N442)</f>
        <v>55000</v>
      </c>
      <c r="Q442" s="1495">
        <f t="shared" si="125"/>
        <v>101.10294117647058</v>
      </c>
      <c r="R442" s="1461"/>
      <c r="S442" s="1457"/>
      <c r="T442" s="1457"/>
      <c r="U442" s="1457"/>
      <c r="V442" s="1457"/>
      <c r="W442" s="1462"/>
      <c r="X442" s="1496"/>
      <c r="Y442" s="1444"/>
    </row>
    <row r="443" spans="1:25" ht="24">
      <c r="A443" s="1551">
        <v>4100</v>
      </c>
      <c r="B443" s="1513" t="s">
        <v>873</v>
      </c>
      <c r="C443" s="1457">
        <v>42000</v>
      </c>
      <c r="D443" s="1457">
        <f aca="true" t="shared" si="127" ref="D443:D449">J443+R443</f>
        <v>38700</v>
      </c>
      <c r="E443" s="1458">
        <v>35000</v>
      </c>
      <c r="F443" s="1459">
        <f aca="true" t="shared" si="128" ref="F443:F449">P443+W443</f>
        <v>35000</v>
      </c>
      <c r="G443" s="1499">
        <f t="shared" si="109"/>
        <v>83.33333333333334</v>
      </c>
      <c r="H443" s="1499">
        <f t="shared" si="118"/>
        <v>90.43927648578811</v>
      </c>
      <c r="I443" s="1450"/>
      <c r="J443" s="1461">
        <v>38700</v>
      </c>
      <c r="K443" s="1457">
        <v>35000</v>
      </c>
      <c r="L443" s="1457"/>
      <c r="M443" s="1457"/>
      <c r="N443" s="1457"/>
      <c r="O443" s="1457"/>
      <c r="P443" s="1462">
        <f aca="true" t="shared" si="129" ref="P443:P449">SUM(K443:N443)</f>
        <v>35000</v>
      </c>
      <c r="Q443" s="1495">
        <f t="shared" si="125"/>
        <v>90.43927648578811</v>
      </c>
      <c r="R443" s="1461"/>
      <c r="S443" s="1457"/>
      <c r="T443" s="1457"/>
      <c r="U443" s="1457"/>
      <c r="V443" s="1457"/>
      <c r="W443" s="1462"/>
      <c r="X443" s="1496"/>
      <c r="Y443" s="1444"/>
    </row>
    <row r="444" spans="1:25" ht="24">
      <c r="A444" s="1497">
        <v>4110</v>
      </c>
      <c r="B444" s="1513" t="s">
        <v>874</v>
      </c>
      <c r="C444" s="1457">
        <v>10000</v>
      </c>
      <c r="D444" s="1457">
        <f t="shared" si="127"/>
        <v>10000</v>
      </c>
      <c r="E444" s="1458">
        <v>10000</v>
      </c>
      <c r="F444" s="1459">
        <f t="shared" si="128"/>
        <v>10000</v>
      </c>
      <c r="G444" s="1499">
        <f t="shared" si="109"/>
        <v>100</v>
      </c>
      <c r="H444" s="1499">
        <f t="shared" si="118"/>
        <v>100</v>
      </c>
      <c r="I444" s="1450"/>
      <c r="J444" s="1461">
        <v>10000</v>
      </c>
      <c r="K444" s="1457">
        <v>10000</v>
      </c>
      <c r="L444" s="1457"/>
      <c r="M444" s="1457"/>
      <c r="N444" s="1457"/>
      <c r="O444" s="1457"/>
      <c r="P444" s="1462">
        <f t="shared" si="129"/>
        <v>10000</v>
      </c>
      <c r="Q444" s="1495">
        <f t="shared" si="125"/>
        <v>100</v>
      </c>
      <c r="R444" s="1461"/>
      <c r="S444" s="1457"/>
      <c r="T444" s="1457"/>
      <c r="U444" s="1457"/>
      <c r="V444" s="1457"/>
      <c r="W444" s="1462"/>
      <c r="X444" s="1496"/>
      <c r="Y444" s="1444"/>
    </row>
    <row r="445" spans="1:25" ht="24">
      <c r="A445" s="1497">
        <v>4110</v>
      </c>
      <c r="B445" s="1513" t="s">
        <v>875</v>
      </c>
      <c r="C445" s="1457">
        <v>8000</v>
      </c>
      <c r="D445" s="1457">
        <f t="shared" si="127"/>
        <v>8000</v>
      </c>
      <c r="E445" s="1458">
        <v>9500</v>
      </c>
      <c r="F445" s="1459">
        <f t="shared" si="128"/>
        <v>9500</v>
      </c>
      <c r="G445" s="1499">
        <f t="shared" si="109"/>
        <v>118.75</v>
      </c>
      <c r="H445" s="1499">
        <f t="shared" si="118"/>
        <v>118.75</v>
      </c>
      <c r="I445" s="1450"/>
      <c r="J445" s="1461">
        <v>8000</v>
      </c>
      <c r="K445" s="1457">
        <v>9500</v>
      </c>
      <c r="L445" s="1457"/>
      <c r="M445" s="1457"/>
      <c r="N445" s="1457"/>
      <c r="O445" s="1457"/>
      <c r="P445" s="1462">
        <f t="shared" si="129"/>
        <v>9500</v>
      </c>
      <c r="Q445" s="1495">
        <f t="shared" si="125"/>
        <v>118.75</v>
      </c>
      <c r="R445" s="1461"/>
      <c r="S445" s="1457"/>
      <c r="T445" s="1457"/>
      <c r="U445" s="1457"/>
      <c r="V445" s="1457"/>
      <c r="W445" s="1462"/>
      <c r="X445" s="1496"/>
      <c r="Y445" s="1444"/>
    </row>
    <row r="446" spans="1:25" ht="12.75">
      <c r="A446" s="1497">
        <v>4120</v>
      </c>
      <c r="B446" s="1513" t="s">
        <v>876</v>
      </c>
      <c r="C446" s="1457">
        <v>1200</v>
      </c>
      <c r="D446" s="1457">
        <f t="shared" si="127"/>
        <v>1200</v>
      </c>
      <c r="E446" s="1458">
        <v>1300</v>
      </c>
      <c r="F446" s="1459">
        <f t="shared" si="128"/>
        <v>1300</v>
      </c>
      <c r="G446" s="1499">
        <f t="shared" si="109"/>
        <v>108.33333333333333</v>
      </c>
      <c r="H446" s="1499">
        <f t="shared" si="118"/>
        <v>108.33333333333333</v>
      </c>
      <c r="I446" s="1450"/>
      <c r="J446" s="1461">
        <v>1200</v>
      </c>
      <c r="K446" s="1457">
        <v>1300</v>
      </c>
      <c r="L446" s="1457"/>
      <c r="M446" s="1457"/>
      <c r="N446" s="1457"/>
      <c r="O446" s="1457"/>
      <c r="P446" s="1462">
        <f t="shared" si="129"/>
        <v>1300</v>
      </c>
      <c r="Q446" s="1495">
        <f t="shared" si="125"/>
        <v>108.33333333333333</v>
      </c>
      <c r="R446" s="1461"/>
      <c r="S446" s="1457"/>
      <c r="T446" s="1457"/>
      <c r="U446" s="1457"/>
      <c r="V446" s="1457"/>
      <c r="W446" s="1462"/>
      <c r="X446" s="1496"/>
      <c r="Y446" s="1444"/>
    </row>
    <row r="447" spans="1:25" ht="12.75">
      <c r="A447" s="1497">
        <v>4120</v>
      </c>
      <c r="B447" s="1513" t="s">
        <v>877</v>
      </c>
      <c r="C447" s="1457">
        <v>1600</v>
      </c>
      <c r="D447" s="1457">
        <f t="shared" si="127"/>
        <v>1600</v>
      </c>
      <c r="E447" s="1458">
        <v>1600</v>
      </c>
      <c r="F447" s="1459">
        <f t="shared" si="128"/>
        <v>1600</v>
      </c>
      <c r="G447" s="1499">
        <f t="shared" si="109"/>
        <v>100</v>
      </c>
      <c r="H447" s="1499">
        <f t="shared" si="118"/>
        <v>100</v>
      </c>
      <c r="I447" s="1450"/>
      <c r="J447" s="1461">
        <v>1600</v>
      </c>
      <c r="K447" s="1457">
        <v>1600</v>
      </c>
      <c r="L447" s="1457"/>
      <c r="M447" s="1457"/>
      <c r="N447" s="1457"/>
      <c r="O447" s="1457"/>
      <c r="P447" s="1462">
        <f t="shared" si="129"/>
        <v>1600</v>
      </c>
      <c r="Q447" s="1495">
        <f t="shared" si="125"/>
        <v>100</v>
      </c>
      <c r="R447" s="1461"/>
      <c r="S447" s="1457"/>
      <c r="T447" s="1457"/>
      <c r="U447" s="1457"/>
      <c r="V447" s="1457"/>
      <c r="W447" s="1462"/>
      <c r="X447" s="1496"/>
      <c r="Y447" s="1444"/>
    </row>
    <row r="448" spans="1:25" ht="12.75">
      <c r="A448" s="1497">
        <v>4170</v>
      </c>
      <c r="B448" s="1513" t="s">
        <v>878</v>
      </c>
      <c r="C448" s="1457"/>
      <c r="D448" s="1457">
        <f t="shared" si="127"/>
        <v>15300</v>
      </c>
      <c r="E448" s="1458">
        <v>22000</v>
      </c>
      <c r="F448" s="1459">
        <f t="shared" si="128"/>
        <v>22000</v>
      </c>
      <c r="G448" s="1499"/>
      <c r="H448" s="1499">
        <f t="shared" si="118"/>
        <v>143.79084967320262</v>
      </c>
      <c r="I448" s="1450"/>
      <c r="J448" s="1461">
        <v>15300</v>
      </c>
      <c r="K448" s="1457">
        <v>22000</v>
      </c>
      <c r="L448" s="1457"/>
      <c r="M448" s="1457"/>
      <c r="N448" s="1457"/>
      <c r="O448" s="1457"/>
      <c r="P448" s="1462">
        <f t="shared" si="129"/>
        <v>22000</v>
      </c>
      <c r="Q448" s="1495">
        <f t="shared" si="125"/>
        <v>143.79084967320262</v>
      </c>
      <c r="R448" s="1461"/>
      <c r="S448" s="1457"/>
      <c r="T448" s="1457"/>
      <c r="U448" s="1457"/>
      <c r="V448" s="1457"/>
      <c r="W448" s="1462"/>
      <c r="X448" s="1488"/>
      <c r="Y448" s="1444"/>
    </row>
    <row r="449" spans="1:25" ht="13.5" thickBot="1">
      <c r="A449" s="1598">
        <v>4300</v>
      </c>
      <c r="B449" s="1675" t="s">
        <v>653</v>
      </c>
      <c r="C449" s="1567">
        <v>304400</v>
      </c>
      <c r="D449" s="1567">
        <f t="shared" si="127"/>
        <v>330000</v>
      </c>
      <c r="E449" s="1568">
        <v>300000</v>
      </c>
      <c r="F449" s="1676">
        <f t="shared" si="128"/>
        <v>300000</v>
      </c>
      <c r="G449" s="1481">
        <f t="shared" si="109"/>
        <v>98.5545335085414</v>
      </c>
      <c r="H449" s="1481">
        <f t="shared" si="118"/>
        <v>90.9090909090909</v>
      </c>
      <c r="I449" s="1569"/>
      <c r="J449" s="1572">
        <v>330000</v>
      </c>
      <c r="K449" s="1567">
        <v>300000</v>
      </c>
      <c r="L449" s="1567"/>
      <c r="M449" s="1567"/>
      <c r="N449" s="1567"/>
      <c r="O449" s="1567"/>
      <c r="P449" s="1573">
        <f t="shared" si="129"/>
        <v>300000</v>
      </c>
      <c r="Q449" s="1571">
        <f t="shared" si="125"/>
        <v>90.9090909090909</v>
      </c>
      <c r="R449" s="1572"/>
      <c r="S449" s="1567"/>
      <c r="T449" s="1567"/>
      <c r="U449" s="1567"/>
      <c r="V449" s="1567"/>
      <c r="W449" s="1573"/>
      <c r="X449" s="1488"/>
      <c r="Y449" s="1444"/>
    </row>
    <row r="450" spans="1:25" s="581" customFormat="1" ht="18.75" customHeight="1" thickBot="1" thickTop="1">
      <c r="A450" s="1646">
        <v>757</v>
      </c>
      <c r="B450" s="1647" t="s">
        <v>879</v>
      </c>
      <c r="C450" s="1648">
        <f aca="true" t="shared" si="130" ref="C450:F451">C451</f>
        <v>4050000</v>
      </c>
      <c r="D450" s="1648">
        <f t="shared" si="130"/>
        <v>4050000</v>
      </c>
      <c r="E450" s="1677">
        <f t="shared" si="130"/>
        <v>3800000</v>
      </c>
      <c r="F450" s="1678">
        <f t="shared" si="130"/>
        <v>3770000</v>
      </c>
      <c r="G450" s="1602">
        <f t="shared" si="109"/>
        <v>93.08641975308643</v>
      </c>
      <c r="H450" s="1603">
        <f t="shared" si="118"/>
        <v>93.08641975308643</v>
      </c>
      <c r="I450" s="1650">
        <f>F450/F$1426*100</f>
        <v>1.3749866964566348</v>
      </c>
      <c r="J450" s="1651">
        <f aca="true" t="shared" si="131" ref="J450:N451">J451</f>
        <v>4050000</v>
      </c>
      <c r="K450" s="1648">
        <f t="shared" si="131"/>
        <v>3800000</v>
      </c>
      <c r="L450" s="1648">
        <f t="shared" si="131"/>
        <v>0</v>
      </c>
      <c r="M450" s="1648">
        <f t="shared" si="131"/>
        <v>0</v>
      </c>
      <c r="N450" s="1648">
        <f t="shared" si="131"/>
        <v>0</v>
      </c>
      <c r="O450" s="1648"/>
      <c r="P450" s="1652">
        <f>P451</f>
        <v>3770000</v>
      </c>
      <c r="Q450" s="1653">
        <f t="shared" si="125"/>
        <v>93.08641975308643</v>
      </c>
      <c r="R450" s="1651"/>
      <c r="S450" s="1648"/>
      <c r="T450" s="1648"/>
      <c r="U450" s="1648"/>
      <c r="V450" s="1648"/>
      <c r="W450" s="1652"/>
      <c r="X450" s="1492" t="e">
        <f>W450/R450*100</f>
        <v>#DIV/0!</v>
      </c>
      <c r="Y450" s="1444"/>
    </row>
    <row r="451" spans="1:25" s="581" customFormat="1" ht="24.75" thickTop="1">
      <c r="A451" s="1493">
        <v>75702</v>
      </c>
      <c r="B451" s="1506" t="s">
        <v>880</v>
      </c>
      <c r="C451" s="1447">
        <f t="shared" si="130"/>
        <v>4050000</v>
      </c>
      <c r="D451" s="1447">
        <f t="shared" si="130"/>
        <v>4050000</v>
      </c>
      <c r="E451" s="1448">
        <f t="shared" si="130"/>
        <v>3800000</v>
      </c>
      <c r="F451" s="1449">
        <f t="shared" si="130"/>
        <v>3770000</v>
      </c>
      <c r="G451" s="1601">
        <f t="shared" si="109"/>
        <v>93.08641975308643</v>
      </c>
      <c r="H451" s="1601">
        <f t="shared" si="118"/>
        <v>93.08641975308643</v>
      </c>
      <c r="I451" s="1450"/>
      <c r="J451" s="1451">
        <f t="shared" si="131"/>
        <v>4050000</v>
      </c>
      <c r="K451" s="1447">
        <f t="shared" si="131"/>
        <v>3800000</v>
      </c>
      <c r="L451" s="1447">
        <f t="shared" si="131"/>
        <v>0</v>
      </c>
      <c r="M451" s="1447">
        <f t="shared" si="131"/>
        <v>0</v>
      </c>
      <c r="N451" s="1447">
        <f t="shared" si="131"/>
        <v>0</v>
      </c>
      <c r="O451" s="1447"/>
      <c r="P451" s="1452">
        <f>P452</f>
        <v>3770000</v>
      </c>
      <c r="Q451" s="1453">
        <f t="shared" si="125"/>
        <v>93.08641975308643</v>
      </c>
      <c r="R451" s="1451"/>
      <c r="S451" s="1447"/>
      <c r="T451" s="1447"/>
      <c r="U451" s="1447"/>
      <c r="V451" s="1447"/>
      <c r="W451" s="1452"/>
      <c r="X451" s="1496" t="e">
        <f>W451/R451*100</f>
        <v>#DIV/0!</v>
      </c>
      <c r="Y451" s="1444"/>
    </row>
    <row r="452" spans="1:25" ht="36.75" thickBot="1">
      <c r="A452" s="1485">
        <v>8070</v>
      </c>
      <c r="B452" s="1502" t="s">
        <v>881</v>
      </c>
      <c r="C452" s="1478">
        <v>4050000</v>
      </c>
      <c r="D452" s="1478">
        <f>J452+R452</f>
        <v>4050000</v>
      </c>
      <c r="E452" s="1479">
        <v>3800000</v>
      </c>
      <c r="F452" s="1480">
        <f>P452+W452</f>
        <v>3770000</v>
      </c>
      <c r="G452" s="1481">
        <f t="shared" si="109"/>
        <v>93.08641975308643</v>
      </c>
      <c r="H452" s="1481">
        <f t="shared" si="118"/>
        <v>93.08641975308643</v>
      </c>
      <c r="I452" s="1486"/>
      <c r="J452" s="1483">
        <v>4050000</v>
      </c>
      <c r="K452" s="1478">
        <v>3800000</v>
      </c>
      <c r="L452" s="1478"/>
      <c r="M452" s="1478"/>
      <c r="N452" s="1478"/>
      <c r="O452" s="1478"/>
      <c r="P452" s="1484">
        <v>3770000</v>
      </c>
      <c r="Q452" s="1495">
        <f t="shared" si="125"/>
        <v>93.08641975308643</v>
      </c>
      <c r="R452" s="1483"/>
      <c r="S452" s="1478"/>
      <c r="T452" s="1478"/>
      <c r="U452" s="1478"/>
      <c r="V452" s="1478"/>
      <c r="W452" s="1484"/>
      <c r="X452" s="1488"/>
      <c r="Y452" s="1444"/>
    </row>
    <row r="453" spans="1:25" s="581" customFormat="1" ht="14.25" thickBot="1" thickTop="1">
      <c r="A453" s="1489">
        <v>758</v>
      </c>
      <c r="B453" s="1490" t="s">
        <v>882</v>
      </c>
      <c r="C453" s="1434">
        <f>C454+C459</f>
        <v>4238910</v>
      </c>
      <c r="D453" s="1434">
        <f>D454+D459</f>
        <v>3863438</v>
      </c>
      <c r="E453" s="1435">
        <f>E454+E459</f>
        <v>6746775</v>
      </c>
      <c r="F453" s="1436">
        <f>F454+F459</f>
        <v>5180460</v>
      </c>
      <c r="G453" s="1437">
        <f t="shared" si="109"/>
        <v>122.21207810498453</v>
      </c>
      <c r="H453" s="1438">
        <f t="shared" si="118"/>
        <v>134.08937842408756</v>
      </c>
      <c r="I453" s="1439">
        <f>F453/F$1426*100</f>
        <v>1.8894067855505938</v>
      </c>
      <c r="J453" s="1440">
        <f>J454</f>
        <v>2124528</v>
      </c>
      <c r="K453" s="1434">
        <f>K454+K459</f>
        <v>4433685</v>
      </c>
      <c r="L453" s="1434">
        <f>L454+L459</f>
        <v>0</v>
      </c>
      <c r="M453" s="1434">
        <f>M454+M459</f>
        <v>0</v>
      </c>
      <c r="N453" s="1434">
        <f>N454+N459</f>
        <v>0</v>
      </c>
      <c r="O453" s="1434"/>
      <c r="P453" s="1441">
        <f>P454+P459</f>
        <v>3933685</v>
      </c>
      <c r="Q453" s="1442">
        <f t="shared" si="125"/>
        <v>185.15571458695769</v>
      </c>
      <c r="R453" s="1440">
        <f aca="true" t="shared" si="132" ref="R453:W453">R454+R459</f>
        <v>1738910</v>
      </c>
      <c r="S453" s="1434">
        <f t="shared" si="132"/>
        <v>1246775</v>
      </c>
      <c r="T453" s="1434">
        <f t="shared" si="132"/>
        <v>0</v>
      </c>
      <c r="U453" s="1434">
        <f t="shared" si="132"/>
        <v>0</v>
      </c>
      <c r="V453" s="1434">
        <f t="shared" si="132"/>
        <v>0</v>
      </c>
      <c r="W453" s="1441">
        <f t="shared" si="132"/>
        <v>1246775</v>
      </c>
      <c r="X453" s="1492">
        <f>W453/R453*100</f>
        <v>71.69865030392603</v>
      </c>
      <c r="Y453" s="1444"/>
    </row>
    <row r="454" spans="1:25" s="581" customFormat="1" ht="13.5" thickTop="1">
      <c r="A454" s="1493">
        <v>75818</v>
      </c>
      <c r="B454" s="1506" t="s">
        <v>883</v>
      </c>
      <c r="C454" s="1447">
        <f>SUM(C455:C458)</f>
        <v>2500000</v>
      </c>
      <c r="D454" s="1447">
        <f>SUM(D455:D458)</f>
        <v>2124528</v>
      </c>
      <c r="E454" s="1448">
        <f>SUM(E455:E458)</f>
        <v>5500000</v>
      </c>
      <c r="F454" s="1449">
        <f>SUM(F455:F458)</f>
        <v>3933685</v>
      </c>
      <c r="G454" s="1601">
        <f t="shared" si="109"/>
        <v>157.3474</v>
      </c>
      <c r="H454" s="1601">
        <f t="shared" si="118"/>
        <v>185.15571458695769</v>
      </c>
      <c r="I454" s="1672"/>
      <c r="J454" s="1451">
        <f aca="true" t="shared" si="133" ref="J454:P454">SUM(J455:J458)</f>
        <v>2124528</v>
      </c>
      <c r="K454" s="1447">
        <f t="shared" si="133"/>
        <v>4433685</v>
      </c>
      <c r="L454" s="1447">
        <f t="shared" si="133"/>
        <v>0</v>
      </c>
      <c r="M454" s="1447">
        <f t="shared" si="133"/>
        <v>0</v>
      </c>
      <c r="N454" s="1447">
        <f t="shared" si="133"/>
        <v>0</v>
      </c>
      <c r="O454" s="1447">
        <f t="shared" si="133"/>
        <v>0</v>
      </c>
      <c r="P454" s="1447">
        <f t="shared" si="133"/>
        <v>3933685</v>
      </c>
      <c r="Q454" s="1453">
        <f t="shared" si="125"/>
        <v>185.15571458695769</v>
      </c>
      <c r="R454" s="1451"/>
      <c r="S454" s="1447"/>
      <c r="T454" s="1447"/>
      <c r="U454" s="1447"/>
      <c r="V454" s="1447"/>
      <c r="W454" s="1452"/>
      <c r="X454" s="1496" t="e">
        <f>W454/R454*100</f>
        <v>#DIV/0!</v>
      </c>
      <c r="Y454" s="1444"/>
    </row>
    <row r="455" spans="1:25" ht="12.75">
      <c r="A455" s="1485">
        <v>4810</v>
      </c>
      <c r="B455" s="1502" t="s">
        <v>884</v>
      </c>
      <c r="C455" s="1478">
        <v>2000000</v>
      </c>
      <c r="D455" s="1478">
        <f>J455+R455</f>
        <v>1987990</v>
      </c>
      <c r="E455" s="1479"/>
      <c r="F455" s="1480">
        <f>P455+W455</f>
        <v>2000000</v>
      </c>
      <c r="G455" s="1499">
        <f t="shared" si="109"/>
        <v>100</v>
      </c>
      <c r="H455" s="1499">
        <f t="shared" si="118"/>
        <v>100.60412778736311</v>
      </c>
      <c r="I455" s="1501"/>
      <c r="J455" s="1483">
        <v>1987990</v>
      </c>
      <c r="K455" s="1478">
        <f>2000000+500000</f>
        <v>2500000</v>
      </c>
      <c r="L455" s="1478"/>
      <c r="M455" s="1478"/>
      <c r="N455" s="1478"/>
      <c r="O455" s="1478"/>
      <c r="P455" s="1484">
        <v>2000000</v>
      </c>
      <c r="Q455" s="1660">
        <f t="shared" si="125"/>
        <v>100.60412778736311</v>
      </c>
      <c r="R455" s="1483"/>
      <c r="S455" s="1478"/>
      <c r="T455" s="1478"/>
      <c r="U455" s="1478"/>
      <c r="V455" s="1478"/>
      <c r="W455" s="1484"/>
      <c r="X455" s="1496" t="e">
        <f>W455/R455*100</f>
        <v>#DIV/0!</v>
      </c>
      <c r="Y455" s="1444"/>
    </row>
    <row r="456" spans="1:25" ht="12.75">
      <c r="A456" s="1485">
        <v>4810</v>
      </c>
      <c r="B456" s="1502" t="s">
        <v>885</v>
      </c>
      <c r="C456" s="1478"/>
      <c r="D456" s="1478">
        <f>J456+R456</f>
        <v>0</v>
      </c>
      <c r="E456" s="1479"/>
      <c r="F456" s="1480">
        <f>P456+W456</f>
        <v>212400</v>
      </c>
      <c r="G456" s="1499"/>
      <c r="H456" s="1499"/>
      <c r="I456" s="1501"/>
      <c r="J456" s="1483"/>
      <c r="K456" s="1478">
        <f>318600-106200</f>
        <v>212400</v>
      </c>
      <c r="L456" s="1478"/>
      <c r="M456" s="1478"/>
      <c r="N456" s="1478"/>
      <c r="O456" s="1478"/>
      <c r="P456" s="1484">
        <f>SUM(K456:N456)</f>
        <v>212400</v>
      </c>
      <c r="Q456" s="1660"/>
      <c r="R456" s="1483"/>
      <c r="S456" s="1478"/>
      <c r="T456" s="1478"/>
      <c r="U456" s="1478"/>
      <c r="V456" s="1478"/>
      <c r="W456" s="1484"/>
      <c r="X456" s="1496"/>
      <c r="Y456" s="1444"/>
    </row>
    <row r="457" spans="1:25" ht="12.75">
      <c r="A457" s="1485">
        <v>4810</v>
      </c>
      <c r="B457" s="1502" t="s">
        <v>886</v>
      </c>
      <c r="C457" s="1478"/>
      <c r="D457" s="1478"/>
      <c r="E457" s="1479"/>
      <c r="F457" s="1480">
        <f>P457+W457</f>
        <v>400000</v>
      </c>
      <c r="G457" s="1499"/>
      <c r="H457" s="1499"/>
      <c r="I457" s="1501"/>
      <c r="J457" s="1483"/>
      <c r="K457" s="1478">
        <v>400000</v>
      </c>
      <c r="L457" s="1478"/>
      <c r="M457" s="1478"/>
      <c r="N457" s="1478"/>
      <c r="O457" s="1478"/>
      <c r="P457" s="1484">
        <f>SUM(K457:N457)</f>
        <v>400000</v>
      </c>
      <c r="Q457" s="1660"/>
      <c r="R457" s="1483"/>
      <c r="S457" s="1478"/>
      <c r="T457" s="1478"/>
      <c r="U457" s="1478"/>
      <c r="V457" s="1478"/>
      <c r="W457" s="1484"/>
      <c r="X457" s="1496"/>
      <c r="Y457" s="1444"/>
    </row>
    <row r="458" spans="1:25" ht="12.75">
      <c r="A458" s="1485">
        <v>4810</v>
      </c>
      <c r="B458" s="1502" t="s">
        <v>887</v>
      </c>
      <c r="C458" s="1478">
        <v>500000</v>
      </c>
      <c r="D458" s="1478">
        <f>J458+R458</f>
        <v>136538</v>
      </c>
      <c r="E458" s="1479">
        <v>5500000</v>
      </c>
      <c r="F458" s="1480">
        <f>P458+W458</f>
        <v>1321285</v>
      </c>
      <c r="G458" s="1499">
        <f t="shared" si="109"/>
        <v>264.257</v>
      </c>
      <c r="H458" s="1499">
        <f t="shared" si="118"/>
        <v>967.7049612562071</v>
      </c>
      <c r="I458" s="1501"/>
      <c r="J458" s="1483">
        <v>136538</v>
      </c>
      <c r="K458" s="1478">
        <f>500000+206000+150800+106200+358285</f>
        <v>1321285</v>
      </c>
      <c r="L458" s="1478"/>
      <c r="M458" s="1478"/>
      <c r="N458" s="1478"/>
      <c r="O458" s="1478"/>
      <c r="P458" s="1484">
        <f>SUM(K458:N458)</f>
        <v>1321285</v>
      </c>
      <c r="Q458" s="1660"/>
      <c r="R458" s="1483"/>
      <c r="S458" s="1478"/>
      <c r="T458" s="1478"/>
      <c r="U458" s="1478"/>
      <c r="V458" s="1478"/>
      <c r="W458" s="1484"/>
      <c r="X458" s="1496"/>
      <c r="Y458" s="1444"/>
    </row>
    <row r="459" spans="1:55" ht="24">
      <c r="A459" s="1516">
        <v>75832</v>
      </c>
      <c r="B459" s="1550" t="s">
        <v>888</v>
      </c>
      <c r="C459" s="1467">
        <f>C460</f>
        <v>1738910</v>
      </c>
      <c r="D459" s="1467">
        <f>D460</f>
        <v>1738910</v>
      </c>
      <c r="E459" s="1468">
        <f>E460</f>
        <v>1246775</v>
      </c>
      <c r="F459" s="1467">
        <f>F460</f>
        <v>1246775</v>
      </c>
      <c r="G459" s="1519">
        <f t="shared" si="109"/>
        <v>71.69865030392603</v>
      </c>
      <c r="H459" s="1519">
        <f t="shared" si="118"/>
        <v>71.69865030392603</v>
      </c>
      <c r="I459" s="1501"/>
      <c r="J459" s="1470"/>
      <c r="K459" s="1467"/>
      <c r="L459" s="1467"/>
      <c r="M459" s="1467"/>
      <c r="N459" s="1467"/>
      <c r="O459" s="1467"/>
      <c r="P459" s="1471"/>
      <c r="Q459" s="1472">
        <f aca="true" t="shared" si="134" ref="Q459:W459">Q460</f>
        <v>0</v>
      </c>
      <c r="R459" s="1470">
        <f t="shared" si="134"/>
        <v>1738910</v>
      </c>
      <c r="S459" s="1467">
        <f t="shared" si="134"/>
        <v>1246775</v>
      </c>
      <c r="T459" s="1467">
        <f t="shared" si="134"/>
        <v>0</v>
      </c>
      <c r="U459" s="1467">
        <f t="shared" si="134"/>
        <v>0</v>
      </c>
      <c r="V459" s="1467">
        <f t="shared" si="134"/>
        <v>0</v>
      </c>
      <c r="W459" s="1471">
        <f t="shared" si="134"/>
        <v>1246775</v>
      </c>
      <c r="X459" s="1496">
        <f>W459/R459*100</f>
        <v>71.69865030392603</v>
      </c>
      <c r="Y459" s="1444"/>
      <c r="Z459" s="581"/>
      <c r="AA459" s="581"/>
      <c r="AB459" s="581"/>
      <c r="AC459" s="581"/>
      <c r="AD459" s="581"/>
      <c r="AE459" s="581"/>
      <c r="AF459" s="581"/>
      <c r="AG459" s="581"/>
      <c r="AH459" s="581"/>
      <c r="AI459" s="581"/>
      <c r="AJ459" s="581"/>
      <c r="AK459" s="581"/>
      <c r="AL459" s="581"/>
      <c r="AM459" s="581"/>
      <c r="AN459" s="581"/>
      <c r="AO459" s="581"/>
      <c r="AP459" s="581"/>
      <c r="AQ459" s="581"/>
      <c r="AR459" s="581"/>
      <c r="AS459" s="581"/>
      <c r="AT459" s="581"/>
      <c r="AU459" s="581"/>
      <c r="AV459" s="581"/>
      <c r="AW459" s="581"/>
      <c r="AX459" s="581"/>
      <c r="AY459" s="581"/>
      <c r="AZ459" s="581"/>
      <c r="BA459" s="581"/>
      <c r="BB459" s="581"/>
      <c r="BC459" s="581"/>
    </row>
    <row r="460" spans="1:25" ht="24.75" thickBot="1">
      <c r="A460" s="1598">
        <v>2930</v>
      </c>
      <c r="B460" s="1675" t="s">
        <v>889</v>
      </c>
      <c r="C460" s="1567">
        <v>1738910</v>
      </c>
      <c r="D460" s="1567">
        <f>J460+R460</f>
        <v>1738910</v>
      </c>
      <c r="E460" s="1599">
        <v>1246775</v>
      </c>
      <c r="F460" s="1567">
        <f>P460+W460</f>
        <v>1246775</v>
      </c>
      <c r="G460" s="1481">
        <f t="shared" si="109"/>
        <v>71.69865030392603</v>
      </c>
      <c r="H460" s="1481">
        <f t="shared" si="118"/>
        <v>71.69865030392603</v>
      </c>
      <c r="I460" s="1679"/>
      <c r="J460" s="1572"/>
      <c r="K460" s="1567"/>
      <c r="L460" s="1567"/>
      <c r="M460" s="1567"/>
      <c r="N460" s="1567"/>
      <c r="O460" s="1567"/>
      <c r="P460" s="1573"/>
      <c r="Q460" s="1571"/>
      <c r="R460" s="1572">
        <v>1738910</v>
      </c>
      <c r="S460" s="1567">
        <v>1246775</v>
      </c>
      <c r="T460" s="1567"/>
      <c r="U460" s="1567"/>
      <c r="V460" s="1567"/>
      <c r="W460" s="1573">
        <f>SUM(S460:V460)</f>
        <v>1246775</v>
      </c>
      <c r="X460" s="1488"/>
      <c r="Y460" s="1444"/>
    </row>
    <row r="461" spans="1:28" s="581" customFormat="1" ht="14.25" thickBot="1" thickTop="1">
      <c r="A461" s="1646">
        <v>801</v>
      </c>
      <c r="B461" s="1647" t="s">
        <v>221</v>
      </c>
      <c r="C461" s="1648">
        <f>C462+C486+C513+C540+C561+C581+C602+C622+C644+C658+C660+C676+C692+C695+C706+C526+C504</f>
        <v>93872617</v>
      </c>
      <c r="D461" s="1648">
        <f>D462+D486+D513+D540+D561+D581+D602+D622+D644+D658+D660+D676+D692+D695+D706+D526+D504</f>
        <v>94811542</v>
      </c>
      <c r="E461" s="1649">
        <f>E462+E486+E513+E540+E561+E581+E602+E622+E644+E658+E660+E676+E692+E695+E706+E526+E504</f>
        <v>128389320</v>
      </c>
      <c r="F461" s="1434">
        <f aca="true" t="shared" si="135" ref="F461:W461">F462+F486+F513+F540+F561+F581+F602+F622+F644+F658+F660+F676+F692+F695+F706+F526+F504</f>
        <v>97405123</v>
      </c>
      <c r="G461" s="1437">
        <f t="shared" si="109"/>
        <v>103.76308460645132</v>
      </c>
      <c r="H461" s="1437">
        <f t="shared" si="118"/>
        <v>102.73551188525127</v>
      </c>
      <c r="I461" s="1439">
        <f>F461/F$1426*100</f>
        <v>35.525397424859996</v>
      </c>
      <c r="J461" s="1440">
        <f t="shared" si="135"/>
        <v>55723152</v>
      </c>
      <c r="K461" s="1436">
        <f t="shared" si="135"/>
        <v>55974723</v>
      </c>
      <c r="L461" s="1436">
        <f t="shared" si="135"/>
        <v>903400</v>
      </c>
      <c r="M461" s="1436">
        <f t="shared" si="135"/>
        <v>7000</v>
      </c>
      <c r="N461" s="1436">
        <f t="shared" si="135"/>
        <v>355900</v>
      </c>
      <c r="O461" s="1677">
        <f t="shared" si="135"/>
        <v>0</v>
      </c>
      <c r="P461" s="1652">
        <f t="shared" si="135"/>
        <v>57241023</v>
      </c>
      <c r="Q461" s="1652" t="e">
        <f t="shared" si="135"/>
        <v>#DIV/0!</v>
      </c>
      <c r="R461" s="1440">
        <f t="shared" si="135"/>
        <v>39088390</v>
      </c>
      <c r="S461" s="1436">
        <f t="shared" si="135"/>
        <v>39357700</v>
      </c>
      <c r="T461" s="1436">
        <f t="shared" si="135"/>
        <v>702500</v>
      </c>
      <c r="U461" s="1436">
        <f t="shared" si="135"/>
        <v>10000</v>
      </c>
      <c r="V461" s="1436">
        <f t="shared" si="135"/>
        <v>93900</v>
      </c>
      <c r="W461" s="1677">
        <f t="shared" si="135"/>
        <v>40164100</v>
      </c>
      <c r="X461" s="1594">
        <f>W461/R461*100</f>
        <v>102.75199362265882</v>
      </c>
      <c r="Y461" s="1444"/>
      <c r="Z461" s="1504">
        <f>Z462+Z486+Z513+Z526+Z540+Z561+Z581+Z602+Z622+Z644+Z660+Z676+Z695+Z706</f>
        <v>36489523</v>
      </c>
      <c r="AA461" s="1592">
        <f>AA462+AA486+AA513+AA526+AA540+AA561+AA581+AA602+AA622+AA644+AA660+AA676+AA695+AA706</f>
        <v>30498500</v>
      </c>
      <c r="AB461" s="1505">
        <f>Z461+AA461</f>
        <v>66988023</v>
      </c>
    </row>
    <row r="462" spans="1:28" s="581" customFormat="1" ht="13.5" thickTop="1">
      <c r="A462" s="1493">
        <v>80101</v>
      </c>
      <c r="B462" s="1506" t="s">
        <v>222</v>
      </c>
      <c r="C462" s="1447">
        <f>SUM(C463:C483)</f>
        <v>24566200</v>
      </c>
      <c r="D462" s="1447">
        <f>SUM(D463:D483)</f>
        <v>25104027</v>
      </c>
      <c r="E462" s="1600">
        <f>SUM(E463:E483)</f>
        <v>27495700</v>
      </c>
      <c r="F462" s="1447">
        <f>SUM(F463:F483)</f>
        <v>25731100</v>
      </c>
      <c r="G462" s="1474">
        <f t="shared" si="109"/>
        <v>104.74188112121531</v>
      </c>
      <c r="H462" s="1475">
        <f t="shared" si="118"/>
        <v>102.49789804639711</v>
      </c>
      <c r="I462" s="1450"/>
      <c r="J462" s="1451">
        <f aca="true" t="shared" si="136" ref="J462:P462">SUM(J463:J483)</f>
        <v>25104027</v>
      </c>
      <c r="K462" s="1447">
        <f t="shared" si="136"/>
        <v>25597500</v>
      </c>
      <c r="L462" s="1447">
        <f t="shared" si="136"/>
        <v>69000</v>
      </c>
      <c r="M462" s="1447">
        <f t="shared" si="136"/>
        <v>0</v>
      </c>
      <c r="N462" s="1447">
        <f t="shared" si="136"/>
        <v>64600</v>
      </c>
      <c r="O462" s="1447"/>
      <c r="P462" s="1452">
        <f t="shared" si="136"/>
        <v>25731100</v>
      </c>
      <c r="Q462" s="1453">
        <f aca="true" t="shared" si="137" ref="Q462:Q525">P462/J462*100</f>
        <v>102.49789804639711</v>
      </c>
      <c r="R462" s="1451"/>
      <c r="S462" s="1447"/>
      <c r="T462" s="1447"/>
      <c r="U462" s="1447"/>
      <c r="V462" s="1447"/>
      <c r="W462" s="1452"/>
      <c r="X462" s="1454"/>
      <c r="Y462" s="1444"/>
      <c r="Z462" s="1444">
        <f>SUM(K465:K468)</f>
        <v>21018500</v>
      </c>
      <c r="AB462" s="1444">
        <f>Z462+AA462</f>
        <v>21018500</v>
      </c>
    </row>
    <row r="463" spans="1:25" ht="36">
      <c r="A463" s="1497">
        <v>2540</v>
      </c>
      <c r="B463" s="1513" t="s">
        <v>890</v>
      </c>
      <c r="C463" s="1457">
        <v>650000</v>
      </c>
      <c r="D463" s="1457">
        <f>J463+R463</f>
        <v>623250</v>
      </c>
      <c r="E463" s="1514">
        <v>633000</v>
      </c>
      <c r="F463" s="1457">
        <f>P463+W463</f>
        <v>633000</v>
      </c>
      <c r="G463" s="1499">
        <f t="shared" si="109"/>
        <v>97.38461538461539</v>
      </c>
      <c r="H463" s="1499">
        <f t="shared" si="118"/>
        <v>101.56438026474129</v>
      </c>
      <c r="I463" s="1450"/>
      <c r="J463" s="1461">
        <v>623250</v>
      </c>
      <c r="K463" s="1457">
        <v>633000</v>
      </c>
      <c r="L463" s="1457"/>
      <c r="M463" s="1457"/>
      <c r="N463" s="1457"/>
      <c r="O463" s="1457"/>
      <c r="P463" s="1462">
        <f>SUM(K463:N463)</f>
        <v>633000</v>
      </c>
      <c r="Q463" s="1495">
        <f t="shared" si="137"/>
        <v>101.56438026474129</v>
      </c>
      <c r="R463" s="1461"/>
      <c r="S463" s="1457"/>
      <c r="T463" s="1457"/>
      <c r="U463" s="1457"/>
      <c r="V463" s="1457"/>
      <c r="W463" s="1462"/>
      <c r="X463" s="1496"/>
      <c r="Y463" s="1444"/>
    </row>
    <row r="464" spans="1:25" ht="24">
      <c r="A464" s="1497">
        <v>3020</v>
      </c>
      <c r="B464" s="1513" t="s">
        <v>717</v>
      </c>
      <c r="C464" s="1457">
        <v>66500</v>
      </c>
      <c r="D464" s="1457">
        <f aca="true" t="shared" si="138" ref="D464:D483">J464+R464</f>
        <v>82420</v>
      </c>
      <c r="E464" s="1458">
        <v>77600</v>
      </c>
      <c r="F464" s="1459">
        <f aca="true" t="shared" si="139" ref="F464:F485">P464+W464</f>
        <v>65100</v>
      </c>
      <c r="G464" s="1499">
        <f aca="true" t="shared" si="140" ref="G464:G527">F464/C464*100</f>
        <v>97.89473684210527</v>
      </c>
      <c r="H464" s="1499">
        <f t="shared" si="118"/>
        <v>78.98568308662945</v>
      </c>
      <c r="I464" s="1450"/>
      <c r="J464" s="1461">
        <v>82420</v>
      </c>
      <c r="K464" s="1457">
        <v>65100</v>
      </c>
      <c r="L464" s="1457"/>
      <c r="M464" s="1457"/>
      <c r="N464" s="1457"/>
      <c r="O464" s="1457"/>
      <c r="P464" s="1462">
        <f aca="true" t="shared" si="141" ref="P464:P485">SUM(K464:N464)</f>
        <v>65100</v>
      </c>
      <c r="Q464" s="1495">
        <f t="shared" si="137"/>
        <v>78.98568308662945</v>
      </c>
      <c r="R464" s="1461"/>
      <c r="S464" s="1457"/>
      <c r="T464" s="1457"/>
      <c r="U464" s="1457"/>
      <c r="V464" s="1457"/>
      <c r="W464" s="1462"/>
      <c r="X464" s="1496"/>
      <c r="Y464" s="1444"/>
    </row>
    <row r="465" spans="1:25" ht="24">
      <c r="A465" s="1497">
        <v>4010</v>
      </c>
      <c r="B465" s="1513" t="s">
        <v>626</v>
      </c>
      <c r="C465" s="1457">
        <v>15183000</v>
      </c>
      <c r="D465" s="1457">
        <f t="shared" si="138"/>
        <v>15795008</v>
      </c>
      <c r="E465" s="1458">
        <v>16905000</v>
      </c>
      <c r="F465" s="1459">
        <f t="shared" si="139"/>
        <v>16243200</v>
      </c>
      <c r="G465" s="1499">
        <f t="shared" si="140"/>
        <v>106.98280972139894</v>
      </c>
      <c r="H465" s="1499">
        <f t="shared" si="118"/>
        <v>102.8375547514759</v>
      </c>
      <c r="I465" s="1450"/>
      <c r="J465" s="1461">
        <v>15795008</v>
      </c>
      <c r="K465" s="1457">
        <v>16243200</v>
      </c>
      <c r="L465" s="1457"/>
      <c r="M465" s="1457"/>
      <c r="N465" s="1457"/>
      <c r="O465" s="1457"/>
      <c r="P465" s="1462">
        <f t="shared" si="141"/>
        <v>16243200</v>
      </c>
      <c r="Q465" s="1495">
        <f t="shared" si="137"/>
        <v>102.8375547514759</v>
      </c>
      <c r="R465" s="1461"/>
      <c r="S465" s="1457"/>
      <c r="T465" s="1457"/>
      <c r="U465" s="1457"/>
      <c r="V465" s="1457"/>
      <c r="W465" s="1462"/>
      <c r="X465" s="1496"/>
      <c r="Y465" s="1444"/>
    </row>
    <row r="466" spans="1:25" ht="12.75">
      <c r="A466" s="1497">
        <v>4040</v>
      </c>
      <c r="B466" s="1513" t="s">
        <v>719</v>
      </c>
      <c r="C466" s="1457">
        <v>1243000</v>
      </c>
      <c r="D466" s="1457">
        <f t="shared" si="138"/>
        <v>1203263</v>
      </c>
      <c r="E466" s="1458">
        <v>1312800</v>
      </c>
      <c r="F466" s="1459">
        <f t="shared" si="139"/>
        <v>1311200</v>
      </c>
      <c r="G466" s="1499">
        <f t="shared" si="140"/>
        <v>105.48672566371681</v>
      </c>
      <c r="H466" s="1499">
        <f t="shared" si="118"/>
        <v>108.97035810126299</v>
      </c>
      <c r="I466" s="1450"/>
      <c r="J466" s="1461">
        <v>1203263</v>
      </c>
      <c r="K466" s="1457">
        <v>1311200</v>
      </c>
      <c r="L466" s="1457"/>
      <c r="M466" s="1457"/>
      <c r="N466" s="1457"/>
      <c r="O466" s="1457"/>
      <c r="P466" s="1462">
        <f t="shared" si="141"/>
        <v>1311200</v>
      </c>
      <c r="Q466" s="1495">
        <f t="shared" si="137"/>
        <v>108.97035810126299</v>
      </c>
      <c r="R466" s="1461"/>
      <c r="S466" s="1457"/>
      <c r="T466" s="1457"/>
      <c r="U466" s="1457"/>
      <c r="V466" s="1457"/>
      <c r="W466" s="1462"/>
      <c r="X466" s="1496"/>
      <c r="Y466" s="1444"/>
    </row>
    <row r="467" spans="1:25" ht="12.75">
      <c r="A467" s="1497">
        <v>4110</v>
      </c>
      <c r="B467" s="1513" t="s">
        <v>568</v>
      </c>
      <c r="C467" s="1457">
        <v>2893000</v>
      </c>
      <c r="D467" s="1457">
        <f t="shared" si="138"/>
        <v>2940270</v>
      </c>
      <c r="E467" s="1458">
        <v>3256100</v>
      </c>
      <c r="F467" s="1459">
        <f t="shared" si="139"/>
        <v>3046600</v>
      </c>
      <c r="G467" s="1499">
        <f t="shared" si="140"/>
        <v>105.30936743864501</v>
      </c>
      <c r="H467" s="1499">
        <f t="shared" si="118"/>
        <v>103.61633455430963</v>
      </c>
      <c r="I467" s="1450"/>
      <c r="J467" s="1461">
        <v>2940270</v>
      </c>
      <c r="K467" s="1457">
        <v>3046600</v>
      </c>
      <c r="L467" s="1457"/>
      <c r="M467" s="1457"/>
      <c r="N467" s="1457"/>
      <c r="O467" s="1457"/>
      <c r="P467" s="1462">
        <f t="shared" si="141"/>
        <v>3046600</v>
      </c>
      <c r="Q467" s="1495">
        <f t="shared" si="137"/>
        <v>103.61633455430963</v>
      </c>
      <c r="R467" s="1461"/>
      <c r="S467" s="1457"/>
      <c r="T467" s="1457"/>
      <c r="U467" s="1457"/>
      <c r="V467" s="1457"/>
      <c r="W467" s="1462"/>
      <c r="X467" s="1496"/>
      <c r="Y467" s="1444"/>
    </row>
    <row r="468" spans="1:25" ht="12.75">
      <c r="A468" s="1497">
        <v>4120</v>
      </c>
      <c r="B468" s="1513" t="s">
        <v>758</v>
      </c>
      <c r="C468" s="1457">
        <v>390000</v>
      </c>
      <c r="D468" s="1457">
        <f t="shared" si="138"/>
        <v>397720</v>
      </c>
      <c r="E468" s="1458">
        <v>443100</v>
      </c>
      <c r="F468" s="1459">
        <f t="shared" si="139"/>
        <v>417500</v>
      </c>
      <c r="G468" s="1499">
        <f t="shared" si="140"/>
        <v>107.05128205128204</v>
      </c>
      <c r="H468" s="1499">
        <f t="shared" si="118"/>
        <v>104.97334808407925</v>
      </c>
      <c r="I468" s="1450"/>
      <c r="J468" s="1461">
        <v>397720</v>
      </c>
      <c r="K468" s="1457">
        <v>417500</v>
      </c>
      <c r="L468" s="1457"/>
      <c r="M468" s="1457"/>
      <c r="N468" s="1457"/>
      <c r="O468" s="1457"/>
      <c r="P468" s="1462">
        <f t="shared" si="141"/>
        <v>417500</v>
      </c>
      <c r="Q468" s="1495">
        <f t="shared" si="137"/>
        <v>104.97334808407925</v>
      </c>
      <c r="R468" s="1461"/>
      <c r="S468" s="1457"/>
      <c r="T468" s="1457"/>
      <c r="U468" s="1457"/>
      <c r="V468" s="1457"/>
      <c r="W468" s="1462"/>
      <c r="X468" s="1496"/>
      <c r="Y468" s="1444"/>
    </row>
    <row r="469" spans="1:25" ht="12.75">
      <c r="A469" s="1497">
        <v>4140</v>
      </c>
      <c r="B469" s="1513" t="s">
        <v>722</v>
      </c>
      <c r="C469" s="1457">
        <v>70000</v>
      </c>
      <c r="D469" s="1457">
        <f t="shared" si="138"/>
        <v>90708</v>
      </c>
      <c r="E469" s="1458">
        <v>106200</v>
      </c>
      <c r="F469" s="1459">
        <f t="shared" si="139"/>
        <v>88200</v>
      </c>
      <c r="G469" s="1499">
        <f t="shared" si="140"/>
        <v>126</v>
      </c>
      <c r="H469" s="1499">
        <f t="shared" si="118"/>
        <v>97.23508400582087</v>
      </c>
      <c r="I469" s="1450"/>
      <c r="J469" s="1461">
        <v>90708</v>
      </c>
      <c r="K469" s="1457">
        <v>88200</v>
      </c>
      <c r="L469" s="1457"/>
      <c r="M469" s="1457"/>
      <c r="N469" s="1457"/>
      <c r="O469" s="1457"/>
      <c r="P469" s="1462">
        <f t="shared" si="141"/>
        <v>88200</v>
      </c>
      <c r="Q469" s="1495">
        <f t="shared" si="137"/>
        <v>97.23508400582087</v>
      </c>
      <c r="R469" s="1461"/>
      <c r="S469" s="1457"/>
      <c r="T469" s="1457"/>
      <c r="U469" s="1457"/>
      <c r="V469" s="1457"/>
      <c r="W469" s="1462"/>
      <c r="X469" s="1496"/>
      <c r="Y469" s="1444"/>
    </row>
    <row r="470" spans="1:25" ht="12.75">
      <c r="A470" s="1497">
        <v>4170</v>
      </c>
      <c r="B470" s="1513" t="s">
        <v>572</v>
      </c>
      <c r="C470" s="1457"/>
      <c r="D470" s="1457">
        <f t="shared" si="138"/>
        <v>3700</v>
      </c>
      <c r="E470" s="1458">
        <v>2000</v>
      </c>
      <c r="F470" s="1459">
        <f t="shared" si="139"/>
        <v>0</v>
      </c>
      <c r="G470" s="1499"/>
      <c r="H470" s="1499">
        <f t="shared" si="118"/>
        <v>0</v>
      </c>
      <c r="I470" s="1450"/>
      <c r="J470" s="1461">
        <v>3700</v>
      </c>
      <c r="K470" s="1457"/>
      <c r="L470" s="1457"/>
      <c r="M470" s="1457"/>
      <c r="N470" s="1457"/>
      <c r="O470" s="1457"/>
      <c r="P470" s="1462">
        <f t="shared" si="141"/>
        <v>0</v>
      </c>
      <c r="Q470" s="1495"/>
      <c r="R470" s="1461"/>
      <c r="S470" s="1457"/>
      <c r="T470" s="1457"/>
      <c r="U470" s="1457"/>
      <c r="V470" s="1457"/>
      <c r="W470" s="1462"/>
      <c r="X470" s="1496"/>
      <c r="Y470" s="1444"/>
    </row>
    <row r="471" spans="1:25" ht="12.75">
      <c r="A471" s="1497">
        <v>4210</v>
      </c>
      <c r="B471" s="1513" t="s">
        <v>560</v>
      </c>
      <c r="C471" s="1457">
        <v>538700</v>
      </c>
      <c r="D471" s="1457">
        <f t="shared" si="138"/>
        <v>565412</v>
      </c>
      <c r="E471" s="1458">
        <v>697200</v>
      </c>
      <c r="F471" s="1459">
        <f t="shared" si="139"/>
        <v>512800</v>
      </c>
      <c r="G471" s="1499">
        <f t="shared" si="140"/>
        <v>95.19212919992574</v>
      </c>
      <c r="H471" s="1499">
        <f t="shared" si="118"/>
        <v>90.694926885174</v>
      </c>
      <c r="I471" s="1450"/>
      <c r="J471" s="1461">
        <v>565412</v>
      </c>
      <c r="K471" s="1457">
        <v>512800</v>
      </c>
      <c r="L471" s="1457"/>
      <c r="M471" s="1457"/>
      <c r="N471" s="1457"/>
      <c r="O471" s="1457"/>
      <c r="P471" s="1462">
        <f t="shared" si="141"/>
        <v>512800</v>
      </c>
      <c r="Q471" s="1495">
        <f t="shared" si="137"/>
        <v>90.694926885174</v>
      </c>
      <c r="R471" s="1461"/>
      <c r="S471" s="1457"/>
      <c r="T471" s="1457"/>
      <c r="U471" s="1457"/>
      <c r="V471" s="1457"/>
      <c r="W471" s="1462"/>
      <c r="X471" s="1496"/>
      <c r="Y471" s="1444"/>
    </row>
    <row r="472" spans="1:25" ht="24">
      <c r="A472" s="1497">
        <v>4240</v>
      </c>
      <c r="B472" s="1513" t="s">
        <v>891</v>
      </c>
      <c r="C472" s="1457">
        <v>78100</v>
      </c>
      <c r="D472" s="1457">
        <f t="shared" si="138"/>
        <v>85524</v>
      </c>
      <c r="E472" s="1458">
        <v>123800</v>
      </c>
      <c r="F472" s="1459">
        <f t="shared" si="139"/>
        <v>70700</v>
      </c>
      <c r="G472" s="1499">
        <f t="shared" si="140"/>
        <v>90.52496798975672</v>
      </c>
      <c r="H472" s="1499">
        <f t="shared" si="118"/>
        <v>82.66685374865534</v>
      </c>
      <c r="I472" s="1450"/>
      <c r="J472" s="1461">
        <v>85524</v>
      </c>
      <c r="K472" s="1457">
        <v>70700</v>
      </c>
      <c r="L472" s="1457"/>
      <c r="M472" s="1457"/>
      <c r="N472" s="1457"/>
      <c r="O472" s="1457"/>
      <c r="P472" s="1462">
        <f t="shared" si="141"/>
        <v>70700</v>
      </c>
      <c r="Q472" s="1495">
        <f t="shared" si="137"/>
        <v>82.66685374865534</v>
      </c>
      <c r="R472" s="1461"/>
      <c r="S472" s="1457"/>
      <c r="T472" s="1457"/>
      <c r="U472" s="1457"/>
      <c r="V472" s="1457"/>
      <c r="W472" s="1462"/>
      <c r="X472" s="1496"/>
      <c r="Y472" s="1444"/>
    </row>
    <row r="473" spans="1:25" ht="12.75">
      <c r="A473" s="1497">
        <v>4260</v>
      </c>
      <c r="B473" s="1456" t="s">
        <v>575</v>
      </c>
      <c r="C473" s="1457">
        <v>1680200</v>
      </c>
      <c r="D473" s="1457">
        <f t="shared" si="138"/>
        <v>1543400</v>
      </c>
      <c r="E473" s="1458">
        <v>1841300</v>
      </c>
      <c r="F473" s="1459">
        <f t="shared" si="139"/>
        <v>1567200</v>
      </c>
      <c r="G473" s="1499">
        <f t="shared" si="140"/>
        <v>93.2746101654565</v>
      </c>
      <c r="H473" s="1499">
        <f t="shared" si="118"/>
        <v>101.54205001943761</v>
      </c>
      <c r="I473" s="1450"/>
      <c r="J473" s="1461">
        <v>1543400</v>
      </c>
      <c r="K473" s="1457">
        <v>1567200</v>
      </c>
      <c r="L473" s="1457"/>
      <c r="M473" s="1457"/>
      <c r="N473" s="1457"/>
      <c r="O473" s="1457"/>
      <c r="P473" s="1462">
        <f t="shared" si="141"/>
        <v>1567200</v>
      </c>
      <c r="Q473" s="1495">
        <f t="shared" si="137"/>
        <v>101.54205001943761</v>
      </c>
      <c r="R473" s="1461"/>
      <c r="S473" s="1457"/>
      <c r="T473" s="1457"/>
      <c r="U473" s="1457"/>
      <c r="V473" s="1457"/>
      <c r="W473" s="1462"/>
      <c r="X473" s="1496"/>
      <c r="Y473" s="1444"/>
    </row>
    <row r="474" spans="1:25" ht="12.75">
      <c r="A474" s="1497">
        <v>4270</v>
      </c>
      <c r="B474" s="1513" t="s">
        <v>576</v>
      </c>
      <c r="C474" s="1457">
        <v>88800</v>
      </c>
      <c r="D474" s="1457">
        <f t="shared" si="138"/>
        <v>100185</v>
      </c>
      <c r="E474" s="1458">
        <v>118200</v>
      </c>
      <c r="F474" s="1459">
        <f t="shared" si="139"/>
        <v>64600</v>
      </c>
      <c r="G474" s="1499">
        <f t="shared" si="140"/>
        <v>72.74774774774775</v>
      </c>
      <c r="H474" s="1499">
        <f t="shared" si="118"/>
        <v>64.48071068523232</v>
      </c>
      <c r="I474" s="1450"/>
      <c r="J474" s="1461">
        <v>100185</v>
      </c>
      <c r="K474" s="1457"/>
      <c r="L474" s="1457"/>
      <c r="M474" s="1457"/>
      <c r="N474" s="1457">
        <v>64600</v>
      </c>
      <c r="O474" s="1457"/>
      <c r="P474" s="1462">
        <f t="shared" si="141"/>
        <v>64600</v>
      </c>
      <c r="Q474" s="1495">
        <f t="shared" si="137"/>
        <v>64.48071068523232</v>
      </c>
      <c r="R474" s="1461"/>
      <c r="S474" s="1457"/>
      <c r="T474" s="1457"/>
      <c r="U474" s="1457"/>
      <c r="V474" s="1457"/>
      <c r="W474" s="1462"/>
      <c r="X474" s="1496"/>
      <c r="Y474" s="1444"/>
    </row>
    <row r="475" spans="1:25" ht="12.75">
      <c r="A475" s="1497">
        <v>4280</v>
      </c>
      <c r="B475" s="1513" t="s">
        <v>723</v>
      </c>
      <c r="C475" s="1457">
        <v>24800</v>
      </c>
      <c r="D475" s="1457">
        <f t="shared" si="138"/>
        <v>16730</v>
      </c>
      <c r="E475" s="1458">
        <v>28300</v>
      </c>
      <c r="F475" s="1459">
        <f t="shared" si="139"/>
        <v>22600</v>
      </c>
      <c r="G475" s="1499">
        <f t="shared" si="140"/>
        <v>91.12903225806451</v>
      </c>
      <c r="H475" s="1499">
        <f t="shared" si="118"/>
        <v>135.0866706515242</v>
      </c>
      <c r="I475" s="1450"/>
      <c r="J475" s="1461">
        <v>16730</v>
      </c>
      <c r="K475" s="1457">
        <v>22600</v>
      </c>
      <c r="L475" s="1457"/>
      <c r="M475" s="1457"/>
      <c r="N475" s="1457"/>
      <c r="O475" s="1457"/>
      <c r="P475" s="1462">
        <f t="shared" si="141"/>
        <v>22600</v>
      </c>
      <c r="Q475" s="1495">
        <f t="shared" si="137"/>
        <v>135.0866706515242</v>
      </c>
      <c r="R475" s="1461"/>
      <c r="S475" s="1457"/>
      <c r="T475" s="1457"/>
      <c r="U475" s="1457"/>
      <c r="V475" s="1457"/>
      <c r="W475" s="1462"/>
      <c r="X475" s="1496"/>
      <c r="Y475" s="1444"/>
    </row>
    <row r="476" spans="1:25" ht="12.75">
      <c r="A476" s="1497">
        <v>4300</v>
      </c>
      <c r="B476" s="1513" t="s">
        <v>564</v>
      </c>
      <c r="C476" s="1457">
        <v>674400</v>
      </c>
      <c r="D476" s="1457">
        <f t="shared" si="138"/>
        <v>592270</v>
      </c>
      <c r="E476" s="1458">
        <v>639400</v>
      </c>
      <c r="F476" s="1459">
        <f t="shared" si="139"/>
        <v>579100</v>
      </c>
      <c r="G476" s="1499">
        <f t="shared" si="140"/>
        <v>85.86892052194544</v>
      </c>
      <c r="H476" s="1499">
        <f t="shared" si="118"/>
        <v>97.77635200162088</v>
      </c>
      <c r="I476" s="1450"/>
      <c r="J476" s="1461">
        <v>592270</v>
      </c>
      <c r="K476" s="1457">
        <v>579100</v>
      </c>
      <c r="L476" s="1457"/>
      <c r="M476" s="1457"/>
      <c r="N476" s="1457"/>
      <c r="O476" s="1457"/>
      <c r="P476" s="1462">
        <f t="shared" si="141"/>
        <v>579100</v>
      </c>
      <c r="Q476" s="1495">
        <f t="shared" si="137"/>
        <v>97.77635200162088</v>
      </c>
      <c r="R476" s="1461"/>
      <c r="S476" s="1457"/>
      <c r="T476" s="1457"/>
      <c r="U476" s="1457"/>
      <c r="V476" s="1457"/>
      <c r="W476" s="1462"/>
      <c r="X476" s="1496"/>
      <c r="Y476" s="1444"/>
    </row>
    <row r="477" spans="1:25" ht="12.75">
      <c r="A477" s="1497">
        <v>4350</v>
      </c>
      <c r="B477" s="1513" t="s">
        <v>820</v>
      </c>
      <c r="C477" s="1457"/>
      <c r="D477" s="1457">
        <f t="shared" si="138"/>
        <v>32320</v>
      </c>
      <c r="E477" s="1458">
        <v>38600</v>
      </c>
      <c r="F477" s="1459">
        <f t="shared" si="139"/>
        <v>32700</v>
      </c>
      <c r="G477" s="1499"/>
      <c r="H477" s="1499">
        <f t="shared" si="118"/>
        <v>101.17574257425743</v>
      </c>
      <c r="I477" s="1450"/>
      <c r="J477" s="1461">
        <v>32320</v>
      </c>
      <c r="K477" s="1457">
        <v>32700</v>
      </c>
      <c r="L477" s="1457"/>
      <c r="M477" s="1457"/>
      <c r="N477" s="1457"/>
      <c r="O477" s="1457"/>
      <c r="P477" s="1462">
        <f t="shared" si="141"/>
        <v>32700</v>
      </c>
      <c r="Q477" s="1495">
        <f t="shared" si="137"/>
        <v>101.17574257425743</v>
      </c>
      <c r="R477" s="1461"/>
      <c r="S477" s="1457"/>
      <c r="T477" s="1457"/>
      <c r="U477" s="1457"/>
      <c r="V477" s="1457"/>
      <c r="W477" s="1462"/>
      <c r="X477" s="1496"/>
      <c r="Y477" s="1444"/>
    </row>
    <row r="478" spans="1:25" ht="12.75">
      <c r="A478" s="1497">
        <v>4410</v>
      </c>
      <c r="B478" s="1513" t="s">
        <v>618</v>
      </c>
      <c r="C478" s="1457">
        <v>41000</v>
      </c>
      <c r="D478" s="1457">
        <f t="shared" si="138"/>
        <v>31732</v>
      </c>
      <c r="E478" s="1458">
        <v>39700</v>
      </c>
      <c r="F478" s="1459">
        <f t="shared" si="139"/>
        <v>29200</v>
      </c>
      <c r="G478" s="1499">
        <f t="shared" si="140"/>
        <v>71.21951219512195</v>
      </c>
      <c r="H478" s="1499">
        <f t="shared" si="118"/>
        <v>92.02067313752679</v>
      </c>
      <c r="I478" s="1450"/>
      <c r="J478" s="1461">
        <v>31732</v>
      </c>
      <c r="K478" s="1457">
        <v>29200</v>
      </c>
      <c r="L478" s="1457"/>
      <c r="M478" s="1457"/>
      <c r="N478" s="1457"/>
      <c r="O478" s="1457"/>
      <c r="P478" s="1462">
        <f t="shared" si="141"/>
        <v>29200</v>
      </c>
      <c r="Q478" s="1495">
        <f t="shared" si="137"/>
        <v>92.02067313752679</v>
      </c>
      <c r="R478" s="1461"/>
      <c r="S478" s="1457"/>
      <c r="T478" s="1457"/>
      <c r="U478" s="1457"/>
      <c r="V478" s="1457"/>
      <c r="W478" s="1462"/>
      <c r="X478" s="1496"/>
      <c r="Y478" s="1444"/>
    </row>
    <row r="479" spans="1:25" ht="12.75">
      <c r="A479" s="1497">
        <v>4420</v>
      </c>
      <c r="B479" s="1513" t="s">
        <v>736</v>
      </c>
      <c r="C479" s="1457">
        <v>1300</v>
      </c>
      <c r="D479" s="1457">
        <f t="shared" si="138"/>
        <v>500</v>
      </c>
      <c r="E479" s="1458">
        <v>3900</v>
      </c>
      <c r="F479" s="1459">
        <f t="shared" si="139"/>
        <v>2600</v>
      </c>
      <c r="G479" s="1499">
        <f t="shared" si="140"/>
        <v>200</v>
      </c>
      <c r="H479" s="1499">
        <f t="shared" si="118"/>
        <v>520</v>
      </c>
      <c r="I479" s="1450"/>
      <c r="J479" s="1461">
        <v>500</v>
      </c>
      <c r="K479" s="1457">
        <v>2600</v>
      </c>
      <c r="L479" s="1457"/>
      <c r="M479" s="1457"/>
      <c r="N479" s="1457"/>
      <c r="O479" s="1457"/>
      <c r="P479" s="1462">
        <f t="shared" si="141"/>
        <v>2600</v>
      </c>
      <c r="Q479" s="1495">
        <f t="shared" si="137"/>
        <v>520</v>
      </c>
      <c r="R479" s="1461"/>
      <c r="S479" s="1457"/>
      <c r="T479" s="1457"/>
      <c r="U479" s="1457"/>
      <c r="V479" s="1457"/>
      <c r="W479" s="1462"/>
      <c r="X479" s="1496"/>
      <c r="Y479" s="1444"/>
    </row>
    <row r="480" spans="1:25" ht="12.75" hidden="1">
      <c r="A480" s="1497">
        <v>4430</v>
      </c>
      <c r="B480" s="1513" t="s">
        <v>582</v>
      </c>
      <c r="C480" s="1457">
        <v>0</v>
      </c>
      <c r="D480" s="1457">
        <f t="shared" si="138"/>
        <v>0</v>
      </c>
      <c r="E480" s="1458"/>
      <c r="F480" s="1459">
        <f t="shared" si="139"/>
        <v>0</v>
      </c>
      <c r="G480" s="1499" t="e">
        <f t="shared" si="140"/>
        <v>#DIV/0!</v>
      </c>
      <c r="H480" s="1499" t="e">
        <f aca="true" t="shared" si="142" ref="H480:H543">F480/D480*100</f>
        <v>#DIV/0!</v>
      </c>
      <c r="I480" s="1450"/>
      <c r="J480" s="1461"/>
      <c r="K480" s="1457"/>
      <c r="L480" s="1457"/>
      <c r="M480" s="1457"/>
      <c r="N480" s="1457"/>
      <c r="O480" s="1457"/>
      <c r="P480" s="1462">
        <f t="shared" si="141"/>
        <v>0</v>
      </c>
      <c r="Q480" s="1495" t="e">
        <f t="shared" si="137"/>
        <v>#DIV/0!</v>
      </c>
      <c r="R480" s="1461"/>
      <c r="S480" s="1457"/>
      <c r="T480" s="1457"/>
      <c r="U480" s="1457"/>
      <c r="V480" s="1457"/>
      <c r="W480" s="1462"/>
      <c r="X480" s="1496"/>
      <c r="Y480" s="1444"/>
    </row>
    <row r="481" spans="1:25" ht="12.75">
      <c r="A481" s="1497">
        <v>4440</v>
      </c>
      <c r="B481" s="1513" t="s">
        <v>641</v>
      </c>
      <c r="C481" s="1457">
        <v>943400</v>
      </c>
      <c r="D481" s="1457">
        <f t="shared" si="138"/>
        <v>958750</v>
      </c>
      <c r="E481" s="1458">
        <v>975800</v>
      </c>
      <c r="F481" s="1459">
        <f t="shared" si="139"/>
        <v>975800</v>
      </c>
      <c r="G481" s="1499">
        <f t="shared" si="140"/>
        <v>103.43438626245496</v>
      </c>
      <c r="H481" s="1499">
        <f t="shared" si="142"/>
        <v>101.77835723598436</v>
      </c>
      <c r="I481" s="1450"/>
      <c r="J481" s="1461">
        <v>958750</v>
      </c>
      <c r="K481" s="1457">
        <v>975800</v>
      </c>
      <c r="L481" s="1457"/>
      <c r="M481" s="1457"/>
      <c r="N481" s="1457"/>
      <c r="O481" s="1457"/>
      <c r="P481" s="1462">
        <f t="shared" si="141"/>
        <v>975800</v>
      </c>
      <c r="Q481" s="1495">
        <f t="shared" si="137"/>
        <v>101.77835723598436</v>
      </c>
      <c r="R481" s="1461"/>
      <c r="S481" s="1457"/>
      <c r="T481" s="1457"/>
      <c r="U481" s="1457"/>
      <c r="V481" s="1457"/>
      <c r="W481" s="1462"/>
      <c r="X481" s="1496"/>
      <c r="Y481" s="1444"/>
    </row>
    <row r="482" spans="1:25" ht="24">
      <c r="A482" s="1680">
        <v>6050</v>
      </c>
      <c r="B482" s="1513" t="s">
        <v>892</v>
      </c>
      <c r="C482" s="1457"/>
      <c r="D482" s="1457">
        <f t="shared" si="138"/>
        <v>28240</v>
      </c>
      <c r="E482" s="1458">
        <v>173600</v>
      </c>
      <c r="F482" s="1459">
        <f t="shared" si="139"/>
        <v>69000</v>
      </c>
      <c r="G482" s="1499"/>
      <c r="H482" s="1499">
        <f t="shared" si="142"/>
        <v>244.3342776203966</v>
      </c>
      <c r="I482" s="1450"/>
      <c r="J482" s="1461">
        <v>28240</v>
      </c>
      <c r="K482" s="1457"/>
      <c r="L482" s="1457">
        <v>69000</v>
      </c>
      <c r="M482" s="1457"/>
      <c r="N482" s="1457"/>
      <c r="O482" s="1457"/>
      <c r="P482" s="1462">
        <f t="shared" si="141"/>
        <v>69000</v>
      </c>
      <c r="Q482" s="1495">
        <f t="shared" si="137"/>
        <v>244.3342776203966</v>
      </c>
      <c r="R482" s="1461"/>
      <c r="S482" s="1457"/>
      <c r="T482" s="1457"/>
      <c r="U482" s="1457"/>
      <c r="V482" s="1457"/>
      <c r="W482" s="1462"/>
      <c r="X482" s="1496"/>
      <c r="Y482" s="1444"/>
    </row>
    <row r="483" spans="1:25" ht="24">
      <c r="A483" s="1680">
        <v>6060</v>
      </c>
      <c r="B483" s="1513" t="s">
        <v>870</v>
      </c>
      <c r="C483" s="1457"/>
      <c r="D483" s="1457">
        <f t="shared" si="138"/>
        <v>12625</v>
      </c>
      <c r="E483" s="1458">
        <v>80100</v>
      </c>
      <c r="F483" s="1459">
        <f t="shared" si="139"/>
        <v>0</v>
      </c>
      <c r="G483" s="1499"/>
      <c r="H483" s="1499">
        <f t="shared" si="142"/>
        <v>0</v>
      </c>
      <c r="I483" s="1450"/>
      <c r="J483" s="1461">
        <v>12625</v>
      </c>
      <c r="K483" s="1457"/>
      <c r="L483" s="1457">
        <v>0</v>
      </c>
      <c r="M483" s="1457"/>
      <c r="N483" s="1457"/>
      <c r="O483" s="1457"/>
      <c r="P483" s="1462">
        <f t="shared" si="141"/>
        <v>0</v>
      </c>
      <c r="Q483" s="1495">
        <f t="shared" si="137"/>
        <v>0</v>
      </c>
      <c r="R483" s="1461"/>
      <c r="S483" s="1457"/>
      <c r="T483" s="1457"/>
      <c r="U483" s="1457"/>
      <c r="V483" s="1457"/>
      <c r="W483" s="1462"/>
      <c r="X483" s="1496"/>
      <c r="Y483" s="1444"/>
    </row>
    <row r="484" spans="1:25" ht="24.75" hidden="1" thickBot="1">
      <c r="A484" s="1680"/>
      <c r="B484" s="1513" t="s">
        <v>893</v>
      </c>
      <c r="C484" s="1457"/>
      <c r="D484" s="1457">
        <f>J484+R484</f>
        <v>0</v>
      </c>
      <c r="E484" s="1458"/>
      <c r="F484" s="1459">
        <f t="shared" si="139"/>
        <v>0</v>
      </c>
      <c r="G484" s="1602" t="e">
        <f t="shared" si="140"/>
        <v>#DIV/0!</v>
      </c>
      <c r="H484" s="1603" t="e">
        <f t="shared" si="142"/>
        <v>#DIV/0!</v>
      </c>
      <c r="I484" s="1450"/>
      <c r="J484" s="1461"/>
      <c r="K484" s="1457"/>
      <c r="L484" s="1457"/>
      <c r="M484" s="1457"/>
      <c r="N484" s="1457"/>
      <c r="O484" s="1457"/>
      <c r="P484" s="1462">
        <f t="shared" si="141"/>
        <v>0</v>
      </c>
      <c r="Q484" s="1495" t="e">
        <f t="shared" si="137"/>
        <v>#DIV/0!</v>
      </c>
      <c r="R484" s="1461"/>
      <c r="S484" s="1457"/>
      <c r="T484" s="1457"/>
      <c r="U484" s="1457"/>
      <c r="V484" s="1457"/>
      <c r="W484" s="1462"/>
      <c r="X484" s="1496"/>
      <c r="Y484" s="1444"/>
    </row>
    <row r="485" spans="1:25" s="618" customFormat="1" ht="13.5" hidden="1" thickTop="1">
      <c r="A485" s="1681"/>
      <c r="B485" s="1522" t="s">
        <v>894</v>
      </c>
      <c r="C485" s="1523"/>
      <c r="D485" s="1523">
        <f>J485+R485</f>
        <v>200000</v>
      </c>
      <c r="E485" s="1543">
        <v>0</v>
      </c>
      <c r="F485" s="1544">
        <f t="shared" si="139"/>
        <v>0</v>
      </c>
      <c r="G485" s="1474" t="e">
        <f t="shared" si="140"/>
        <v>#DIV/0!</v>
      </c>
      <c r="H485" s="1475">
        <f t="shared" si="142"/>
        <v>0</v>
      </c>
      <c r="I485" s="1530"/>
      <c r="J485" s="1526">
        <v>200000</v>
      </c>
      <c r="K485" s="1523"/>
      <c r="L485" s="1523">
        <v>0</v>
      </c>
      <c r="M485" s="1523"/>
      <c r="N485" s="1523"/>
      <c r="O485" s="1523"/>
      <c r="P485" s="1527">
        <f t="shared" si="141"/>
        <v>0</v>
      </c>
      <c r="Q485" s="1528">
        <f t="shared" si="137"/>
        <v>0</v>
      </c>
      <c r="R485" s="1526"/>
      <c r="S485" s="1523"/>
      <c r="T485" s="1523"/>
      <c r="U485" s="1523"/>
      <c r="V485" s="1523"/>
      <c r="W485" s="1527"/>
      <c r="X485" s="1529"/>
      <c r="Y485" s="1444"/>
    </row>
    <row r="486" spans="1:28" s="581" customFormat="1" ht="12.75">
      <c r="A486" s="1516">
        <v>80102</v>
      </c>
      <c r="B486" s="1550" t="s">
        <v>895</v>
      </c>
      <c r="C486" s="1467">
        <f>SUM(C487:C503)</f>
        <v>2148800</v>
      </c>
      <c r="D486" s="1447">
        <f>SUM(D487:D503)</f>
        <v>2100020</v>
      </c>
      <c r="E486" s="1468">
        <f>SUM(E487:E503)</f>
        <v>2260500</v>
      </c>
      <c r="F486" s="1469">
        <f>SUM(F487:F503)</f>
        <v>2053900</v>
      </c>
      <c r="G486" s="1519">
        <f t="shared" si="140"/>
        <v>95.58358153387937</v>
      </c>
      <c r="H486" s="1519">
        <f t="shared" si="142"/>
        <v>97.8038304397101</v>
      </c>
      <c r="I486" s="1450"/>
      <c r="J486" s="1470"/>
      <c r="K486" s="1467"/>
      <c r="L486" s="1447"/>
      <c r="M486" s="1447"/>
      <c r="N486" s="1447"/>
      <c r="O486" s="1447"/>
      <c r="P486" s="1452"/>
      <c r="Q486" s="1453"/>
      <c r="R486" s="1451">
        <f aca="true" t="shared" si="143" ref="R486:W486">SUM(R487:R518)</f>
        <v>2100020</v>
      </c>
      <c r="S486" s="1447">
        <f t="shared" si="143"/>
        <v>2045900</v>
      </c>
      <c r="T486" s="1447">
        <f t="shared" si="143"/>
        <v>0</v>
      </c>
      <c r="U486" s="1447">
        <f t="shared" si="143"/>
        <v>0</v>
      </c>
      <c r="V486" s="1447">
        <f t="shared" si="143"/>
        <v>8000</v>
      </c>
      <c r="W486" s="1452">
        <f t="shared" si="143"/>
        <v>2053900</v>
      </c>
      <c r="X486" s="1454">
        <f aca="true" t="shared" si="144" ref="X486:X503">W486/R486*100</f>
        <v>97.8038304397101</v>
      </c>
      <c r="Y486" s="1444"/>
      <c r="AA486" s="1444">
        <f>SUM(S488:S491)</f>
        <v>1800000</v>
      </c>
      <c r="AB486" s="1444">
        <f>Z486+AA486</f>
        <v>1800000</v>
      </c>
    </row>
    <row r="487" spans="1:25" ht="24">
      <c r="A487" s="1497">
        <v>3020</v>
      </c>
      <c r="B487" s="1513" t="s">
        <v>717</v>
      </c>
      <c r="C487" s="1457">
        <v>8300</v>
      </c>
      <c r="D487" s="1457">
        <f>J487+R487</f>
        <v>6300</v>
      </c>
      <c r="E487" s="1458">
        <v>7300</v>
      </c>
      <c r="F487" s="1459">
        <f>P487+W487</f>
        <v>7300</v>
      </c>
      <c r="G487" s="1499">
        <f t="shared" si="140"/>
        <v>87.95180722891565</v>
      </c>
      <c r="H487" s="1499">
        <f t="shared" si="142"/>
        <v>115.87301587301589</v>
      </c>
      <c r="I487" s="1450"/>
      <c r="J487" s="1461"/>
      <c r="K487" s="1457"/>
      <c r="L487" s="1457"/>
      <c r="M487" s="1457"/>
      <c r="N487" s="1457"/>
      <c r="O487" s="1457"/>
      <c r="P487" s="1462"/>
      <c r="Q487" s="1495"/>
      <c r="R487" s="1461">
        <v>6300</v>
      </c>
      <c r="S487" s="1457">
        <v>7300</v>
      </c>
      <c r="T487" s="1457"/>
      <c r="U487" s="1457"/>
      <c r="V487" s="1457"/>
      <c r="W487" s="1462">
        <f>SUM(S487:V487)</f>
        <v>7300</v>
      </c>
      <c r="X487" s="1496">
        <f t="shared" si="144"/>
        <v>115.87301587301589</v>
      </c>
      <c r="Y487" s="1444"/>
    </row>
    <row r="488" spans="1:25" ht="24">
      <c r="A488" s="1497">
        <v>4010</v>
      </c>
      <c r="B488" s="1513" t="s">
        <v>626</v>
      </c>
      <c r="C488" s="1457">
        <v>1465700</v>
      </c>
      <c r="D488" s="1457">
        <f aca="true" t="shared" si="145" ref="D488:D512">J488+R488</f>
        <v>1401400</v>
      </c>
      <c r="E488" s="1458">
        <v>1498200</v>
      </c>
      <c r="F488" s="1459">
        <f aca="true" t="shared" si="146" ref="F488:F512">P488+W488</f>
        <v>1390000</v>
      </c>
      <c r="G488" s="1499">
        <f t="shared" si="140"/>
        <v>94.83523231220578</v>
      </c>
      <c r="H488" s="1499">
        <f t="shared" si="142"/>
        <v>99.18652775795633</v>
      </c>
      <c r="I488" s="1450"/>
      <c r="J488" s="1461"/>
      <c r="K488" s="1457"/>
      <c r="L488" s="1457"/>
      <c r="M488" s="1457"/>
      <c r="N488" s="1457"/>
      <c r="O488" s="1457"/>
      <c r="P488" s="1462"/>
      <c r="Q488" s="1495"/>
      <c r="R488" s="1461">
        <v>1401400</v>
      </c>
      <c r="S488" s="1457">
        <v>1390000</v>
      </c>
      <c r="T488" s="1457"/>
      <c r="U488" s="1457"/>
      <c r="V488" s="1457"/>
      <c r="W488" s="1462">
        <f aca="true" t="shared" si="147" ref="W488:W503">SUM(S488:V488)</f>
        <v>1390000</v>
      </c>
      <c r="X488" s="1496">
        <f t="shared" si="144"/>
        <v>99.18652775795633</v>
      </c>
      <c r="Y488" s="1444"/>
    </row>
    <row r="489" spans="1:25" ht="12.75">
      <c r="A489" s="1497">
        <v>4040</v>
      </c>
      <c r="B489" s="1513" t="s">
        <v>630</v>
      </c>
      <c r="C489" s="1457">
        <v>104400</v>
      </c>
      <c r="D489" s="1457">
        <f t="shared" si="145"/>
        <v>109920</v>
      </c>
      <c r="E489" s="1458">
        <v>125600</v>
      </c>
      <c r="F489" s="1459">
        <f t="shared" si="146"/>
        <v>110000</v>
      </c>
      <c r="G489" s="1499">
        <f t="shared" si="140"/>
        <v>105.3639846743295</v>
      </c>
      <c r="H489" s="1499">
        <f t="shared" si="142"/>
        <v>100.07278020378456</v>
      </c>
      <c r="I489" s="1450"/>
      <c r="J489" s="1461"/>
      <c r="K489" s="1457"/>
      <c r="L489" s="1457"/>
      <c r="M489" s="1457"/>
      <c r="N489" s="1457"/>
      <c r="O489" s="1457"/>
      <c r="P489" s="1462"/>
      <c r="Q489" s="1495"/>
      <c r="R489" s="1461">
        <v>109920</v>
      </c>
      <c r="S489" s="1457">
        <v>110000</v>
      </c>
      <c r="T489" s="1457"/>
      <c r="U489" s="1457"/>
      <c r="V489" s="1457"/>
      <c r="W489" s="1462">
        <f t="shared" si="147"/>
        <v>110000</v>
      </c>
      <c r="X489" s="1496">
        <f t="shared" si="144"/>
        <v>100.07278020378456</v>
      </c>
      <c r="Y489" s="1444"/>
    </row>
    <row r="490" spans="1:25" ht="12.75">
      <c r="A490" s="1497">
        <v>4110</v>
      </c>
      <c r="B490" s="1513" t="s">
        <v>568</v>
      </c>
      <c r="C490" s="1457">
        <v>267500</v>
      </c>
      <c r="D490" s="1457">
        <f t="shared" si="145"/>
        <v>249720</v>
      </c>
      <c r="E490" s="1458">
        <v>288100</v>
      </c>
      <c r="F490" s="1459">
        <f t="shared" si="146"/>
        <v>265000</v>
      </c>
      <c r="G490" s="1499">
        <f t="shared" si="140"/>
        <v>99.06542056074767</v>
      </c>
      <c r="H490" s="1499">
        <f t="shared" si="142"/>
        <v>106.11885311548934</v>
      </c>
      <c r="I490" s="1450"/>
      <c r="J490" s="1461"/>
      <c r="K490" s="1457"/>
      <c r="L490" s="1457"/>
      <c r="M490" s="1457"/>
      <c r="N490" s="1457"/>
      <c r="O490" s="1457"/>
      <c r="P490" s="1462"/>
      <c r="Q490" s="1495"/>
      <c r="R490" s="1461">
        <v>249720</v>
      </c>
      <c r="S490" s="1457">
        <v>265000</v>
      </c>
      <c r="T490" s="1457"/>
      <c r="U490" s="1457"/>
      <c r="V490" s="1457"/>
      <c r="W490" s="1462">
        <f t="shared" si="147"/>
        <v>265000</v>
      </c>
      <c r="X490" s="1496">
        <f t="shared" si="144"/>
        <v>106.11885311548934</v>
      </c>
      <c r="Y490" s="1444"/>
    </row>
    <row r="491" spans="1:25" ht="12.75">
      <c r="A491" s="1497">
        <v>4120</v>
      </c>
      <c r="B491" s="1513" t="s">
        <v>758</v>
      </c>
      <c r="C491" s="1457">
        <v>36700</v>
      </c>
      <c r="D491" s="1457">
        <f t="shared" si="145"/>
        <v>34990</v>
      </c>
      <c r="E491" s="1458">
        <v>39500</v>
      </c>
      <c r="F491" s="1459">
        <f t="shared" si="146"/>
        <v>35000</v>
      </c>
      <c r="G491" s="1499">
        <f t="shared" si="140"/>
        <v>95.36784741144415</v>
      </c>
      <c r="H491" s="1499">
        <f t="shared" si="142"/>
        <v>100.02857959416976</v>
      </c>
      <c r="I491" s="1450"/>
      <c r="J491" s="1461"/>
      <c r="K491" s="1457"/>
      <c r="L491" s="1457"/>
      <c r="M491" s="1457"/>
      <c r="N491" s="1457"/>
      <c r="O491" s="1457"/>
      <c r="P491" s="1462"/>
      <c r="Q491" s="1495"/>
      <c r="R491" s="1461">
        <v>34990</v>
      </c>
      <c r="S491" s="1457">
        <v>35000</v>
      </c>
      <c r="T491" s="1457"/>
      <c r="U491" s="1457"/>
      <c r="V491" s="1457"/>
      <c r="W491" s="1462">
        <f t="shared" si="147"/>
        <v>35000</v>
      </c>
      <c r="X491" s="1496">
        <f t="shared" si="144"/>
        <v>100.02857959416976</v>
      </c>
      <c r="Y491" s="1444"/>
    </row>
    <row r="492" spans="1:25" ht="12.75">
      <c r="A492" s="1497">
        <v>4130</v>
      </c>
      <c r="B492" s="1513" t="s">
        <v>896</v>
      </c>
      <c r="C492" s="1457"/>
      <c r="D492" s="1457">
        <f t="shared" si="145"/>
        <v>460</v>
      </c>
      <c r="E492" s="1458">
        <v>900</v>
      </c>
      <c r="F492" s="1459">
        <f t="shared" si="146"/>
        <v>900</v>
      </c>
      <c r="G492" s="1499"/>
      <c r="H492" s="1499">
        <f t="shared" si="142"/>
        <v>195.65217391304347</v>
      </c>
      <c r="I492" s="1450"/>
      <c r="J492" s="1461"/>
      <c r="K492" s="1457"/>
      <c r="L492" s="1457"/>
      <c r="M492" s="1457"/>
      <c r="N492" s="1457"/>
      <c r="O492" s="1457"/>
      <c r="P492" s="1462"/>
      <c r="Q492" s="1495"/>
      <c r="R492" s="1461">
        <v>460</v>
      </c>
      <c r="S492" s="1457">
        <v>900</v>
      </c>
      <c r="T492" s="1457"/>
      <c r="U492" s="1457"/>
      <c r="V492" s="1457"/>
      <c r="W492" s="1462">
        <f t="shared" si="147"/>
        <v>900</v>
      </c>
      <c r="X492" s="1496">
        <f t="shared" si="144"/>
        <v>195.65217391304347</v>
      </c>
      <c r="Y492" s="1444"/>
    </row>
    <row r="493" spans="1:25" ht="12.75">
      <c r="A493" s="1497">
        <v>4210</v>
      </c>
      <c r="B493" s="1513" t="s">
        <v>560</v>
      </c>
      <c r="C493" s="1457">
        <v>29900</v>
      </c>
      <c r="D493" s="1457">
        <f t="shared" si="145"/>
        <v>37900</v>
      </c>
      <c r="E493" s="1458">
        <v>39700</v>
      </c>
      <c r="F493" s="1459">
        <f t="shared" si="146"/>
        <v>24000</v>
      </c>
      <c r="G493" s="1499">
        <f t="shared" si="140"/>
        <v>80.2675585284281</v>
      </c>
      <c r="H493" s="1499">
        <f t="shared" si="142"/>
        <v>63.3245382585752</v>
      </c>
      <c r="I493" s="1450"/>
      <c r="J493" s="1461"/>
      <c r="K493" s="1457"/>
      <c r="L493" s="1457"/>
      <c r="M493" s="1457"/>
      <c r="N493" s="1457"/>
      <c r="O493" s="1457"/>
      <c r="P493" s="1462"/>
      <c r="Q493" s="1495"/>
      <c r="R493" s="1461">
        <v>37900</v>
      </c>
      <c r="S493" s="1457">
        <v>24000</v>
      </c>
      <c r="T493" s="1457"/>
      <c r="U493" s="1457"/>
      <c r="V493" s="1457"/>
      <c r="W493" s="1462">
        <f t="shared" si="147"/>
        <v>24000</v>
      </c>
      <c r="X493" s="1496">
        <f t="shared" si="144"/>
        <v>63.3245382585752</v>
      </c>
      <c r="Y493" s="1444"/>
    </row>
    <row r="494" spans="1:25" ht="24">
      <c r="A494" s="1497">
        <v>4240</v>
      </c>
      <c r="B494" s="1513" t="s">
        <v>897</v>
      </c>
      <c r="C494" s="1457">
        <v>9200</v>
      </c>
      <c r="D494" s="1457">
        <f t="shared" si="145"/>
        <v>9200</v>
      </c>
      <c r="E494" s="1458">
        <v>10500</v>
      </c>
      <c r="F494" s="1459">
        <f t="shared" si="146"/>
        <v>5500</v>
      </c>
      <c r="G494" s="1499">
        <f t="shared" si="140"/>
        <v>59.78260869565217</v>
      </c>
      <c r="H494" s="1499">
        <f t="shared" si="142"/>
        <v>59.78260869565217</v>
      </c>
      <c r="I494" s="1450"/>
      <c r="J494" s="1461"/>
      <c r="K494" s="1457"/>
      <c r="L494" s="1457"/>
      <c r="M494" s="1457"/>
      <c r="N494" s="1457"/>
      <c r="O494" s="1457"/>
      <c r="P494" s="1462"/>
      <c r="Q494" s="1495"/>
      <c r="R494" s="1461">
        <v>9200</v>
      </c>
      <c r="S494" s="1457">
        <v>5500</v>
      </c>
      <c r="T494" s="1457"/>
      <c r="U494" s="1457"/>
      <c r="V494" s="1457"/>
      <c r="W494" s="1462">
        <f t="shared" si="147"/>
        <v>5500</v>
      </c>
      <c r="X494" s="1496">
        <f t="shared" si="144"/>
        <v>59.78260869565217</v>
      </c>
      <c r="Y494" s="1444"/>
    </row>
    <row r="495" spans="1:25" ht="12.75">
      <c r="A495" s="1497">
        <v>4260</v>
      </c>
      <c r="B495" s="1513" t="s">
        <v>575</v>
      </c>
      <c r="C495" s="1457">
        <v>97400</v>
      </c>
      <c r="D495" s="1457">
        <f t="shared" si="145"/>
        <v>90400</v>
      </c>
      <c r="E495" s="1458">
        <v>90300</v>
      </c>
      <c r="F495" s="1459">
        <f t="shared" si="146"/>
        <v>82700</v>
      </c>
      <c r="G495" s="1499">
        <f t="shared" si="140"/>
        <v>84.90759753593429</v>
      </c>
      <c r="H495" s="1499">
        <f t="shared" si="142"/>
        <v>91.48230088495575</v>
      </c>
      <c r="I495" s="1450"/>
      <c r="J495" s="1461"/>
      <c r="K495" s="1457"/>
      <c r="L495" s="1457"/>
      <c r="M495" s="1457"/>
      <c r="N495" s="1457"/>
      <c r="O495" s="1457"/>
      <c r="P495" s="1462"/>
      <c r="Q495" s="1495"/>
      <c r="R495" s="1461">
        <v>90400</v>
      </c>
      <c r="S495" s="1457">
        <v>82700</v>
      </c>
      <c r="T495" s="1457"/>
      <c r="U495" s="1457"/>
      <c r="V495" s="1457"/>
      <c r="W495" s="1462">
        <f t="shared" si="147"/>
        <v>82700</v>
      </c>
      <c r="X495" s="1496">
        <f t="shared" si="144"/>
        <v>91.48230088495575</v>
      </c>
      <c r="Y495" s="1444"/>
    </row>
    <row r="496" spans="1:25" ht="12.75">
      <c r="A496" s="1497">
        <v>4270</v>
      </c>
      <c r="B496" s="1513" t="s">
        <v>576</v>
      </c>
      <c r="C496" s="1457">
        <v>2000</v>
      </c>
      <c r="D496" s="1457">
        <f t="shared" si="145"/>
        <v>2000</v>
      </c>
      <c r="E496" s="1458">
        <v>10200</v>
      </c>
      <c r="F496" s="1459">
        <f t="shared" si="146"/>
        <v>8000</v>
      </c>
      <c r="G496" s="1499">
        <f t="shared" si="140"/>
        <v>400</v>
      </c>
      <c r="H496" s="1499">
        <f t="shared" si="142"/>
        <v>400</v>
      </c>
      <c r="I496" s="1450"/>
      <c r="J496" s="1461"/>
      <c r="K496" s="1457"/>
      <c r="L496" s="1457"/>
      <c r="M496" s="1457"/>
      <c r="N496" s="1457"/>
      <c r="O496" s="1457"/>
      <c r="P496" s="1462"/>
      <c r="Q496" s="1495"/>
      <c r="R496" s="1461">
        <v>2000</v>
      </c>
      <c r="S496" s="1457"/>
      <c r="T496" s="1457"/>
      <c r="U496" s="1457"/>
      <c r="V496" s="1457">
        <v>8000</v>
      </c>
      <c r="W496" s="1462">
        <f t="shared" si="147"/>
        <v>8000</v>
      </c>
      <c r="X496" s="1496">
        <f t="shared" si="144"/>
        <v>400</v>
      </c>
      <c r="Y496" s="1444"/>
    </row>
    <row r="497" spans="1:25" ht="12.75">
      <c r="A497" s="1497">
        <v>4280</v>
      </c>
      <c r="B497" s="1513" t="s">
        <v>723</v>
      </c>
      <c r="C497" s="1457">
        <v>2400</v>
      </c>
      <c r="D497" s="1457">
        <f t="shared" si="145"/>
        <v>3080</v>
      </c>
      <c r="E497" s="1458">
        <v>3000</v>
      </c>
      <c r="F497" s="1459">
        <f t="shared" si="146"/>
        <v>3000</v>
      </c>
      <c r="G497" s="1499">
        <f t="shared" si="140"/>
        <v>125</v>
      </c>
      <c r="H497" s="1499">
        <f t="shared" si="142"/>
        <v>97.40259740259741</v>
      </c>
      <c r="I497" s="1450"/>
      <c r="J497" s="1461"/>
      <c r="K497" s="1457"/>
      <c r="L497" s="1457"/>
      <c r="M497" s="1457"/>
      <c r="N497" s="1457"/>
      <c r="O497" s="1457"/>
      <c r="P497" s="1462"/>
      <c r="Q497" s="1495"/>
      <c r="R497" s="1461">
        <v>3080</v>
      </c>
      <c r="S497" s="1457">
        <v>3000</v>
      </c>
      <c r="T497" s="1457"/>
      <c r="U497" s="1457"/>
      <c r="V497" s="1457"/>
      <c r="W497" s="1462">
        <f t="shared" si="147"/>
        <v>3000</v>
      </c>
      <c r="X497" s="1496">
        <f t="shared" si="144"/>
        <v>97.40259740259741</v>
      </c>
      <c r="Y497" s="1444"/>
    </row>
    <row r="498" spans="1:25" ht="12.75">
      <c r="A498" s="1497">
        <v>4300</v>
      </c>
      <c r="B498" s="1513" t="s">
        <v>564</v>
      </c>
      <c r="C498" s="1457">
        <v>55000</v>
      </c>
      <c r="D498" s="1457">
        <f t="shared" si="145"/>
        <v>61500</v>
      </c>
      <c r="E498" s="1458">
        <v>62600</v>
      </c>
      <c r="F498" s="1459">
        <f t="shared" si="146"/>
        <v>54900</v>
      </c>
      <c r="G498" s="1499">
        <f t="shared" si="140"/>
        <v>99.81818181818181</v>
      </c>
      <c r="H498" s="1499">
        <f t="shared" si="142"/>
        <v>89.26829268292683</v>
      </c>
      <c r="I498" s="1450"/>
      <c r="J498" s="1461"/>
      <c r="K498" s="1457"/>
      <c r="L498" s="1457"/>
      <c r="M498" s="1457"/>
      <c r="N498" s="1457"/>
      <c r="O498" s="1457"/>
      <c r="P498" s="1462"/>
      <c r="Q498" s="1495"/>
      <c r="R498" s="1461">
        <v>61500</v>
      </c>
      <c r="S498" s="1457">
        <v>54900</v>
      </c>
      <c r="T498" s="1457"/>
      <c r="U498" s="1457"/>
      <c r="V498" s="1457"/>
      <c r="W498" s="1462">
        <f t="shared" si="147"/>
        <v>54900</v>
      </c>
      <c r="X498" s="1496">
        <f t="shared" si="144"/>
        <v>89.26829268292683</v>
      </c>
      <c r="Y498" s="1444"/>
    </row>
    <row r="499" spans="1:25" ht="12.75">
      <c r="A499" s="1497">
        <v>4350</v>
      </c>
      <c r="B499" s="1513" t="s">
        <v>820</v>
      </c>
      <c r="C499" s="1457"/>
      <c r="D499" s="1457">
        <f t="shared" si="145"/>
        <v>850</v>
      </c>
      <c r="E499" s="1458">
        <v>1200</v>
      </c>
      <c r="F499" s="1459">
        <f t="shared" si="146"/>
        <v>1200</v>
      </c>
      <c r="G499" s="1499"/>
      <c r="H499" s="1499">
        <f t="shared" si="142"/>
        <v>141.1764705882353</v>
      </c>
      <c r="I499" s="1450"/>
      <c r="J499" s="1461"/>
      <c r="K499" s="1457"/>
      <c r="L499" s="1457"/>
      <c r="M499" s="1457"/>
      <c r="N499" s="1457"/>
      <c r="O499" s="1457"/>
      <c r="P499" s="1462"/>
      <c r="Q499" s="1495"/>
      <c r="R499" s="1461">
        <v>850</v>
      </c>
      <c r="S499" s="1457">
        <v>1200</v>
      </c>
      <c r="T499" s="1457"/>
      <c r="U499" s="1457"/>
      <c r="V499" s="1457"/>
      <c r="W499" s="1462">
        <f t="shared" si="147"/>
        <v>1200</v>
      </c>
      <c r="X499" s="1496">
        <f t="shared" si="144"/>
        <v>141.1764705882353</v>
      </c>
      <c r="Y499" s="1444"/>
    </row>
    <row r="500" spans="1:25" ht="12.75">
      <c r="A500" s="1497">
        <v>4410</v>
      </c>
      <c r="B500" s="1513" t="s">
        <v>618</v>
      </c>
      <c r="C500" s="1457">
        <v>1900</v>
      </c>
      <c r="D500" s="1457">
        <f t="shared" si="145"/>
        <v>1900</v>
      </c>
      <c r="E500" s="1458">
        <v>1400</v>
      </c>
      <c r="F500" s="1459">
        <f t="shared" si="146"/>
        <v>1400</v>
      </c>
      <c r="G500" s="1499">
        <f t="shared" si="140"/>
        <v>73.68421052631578</v>
      </c>
      <c r="H500" s="1499">
        <f t="shared" si="142"/>
        <v>73.68421052631578</v>
      </c>
      <c r="I500" s="1450"/>
      <c r="J500" s="1461"/>
      <c r="K500" s="1457"/>
      <c r="L500" s="1457"/>
      <c r="M500" s="1457"/>
      <c r="N500" s="1457"/>
      <c r="O500" s="1457"/>
      <c r="P500" s="1462"/>
      <c r="Q500" s="1495"/>
      <c r="R500" s="1461">
        <v>1900</v>
      </c>
      <c r="S500" s="1457">
        <v>1400</v>
      </c>
      <c r="T500" s="1457"/>
      <c r="U500" s="1457"/>
      <c r="V500" s="1457"/>
      <c r="W500" s="1462">
        <f t="shared" si="147"/>
        <v>1400</v>
      </c>
      <c r="X500" s="1496">
        <f t="shared" si="144"/>
        <v>73.68421052631578</v>
      </c>
      <c r="Y500" s="1444"/>
    </row>
    <row r="501" spans="1:25" ht="12.75">
      <c r="A501" s="1497">
        <v>4440</v>
      </c>
      <c r="B501" s="1513" t="s">
        <v>641</v>
      </c>
      <c r="C501" s="1457">
        <v>68400</v>
      </c>
      <c r="D501" s="1457">
        <f t="shared" si="145"/>
        <v>69900</v>
      </c>
      <c r="E501" s="1458">
        <v>65000</v>
      </c>
      <c r="F501" s="1459">
        <f t="shared" si="146"/>
        <v>65000</v>
      </c>
      <c r="G501" s="1499">
        <f t="shared" si="140"/>
        <v>95.02923976608187</v>
      </c>
      <c r="H501" s="1499">
        <f t="shared" si="142"/>
        <v>92.98998569384835</v>
      </c>
      <c r="I501" s="1450"/>
      <c r="J501" s="1461"/>
      <c r="K501" s="1457"/>
      <c r="L501" s="1457"/>
      <c r="M501" s="1457"/>
      <c r="N501" s="1457"/>
      <c r="O501" s="1457"/>
      <c r="P501" s="1462"/>
      <c r="Q501" s="1495"/>
      <c r="R501" s="1461">
        <v>69900</v>
      </c>
      <c r="S501" s="1457">
        <v>65000</v>
      </c>
      <c r="T501" s="1457"/>
      <c r="U501" s="1457"/>
      <c r="V501" s="1457"/>
      <c r="W501" s="1462">
        <f t="shared" si="147"/>
        <v>65000</v>
      </c>
      <c r="X501" s="1496">
        <f t="shared" si="144"/>
        <v>92.98998569384835</v>
      </c>
      <c r="Y501" s="1444"/>
    </row>
    <row r="502" spans="1:25" ht="24">
      <c r="A502" s="1497">
        <v>6050</v>
      </c>
      <c r="B502" s="1513" t="s">
        <v>892</v>
      </c>
      <c r="C502" s="1457"/>
      <c r="D502" s="1457">
        <f t="shared" si="145"/>
        <v>16500</v>
      </c>
      <c r="E502" s="1458">
        <v>7000</v>
      </c>
      <c r="F502" s="1459">
        <f t="shared" si="146"/>
        <v>0</v>
      </c>
      <c r="G502" s="1499"/>
      <c r="H502" s="1499">
        <f t="shared" si="142"/>
        <v>0</v>
      </c>
      <c r="I502" s="1450"/>
      <c r="J502" s="1461"/>
      <c r="K502" s="1457"/>
      <c r="L502" s="1457"/>
      <c r="M502" s="1457"/>
      <c r="N502" s="1457"/>
      <c r="O502" s="1457"/>
      <c r="P502" s="1462"/>
      <c r="Q502" s="1495"/>
      <c r="R502" s="1461">
        <v>16500</v>
      </c>
      <c r="S502" s="1457"/>
      <c r="T502" s="1457"/>
      <c r="U502" s="1457"/>
      <c r="V502" s="1457"/>
      <c r="W502" s="1462"/>
      <c r="X502" s="1496"/>
      <c r="Y502" s="1444"/>
    </row>
    <row r="503" spans="1:25" ht="24">
      <c r="A503" s="1497">
        <v>6060</v>
      </c>
      <c r="B503" s="1513" t="s">
        <v>870</v>
      </c>
      <c r="C503" s="1457"/>
      <c r="D503" s="1457">
        <f t="shared" si="145"/>
        <v>4000</v>
      </c>
      <c r="E503" s="1514">
        <v>10000</v>
      </c>
      <c r="F503" s="1457">
        <f t="shared" si="146"/>
        <v>0</v>
      </c>
      <c r="G503" s="1499"/>
      <c r="H503" s="1499">
        <f t="shared" si="142"/>
        <v>0</v>
      </c>
      <c r="I503" s="1450"/>
      <c r="J503" s="1461"/>
      <c r="K503" s="1457"/>
      <c r="L503" s="1457"/>
      <c r="M503" s="1457"/>
      <c r="N503" s="1457"/>
      <c r="O503" s="1457"/>
      <c r="P503" s="1462"/>
      <c r="Q503" s="1495"/>
      <c r="R503" s="1461">
        <v>4000</v>
      </c>
      <c r="S503" s="1457"/>
      <c r="T503" s="1457"/>
      <c r="U503" s="1457"/>
      <c r="V503" s="1457"/>
      <c r="W503" s="1462">
        <f t="shared" si="147"/>
        <v>0</v>
      </c>
      <c r="X503" s="1496">
        <f t="shared" si="144"/>
        <v>0</v>
      </c>
      <c r="Y503" s="1444"/>
    </row>
    <row r="504" spans="1:25" s="581" customFormat="1" ht="24">
      <c r="A504" s="1516">
        <v>80103</v>
      </c>
      <c r="B504" s="1550" t="s">
        <v>898</v>
      </c>
      <c r="C504" s="1467">
        <f>SUM(C505:C512)</f>
        <v>0</v>
      </c>
      <c r="D504" s="1467">
        <f>SUM(D505:D512)</f>
        <v>230460</v>
      </c>
      <c r="E504" s="1556">
        <f>SUM(E505:E512)</f>
        <v>296900</v>
      </c>
      <c r="F504" s="1467">
        <f>SUM(F505:F512)</f>
        <v>296900</v>
      </c>
      <c r="G504" s="1519"/>
      <c r="H504" s="1532">
        <f>F504/D504*100</f>
        <v>128.82929792588735</v>
      </c>
      <c r="I504" s="1450"/>
      <c r="J504" s="1555">
        <f aca="true" t="shared" si="148" ref="J504:P504">SUM(J505:J512)</f>
        <v>230460</v>
      </c>
      <c r="K504" s="1467">
        <f t="shared" si="148"/>
        <v>296900</v>
      </c>
      <c r="L504" s="1467">
        <f t="shared" si="148"/>
        <v>0</v>
      </c>
      <c r="M504" s="1467">
        <f t="shared" si="148"/>
        <v>0</v>
      </c>
      <c r="N504" s="1467">
        <f t="shared" si="148"/>
        <v>0</v>
      </c>
      <c r="O504" s="1467">
        <f t="shared" si="148"/>
        <v>0</v>
      </c>
      <c r="P504" s="1467">
        <f t="shared" si="148"/>
        <v>296900</v>
      </c>
      <c r="Q504" s="1453"/>
      <c r="R504" s="1470"/>
      <c r="S504" s="1467"/>
      <c r="T504" s="1467"/>
      <c r="U504" s="1467"/>
      <c r="V504" s="1467"/>
      <c r="W504" s="1471"/>
      <c r="X504" s="1454"/>
      <c r="Y504" s="1444"/>
    </row>
    <row r="505" spans="1:25" ht="36">
      <c r="A505" s="1551">
        <v>2540</v>
      </c>
      <c r="B505" s="1513" t="s">
        <v>899</v>
      </c>
      <c r="C505" s="1457"/>
      <c r="D505" s="1457">
        <f t="shared" si="145"/>
        <v>66480</v>
      </c>
      <c r="E505" s="1514">
        <v>67500</v>
      </c>
      <c r="F505" s="1457">
        <f t="shared" si="146"/>
        <v>67500</v>
      </c>
      <c r="G505" s="1499"/>
      <c r="H505" s="1499">
        <f t="shared" si="142"/>
        <v>101.53429602888086</v>
      </c>
      <c r="I505" s="1450"/>
      <c r="J505" s="1461">
        <v>66480</v>
      </c>
      <c r="K505" s="1457">
        <v>67500</v>
      </c>
      <c r="L505" s="1457"/>
      <c r="M505" s="1457"/>
      <c r="N505" s="1457"/>
      <c r="O505" s="1457"/>
      <c r="P505" s="1462">
        <f aca="true" t="shared" si="149" ref="P505:P515">SUM(K505:N505)</f>
        <v>67500</v>
      </c>
      <c r="Q505" s="1495"/>
      <c r="R505" s="1461"/>
      <c r="S505" s="1457"/>
      <c r="T505" s="1457"/>
      <c r="U505" s="1457"/>
      <c r="V505" s="1457"/>
      <c r="W505" s="1462"/>
      <c r="X505" s="1496"/>
      <c r="Y505" s="1444"/>
    </row>
    <row r="506" spans="1:25" ht="24">
      <c r="A506" s="1680">
        <v>3020</v>
      </c>
      <c r="B506" s="1513" t="s">
        <v>717</v>
      </c>
      <c r="C506" s="1457"/>
      <c r="D506" s="1457">
        <f t="shared" si="145"/>
        <v>300</v>
      </c>
      <c r="E506" s="1458">
        <v>400</v>
      </c>
      <c r="F506" s="1459">
        <f t="shared" si="146"/>
        <v>400</v>
      </c>
      <c r="G506" s="1499"/>
      <c r="H506" s="1499">
        <f t="shared" si="142"/>
        <v>133.33333333333331</v>
      </c>
      <c r="I506" s="1450"/>
      <c r="J506" s="1461">
        <v>300</v>
      </c>
      <c r="K506" s="1457">
        <v>400</v>
      </c>
      <c r="L506" s="1457"/>
      <c r="M506" s="1457"/>
      <c r="N506" s="1457"/>
      <c r="O506" s="1457"/>
      <c r="P506" s="1462">
        <f t="shared" si="149"/>
        <v>400</v>
      </c>
      <c r="Q506" s="1495"/>
      <c r="R506" s="1461"/>
      <c r="S506" s="1457"/>
      <c r="T506" s="1457"/>
      <c r="U506" s="1457"/>
      <c r="V506" s="1457"/>
      <c r="W506" s="1462"/>
      <c r="X506" s="1496"/>
      <c r="Y506" s="1444"/>
    </row>
    <row r="507" spans="1:25" ht="24">
      <c r="A507" s="1680">
        <v>4010</v>
      </c>
      <c r="B507" s="1513" t="s">
        <v>626</v>
      </c>
      <c r="C507" s="1457"/>
      <c r="D507" s="1457">
        <f t="shared" si="145"/>
        <v>120960</v>
      </c>
      <c r="E507" s="1458">
        <v>169600</v>
      </c>
      <c r="F507" s="1459">
        <f t="shared" si="146"/>
        <v>169600</v>
      </c>
      <c r="G507" s="1499"/>
      <c r="H507" s="1499">
        <f t="shared" si="142"/>
        <v>140.2116402116402</v>
      </c>
      <c r="I507" s="1450"/>
      <c r="J507" s="1461">
        <v>120960</v>
      </c>
      <c r="K507" s="1457">
        <v>169600</v>
      </c>
      <c r="L507" s="1457"/>
      <c r="M507" s="1457"/>
      <c r="N507" s="1457"/>
      <c r="O507" s="1457"/>
      <c r="P507" s="1462">
        <f t="shared" si="149"/>
        <v>169600</v>
      </c>
      <c r="Q507" s="1495"/>
      <c r="R507" s="1461"/>
      <c r="S507" s="1457"/>
      <c r="T507" s="1457"/>
      <c r="U507" s="1457"/>
      <c r="V507" s="1457"/>
      <c r="W507" s="1462"/>
      <c r="X507" s="1496"/>
      <c r="Y507" s="1444"/>
    </row>
    <row r="508" spans="1:25" ht="12.75">
      <c r="A508" s="1680">
        <v>4040</v>
      </c>
      <c r="B508" s="1513" t="s">
        <v>719</v>
      </c>
      <c r="C508" s="1457"/>
      <c r="D508" s="1457">
        <f t="shared" si="145"/>
        <v>6530</v>
      </c>
      <c r="E508" s="1458">
        <v>10600</v>
      </c>
      <c r="F508" s="1459">
        <f t="shared" si="146"/>
        <v>10600</v>
      </c>
      <c r="G508" s="1499"/>
      <c r="H508" s="1499">
        <f t="shared" si="142"/>
        <v>162.32771822358345</v>
      </c>
      <c r="I508" s="1450"/>
      <c r="J508" s="1461">
        <v>6530</v>
      </c>
      <c r="K508" s="1457">
        <v>10600</v>
      </c>
      <c r="L508" s="1457"/>
      <c r="M508" s="1457"/>
      <c r="N508" s="1457"/>
      <c r="O508" s="1457"/>
      <c r="P508" s="1462">
        <f t="shared" si="149"/>
        <v>10600</v>
      </c>
      <c r="Q508" s="1495"/>
      <c r="R508" s="1461"/>
      <c r="S508" s="1457"/>
      <c r="T508" s="1457"/>
      <c r="U508" s="1457"/>
      <c r="V508" s="1457"/>
      <c r="W508" s="1462"/>
      <c r="X508" s="1496"/>
      <c r="Y508" s="1444"/>
    </row>
    <row r="509" spans="1:25" ht="12.75">
      <c r="A509" s="1680">
        <v>4110</v>
      </c>
      <c r="B509" s="1513" t="s">
        <v>568</v>
      </c>
      <c r="C509" s="1457"/>
      <c r="D509" s="1457">
        <f t="shared" si="145"/>
        <v>22660</v>
      </c>
      <c r="E509" s="1458">
        <v>31600</v>
      </c>
      <c r="F509" s="1459">
        <f t="shared" si="146"/>
        <v>31600</v>
      </c>
      <c r="G509" s="1499"/>
      <c r="H509" s="1499">
        <f t="shared" si="142"/>
        <v>139.45278022947926</v>
      </c>
      <c r="I509" s="1450"/>
      <c r="J509" s="1461">
        <v>22660</v>
      </c>
      <c r="K509" s="1457">
        <v>31600</v>
      </c>
      <c r="L509" s="1457"/>
      <c r="M509" s="1457"/>
      <c r="N509" s="1457"/>
      <c r="O509" s="1457"/>
      <c r="P509" s="1462">
        <f t="shared" si="149"/>
        <v>31600</v>
      </c>
      <c r="Q509" s="1495"/>
      <c r="R509" s="1461"/>
      <c r="S509" s="1457"/>
      <c r="T509" s="1457"/>
      <c r="U509" s="1457"/>
      <c r="V509" s="1457"/>
      <c r="W509" s="1462"/>
      <c r="X509" s="1496"/>
      <c r="Y509" s="1444"/>
    </row>
    <row r="510" spans="1:25" ht="12.75">
      <c r="A510" s="1680">
        <v>4120</v>
      </c>
      <c r="B510" s="1513" t="s">
        <v>758</v>
      </c>
      <c r="C510" s="1457"/>
      <c r="D510" s="1457">
        <f t="shared" si="145"/>
        <v>3090</v>
      </c>
      <c r="E510" s="1514">
        <v>4400</v>
      </c>
      <c r="F510" s="1457">
        <f t="shared" si="146"/>
        <v>4400</v>
      </c>
      <c r="G510" s="1499"/>
      <c r="H510" s="1499">
        <f t="shared" si="142"/>
        <v>142.39482200647248</v>
      </c>
      <c r="I510" s="1450"/>
      <c r="J510" s="1461">
        <v>3090</v>
      </c>
      <c r="K510" s="1457">
        <v>4400</v>
      </c>
      <c r="L510" s="1457"/>
      <c r="M510" s="1457"/>
      <c r="N510" s="1457"/>
      <c r="O510" s="1457"/>
      <c r="P510" s="1462">
        <f t="shared" si="149"/>
        <v>4400</v>
      </c>
      <c r="Q510" s="1495"/>
      <c r="R510" s="1461"/>
      <c r="S510" s="1457"/>
      <c r="T510" s="1457"/>
      <c r="U510" s="1457"/>
      <c r="V510" s="1457"/>
      <c r="W510" s="1462"/>
      <c r="X510" s="1496"/>
      <c r="Y510" s="1444"/>
    </row>
    <row r="511" spans="1:25" ht="12.75">
      <c r="A511" s="1680">
        <v>4140</v>
      </c>
      <c r="B511" s="1513" t="s">
        <v>722</v>
      </c>
      <c r="C511" s="1457"/>
      <c r="D511" s="1457">
        <f t="shared" si="145"/>
        <v>300</v>
      </c>
      <c r="E511" s="1514">
        <v>1400</v>
      </c>
      <c r="F511" s="1457">
        <f t="shared" si="146"/>
        <v>1400</v>
      </c>
      <c r="G511" s="1499"/>
      <c r="H511" s="1499">
        <f t="shared" si="142"/>
        <v>466.6666666666667</v>
      </c>
      <c r="I511" s="1450"/>
      <c r="J511" s="1461">
        <v>300</v>
      </c>
      <c r="K511" s="1457">
        <v>1400</v>
      </c>
      <c r="L511" s="1457"/>
      <c r="M511" s="1457"/>
      <c r="N511" s="1457"/>
      <c r="O511" s="1457"/>
      <c r="P511" s="1462">
        <f t="shared" si="149"/>
        <v>1400</v>
      </c>
      <c r="Q511" s="1495"/>
      <c r="R511" s="1461"/>
      <c r="S511" s="1457"/>
      <c r="T511" s="1457"/>
      <c r="U511" s="1457"/>
      <c r="V511" s="1457"/>
      <c r="W511" s="1462"/>
      <c r="X511" s="1496"/>
      <c r="Y511" s="1444"/>
    </row>
    <row r="512" spans="1:25" ht="12.75">
      <c r="A512" s="1680">
        <v>4440</v>
      </c>
      <c r="B512" s="1513" t="s">
        <v>641</v>
      </c>
      <c r="C512" s="1457"/>
      <c r="D512" s="1457">
        <f t="shared" si="145"/>
        <v>10140</v>
      </c>
      <c r="E512" s="1549">
        <v>11400</v>
      </c>
      <c r="F512" s="1457">
        <f t="shared" si="146"/>
        <v>11400</v>
      </c>
      <c r="G512" s="1499"/>
      <c r="H512" s="1499">
        <f t="shared" si="142"/>
        <v>112.42603550295857</v>
      </c>
      <c r="I512" s="1450"/>
      <c r="J512" s="1461">
        <v>10140</v>
      </c>
      <c r="K512" s="1457">
        <v>11400</v>
      </c>
      <c r="L512" s="1457"/>
      <c r="M512" s="1457"/>
      <c r="N512" s="1457"/>
      <c r="O512" s="1457"/>
      <c r="P512" s="1462">
        <f t="shared" si="149"/>
        <v>11400</v>
      </c>
      <c r="Q512" s="1495"/>
      <c r="R512" s="1461"/>
      <c r="S512" s="1457"/>
      <c r="T512" s="1457"/>
      <c r="U512" s="1457"/>
      <c r="V512" s="1457"/>
      <c r="W512" s="1462"/>
      <c r="X512" s="1496"/>
      <c r="Y512" s="1444"/>
    </row>
    <row r="513" spans="1:28" s="581" customFormat="1" ht="12.75">
      <c r="A513" s="1682">
        <v>80104</v>
      </c>
      <c r="B513" s="1550" t="s">
        <v>900</v>
      </c>
      <c r="C513" s="1467">
        <f>SUM(C516:C525)</f>
        <v>9707600</v>
      </c>
      <c r="D513" s="1467">
        <f>SUM(D516:D525)</f>
        <v>9731251</v>
      </c>
      <c r="E513" s="1518">
        <f>SUM(E516:E525)</f>
        <v>10436000</v>
      </c>
      <c r="F513" s="1467">
        <f>F516+F518+F519+F520+F521+F522+F523+F524+F525</f>
        <v>9900000</v>
      </c>
      <c r="G513" s="1519">
        <f t="shared" si="140"/>
        <v>101.98195228480778</v>
      </c>
      <c r="H513" s="1519">
        <f t="shared" si="142"/>
        <v>101.7340935918722</v>
      </c>
      <c r="I513" s="1450"/>
      <c r="J513" s="1470">
        <f>SUM(J516:J525)</f>
        <v>9731251</v>
      </c>
      <c r="K513" s="1467">
        <f aca="true" t="shared" si="150" ref="K513:P513">K516+K518+K519+K520+K521+K522+K523+K524+K525</f>
        <v>9900000</v>
      </c>
      <c r="L513" s="1467">
        <f t="shared" si="150"/>
        <v>0</v>
      </c>
      <c r="M513" s="1467">
        <f t="shared" si="150"/>
        <v>0</v>
      </c>
      <c r="N513" s="1467">
        <f t="shared" si="150"/>
        <v>0</v>
      </c>
      <c r="O513" s="1467">
        <f t="shared" si="150"/>
        <v>0</v>
      </c>
      <c r="P513" s="1467">
        <f t="shared" si="150"/>
        <v>9900000</v>
      </c>
      <c r="Q513" s="1453">
        <f t="shared" si="137"/>
        <v>101.7340935918722</v>
      </c>
      <c r="R513" s="1470"/>
      <c r="S513" s="1467"/>
      <c r="T513" s="1467"/>
      <c r="U513" s="1467"/>
      <c r="V513" s="1467"/>
      <c r="W513" s="1471"/>
      <c r="X513" s="1454"/>
      <c r="Y513" s="1444"/>
      <c r="Z513" s="1444">
        <f>SUM(K520:K523)</f>
        <v>0</v>
      </c>
      <c r="AB513" s="1444">
        <f>Z513+AA513</f>
        <v>0</v>
      </c>
    </row>
    <row r="514" spans="1:25" s="581" customFormat="1" ht="13.5" hidden="1" thickBot="1">
      <c r="A514" s="1516"/>
      <c r="B514" s="1550"/>
      <c r="C514" s="1467"/>
      <c r="D514" s="1467"/>
      <c r="E514" s="1556"/>
      <c r="F514" s="1467"/>
      <c r="G514" s="1602" t="e">
        <f t="shared" si="140"/>
        <v>#DIV/0!</v>
      </c>
      <c r="H514" s="1603" t="e">
        <f t="shared" si="142"/>
        <v>#DIV/0!</v>
      </c>
      <c r="I514" s="1450"/>
      <c r="J514" s="1470"/>
      <c r="K514" s="1467"/>
      <c r="L514" s="1467"/>
      <c r="M514" s="1467"/>
      <c r="N514" s="1467"/>
      <c r="O514" s="1467"/>
      <c r="P514" s="1462">
        <f t="shared" si="149"/>
        <v>0</v>
      </c>
      <c r="Q514" s="1453"/>
      <c r="R514" s="1470"/>
      <c r="S514" s="1467"/>
      <c r="T514" s="1467"/>
      <c r="U514" s="1467"/>
      <c r="V514" s="1467"/>
      <c r="W514" s="1471"/>
      <c r="X514" s="1454"/>
      <c r="Y514" s="1444"/>
    </row>
    <row r="515" spans="1:25" ht="13.5" hidden="1" thickTop="1">
      <c r="A515" s="1497"/>
      <c r="B515" s="1513"/>
      <c r="C515" s="1457"/>
      <c r="D515" s="1457"/>
      <c r="E515" s="1514"/>
      <c r="F515" s="1457"/>
      <c r="G515" s="1474" t="e">
        <f t="shared" si="140"/>
        <v>#DIV/0!</v>
      </c>
      <c r="H515" s="1475" t="e">
        <f t="shared" si="142"/>
        <v>#DIV/0!</v>
      </c>
      <c r="I515" s="1450"/>
      <c r="J515" s="1461"/>
      <c r="K515" s="1457"/>
      <c r="L515" s="1457"/>
      <c r="M515" s="1457"/>
      <c r="N515" s="1457"/>
      <c r="O515" s="1457"/>
      <c r="P515" s="1462">
        <f t="shared" si="149"/>
        <v>0</v>
      </c>
      <c r="Q515" s="1495"/>
      <c r="R515" s="1461"/>
      <c r="S515" s="1457"/>
      <c r="T515" s="1457"/>
      <c r="U515" s="1457"/>
      <c r="V515" s="1457"/>
      <c r="W515" s="1462"/>
      <c r="X515" s="1496"/>
      <c r="Y515" s="1444"/>
    </row>
    <row r="516" spans="1:25" ht="24">
      <c r="A516" s="1680">
        <v>2510</v>
      </c>
      <c r="B516" s="1513" t="s">
        <v>739</v>
      </c>
      <c r="C516" s="1457">
        <v>9500000</v>
      </c>
      <c r="D516" s="1457">
        <f>J516+R516</f>
        <v>9711251</v>
      </c>
      <c r="E516" s="1514">
        <v>10436000</v>
      </c>
      <c r="F516" s="1457">
        <f>P516+W516</f>
        <v>9900000</v>
      </c>
      <c r="G516" s="1499">
        <f t="shared" si="140"/>
        <v>104.21052631578947</v>
      </c>
      <c r="H516" s="1499">
        <f t="shared" si="142"/>
        <v>101.94361159030902</v>
      </c>
      <c r="I516" s="1450"/>
      <c r="J516" s="1461">
        <v>9711251</v>
      </c>
      <c r="K516" s="1457">
        <f>10320000-20000-400000</f>
        <v>9900000</v>
      </c>
      <c r="L516" s="1457"/>
      <c r="M516" s="1457"/>
      <c r="N516" s="1457"/>
      <c r="O516" s="1457"/>
      <c r="P516" s="1462">
        <f>SUM(K516:N516)</f>
        <v>9900000</v>
      </c>
      <c r="Q516" s="1495">
        <f t="shared" si="137"/>
        <v>101.94361159030902</v>
      </c>
      <c r="R516" s="1461"/>
      <c r="S516" s="1457"/>
      <c r="T516" s="1457"/>
      <c r="U516" s="1457"/>
      <c r="V516" s="1457"/>
      <c r="W516" s="1462"/>
      <c r="X516" s="1496"/>
      <c r="Y516" s="1444"/>
    </row>
    <row r="517" spans="1:25" ht="24">
      <c r="A517" s="1680">
        <v>2510</v>
      </c>
      <c r="B517" s="1513" t="s">
        <v>901</v>
      </c>
      <c r="C517" s="1457"/>
      <c r="D517" s="1457">
        <f aca="true" t="shared" si="151" ref="D517:D525">J517+R517</f>
        <v>20000</v>
      </c>
      <c r="E517" s="1458"/>
      <c r="F517" s="1459"/>
      <c r="G517" s="1499"/>
      <c r="H517" s="1499">
        <f t="shared" si="142"/>
        <v>0</v>
      </c>
      <c r="I517" s="1450"/>
      <c r="J517" s="1461">
        <v>20000</v>
      </c>
      <c r="K517" s="1457"/>
      <c r="L517" s="1457"/>
      <c r="M517" s="1457"/>
      <c r="N517" s="1457"/>
      <c r="O517" s="1457"/>
      <c r="P517" s="1462"/>
      <c r="Q517" s="1495"/>
      <c r="R517" s="1461"/>
      <c r="S517" s="1457"/>
      <c r="T517" s="1457"/>
      <c r="U517" s="1457"/>
      <c r="V517" s="1457"/>
      <c r="W517" s="1462"/>
      <c r="X517" s="1496"/>
      <c r="Y517" s="1444"/>
    </row>
    <row r="518" spans="1:25" ht="36">
      <c r="A518" s="1551">
        <v>2540</v>
      </c>
      <c r="B518" s="1513" t="s">
        <v>899</v>
      </c>
      <c r="C518" s="1457">
        <v>67200</v>
      </c>
      <c r="D518" s="1457">
        <f t="shared" si="151"/>
        <v>0</v>
      </c>
      <c r="E518" s="1458"/>
      <c r="F518" s="1459">
        <f aca="true" t="shared" si="152" ref="F518:F525">P518+W518</f>
        <v>0</v>
      </c>
      <c r="G518" s="1499">
        <f t="shared" si="140"/>
        <v>0</v>
      </c>
      <c r="H518" s="1499"/>
      <c r="I518" s="1450"/>
      <c r="J518" s="1461"/>
      <c r="K518" s="1457"/>
      <c r="L518" s="1457"/>
      <c r="M518" s="1457"/>
      <c r="N518" s="1457"/>
      <c r="O518" s="1457"/>
      <c r="P518" s="1462">
        <f aca="true" t="shared" si="153" ref="P518:P525">SUM(K518:N518)</f>
        <v>0</v>
      </c>
      <c r="Q518" s="1495" t="e">
        <f t="shared" si="137"/>
        <v>#DIV/0!</v>
      </c>
      <c r="R518" s="1461"/>
      <c r="S518" s="1457"/>
      <c r="T518" s="1457"/>
      <c r="U518" s="1457"/>
      <c r="V518" s="1457"/>
      <c r="W518" s="1462"/>
      <c r="X518" s="1496"/>
      <c r="Y518" s="1444"/>
    </row>
    <row r="519" spans="1:25" ht="24">
      <c r="A519" s="1680">
        <v>3020</v>
      </c>
      <c r="B519" s="1513" t="s">
        <v>717</v>
      </c>
      <c r="C519" s="1457">
        <v>300</v>
      </c>
      <c r="D519" s="1457">
        <f t="shared" si="151"/>
        <v>0</v>
      </c>
      <c r="E519" s="1458"/>
      <c r="F519" s="1459">
        <f t="shared" si="152"/>
        <v>0</v>
      </c>
      <c r="G519" s="1499">
        <f t="shared" si="140"/>
        <v>0</v>
      </c>
      <c r="H519" s="1499"/>
      <c r="I519" s="1450"/>
      <c r="J519" s="1461"/>
      <c r="K519" s="1457"/>
      <c r="L519" s="1457"/>
      <c r="M519" s="1457"/>
      <c r="N519" s="1457"/>
      <c r="O519" s="1457"/>
      <c r="P519" s="1462">
        <f t="shared" si="153"/>
        <v>0</v>
      </c>
      <c r="Q519" s="1495" t="e">
        <f t="shared" si="137"/>
        <v>#DIV/0!</v>
      </c>
      <c r="R519" s="1461"/>
      <c r="S519" s="1457"/>
      <c r="T519" s="1457"/>
      <c r="U519" s="1457"/>
      <c r="V519" s="1457"/>
      <c r="W519" s="1462"/>
      <c r="X519" s="1496"/>
      <c r="Y519" s="1444"/>
    </row>
    <row r="520" spans="1:25" ht="24">
      <c r="A520" s="1680">
        <v>4010</v>
      </c>
      <c r="B520" s="1513" t="s">
        <v>626</v>
      </c>
      <c r="C520" s="1457">
        <v>102600</v>
      </c>
      <c r="D520" s="1457">
        <f t="shared" si="151"/>
        <v>0</v>
      </c>
      <c r="E520" s="1458"/>
      <c r="F520" s="1459">
        <f t="shared" si="152"/>
        <v>0</v>
      </c>
      <c r="G520" s="1499">
        <f t="shared" si="140"/>
        <v>0</v>
      </c>
      <c r="H520" s="1499"/>
      <c r="I520" s="1450"/>
      <c r="J520" s="1461"/>
      <c r="K520" s="1457"/>
      <c r="L520" s="1457"/>
      <c r="M520" s="1457"/>
      <c r="N520" s="1457"/>
      <c r="O520" s="1457"/>
      <c r="P520" s="1462">
        <f t="shared" si="153"/>
        <v>0</v>
      </c>
      <c r="Q520" s="1495" t="e">
        <f t="shared" si="137"/>
        <v>#DIV/0!</v>
      </c>
      <c r="R520" s="1461"/>
      <c r="S520" s="1457"/>
      <c r="T520" s="1457"/>
      <c r="U520" s="1457"/>
      <c r="V520" s="1457"/>
      <c r="W520" s="1462"/>
      <c r="X520" s="1496"/>
      <c r="Y520" s="1444"/>
    </row>
    <row r="521" spans="1:25" ht="12.75">
      <c r="A521" s="1680">
        <v>4040</v>
      </c>
      <c r="B521" s="1513" t="s">
        <v>719</v>
      </c>
      <c r="C521" s="1457">
        <v>6800</v>
      </c>
      <c r="D521" s="1457">
        <f t="shared" si="151"/>
        <v>0</v>
      </c>
      <c r="E521" s="1458"/>
      <c r="F521" s="1459">
        <f t="shared" si="152"/>
        <v>0</v>
      </c>
      <c r="G521" s="1499">
        <f t="shared" si="140"/>
        <v>0</v>
      </c>
      <c r="H521" s="1499"/>
      <c r="I521" s="1450"/>
      <c r="J521" s="1461"/>
      <c r="K521" s="1457"/>
      <c r="L521" s="1457"/>
      <c r="M521" s="1457"/>
      <c r="N521" s="1457"/>
      <c r="O521" s="1457"/>
      <c r="P521" s="1462">
        <f t="shared" si="153"/>
        <v>0</v>
      </c>
      <c r="Q521" s="1495" t="e">
        <f t="shared" si="137"/>
        <v>#DIV/0!</v>
      </c>
      <c r="R521" s="1461"/>
      <c r="S521" s="1457"/>
      <c r="T521" s="1457"/>
      <c r="U521" s="1457"/>
      <c r="V521" s="1457"/>
      <c r="W521" s="1462"/>
      <c r="X521" s="1496"/>
      <c r="Y521" s="1444"/>
    </row>
    <row r="522" spans="1:25" ht="12.75">
      <c r="A522" s="1680">
        <v>4110</v>
      </c>
      <c r="B522" s="1513" t="s">
        <v>568</v>
      </c>
      <c r="C522" s="1457">
        <v>20200</v>
      </c>
      <c r="D522" s="1457">
        <f t="shared" si="151"/>
        <v>0</v>
      </c>
      <c r="E522" s="1458"/>
      <c r="F522" s="1459">
        <f t="shared" si="152"/>
        <v>0</v>
      </c>
      <c r="G522" s="1499">
        <f t="shared" si="140"/>
        <v>0</v>
      </c>
      <c r="H522" s="1499"/>
      <c r="I522" s="1450"/>
      <c r="J522" s="1461"/>
      <c r="K522" s="1457"/>
      <c r="L522" s="1457"/>
      <c r="M522" s="1457"/>
      <c r="N522" s="1457"/>
      <c r="O522" s="1457"/>
      <c r="P522" s="1462">
        <f t="shared" si="153"/>
        <v>0</v>
      </c>
      <c r="Q522" s="1495" t="e">
        <f t="shared" si="137"/>
        <v>#DIV/0!</v>
      </c>
      <c r="R522" s="1461"/>
      <c r="S522" s="1457"/>
      <c r="T522" s="1457"/>
      <c r="U522" s="1457"/>
      <c r="V522" s="1457"/>
      <c r="W522" s="1462"/>
      <c r="X522" s="1496"/>
      <c r="Y522" s="1444"/>
    </row>
    <row r="523" spans="1:25" ht="12.75">
      <c r="A523" s="1680">
        <v>4120</v>
      </c>
      <c r="B523" s="1513" t="s">
        <v>758</v>
      </c>
      <c r="C523" s="1457">
        <v>2900</v>
      </c>
      <c r="D523" s="1457">
        <f t="shared" si="151"/>
        <v>0</v>
      </c>
      <c r="E523" s="1458"/>
      <c r="F523" s="1459">
        <f t="shared" si="152"/>
        <v>0</v>
      </c>
      <c r="G523" s="1499">
        <f t="shared" si="140"/>
        <v>0</v>
      </c>
      <c r="H523" s="1499"/>
      <c r="I523" s="1450"/>
      <c r="J523" s="1461"/>
      <c r="K523" s="1457"/>
      <c r="L523" s="1457"/>
      <c r="M523" s="1457"/>
      <c r="N523" s="1457"/>
      <c r="O523" s="1457"/>
      <c r="P523" s="1462">
        <f t="shared" si="153"/>
        <v>0</v>
      </c>
      <c r="Q523" s="1495" t="e">
        <f t="shared" si="137"/>
        <v>#DIV/0!</v>
      </c>
      <c r="R523" s="1461"/>
      <c r="S523" s="1457"/>
      <c r="T523" s="1457"/>
      <c r="U523" s="1457"/>
      <c r="V523" s="1457"/>
      <c r="W523" s="1462"/>
      <c r="X523" s="1496"/>
      <c r="Y523" s="1444"/>
    </row>
    <row r="524" spans="1:25" ht="12.75">
      <c r="A524" s="1680">
        <v>4140</v>
      </c>
      <c r="B524" s="1513" t="s">
        <v>722</v>
      </c>
      <c r="C524" s="1457">
        <v>300</v>
      </c>
      <c r="D524" s="1457">
        <f t="shared" si="151"/>
        <v>0</v>
      </c>
      <c r="E524" s="1458"/>
      <c r="F524" s="1459">
        <f t="shared" si="152"/>
        <v>0</v>
      </c>
      <c r="G524" s="1499">
        <f t="shared" si="140"/>
        <v>0</v>
      </c>
      <c r="H524" s="1499"/>
      <c r="I524" s="1450"/>
      <c r="J524" s="1461"/>
      <c r="K524" s="1457"/>
      <c r="L524" s="1457"/>
      <c r="M524" s="1457"/>
      <c r="N524" s="1457"/>
      <c r="O524" s="1457"/>
      <c r="P524" s="1462">
        <f t="shared" si="153"/>
        <v>0</v>
      </c>
      <c r="Q524" s="1495" t="e">
        <f t="shared" si="137"/>
        <v>#DIV/0!</v>
      </c>
      <c r="R524" s="1461"/>
      <c r="S524" s="1457"/>
      <c r="T524" s="1457"/>
      <c r="U524" s="1457"/>
      <c r="V524" s="1457"/>
      <c r="W524" s="1462"/>
      <c r="X524" s="1496"/>
      <c r="Y524" s="1444"/>
    </row>
    <row r="525" spans="1:25" ht="12.75">
      <c r="A525" s="1680">
        <v>4440</v>
      </c>
      <c r="B525" s="1513" t="s">
        <v>641</v>
      </c>
      <c r="C525" s="1457">
        <v>7300</v>
      </c>
      <c r="D525" s="1457">
        <f t="shared" si="151"/>
        <v>0</v>
      </c>
      <c r="E525" s="1458"/>
      <c r="F525" s="1459">
        <f t="shared" si="152"/>
        <v>0</v>
      </c>
      <c r="G525" s="1499">
        <f t="shared" si="140"/>
        <v>0</v>
      </c>
      <c r="H525" s="1499"/>
      <c r="I525" s="1450"/>
      <c r="J525" s="1461"/>
      <c r="K525" s="1457"/>
      <c r="L525" s="1457"/>
      <c r="M525" s="1457"/>
      <c r="N525" s="1457"/>
      <c r="O525" s="1457"/>
      <c r="P525" s="1462">
        <f t="shared" si="153"/>
        <v>0</v>
      </c>
      <c r="Q525" s="1495" t="e">
        <f t="shared" si="137"/>
        <v>#DIV/0!</v>
      </c>
      <c r="R525" s="1461"/>
      <c r="S525" s="1457"/>
      <c r="T525" s="1457"/>
      <c r="U525" s="1457"/>
      <c r="V525" s="1457"/>
      <c r="W525" s="1462"/>
      <c r="X525" s="1496"/>
      <c r="Y525" s="1444"/>
    </row>
    <row r="526" spans="1:28" ht="12.75">
      <c r="A526" s="1516">
        <v>80105</v>
      </c>
      <c r="B526" s="1550" t="s">
        <v>902</v>
      </c>
      <c r="C526" s="1467">
        <f>SUM(C527:C539)</f>
        <v>403800</v>
      </c>
      <c r="D526" s="1467">
        <f>SUM(D527:D539)</f>
        <v>396410</v>
      </c>
      <c r="E526" s="1468">
        <f>SUM(E527:E539)</f>
        <v>568400</v>
      </c>
      <c r="F526" s="1469">
        <f>SUM(F527:F539)</f>
        <v>466300</v>
      </c>
      <c r="G526" s="1531">
        <f t="shared" si="140"/>
        <v>115.47795938583457</v>
      </c>
      <c r="H526" s="1532">
        <f t="shared" si="142"/>
        <v>117.63073585429227</v>
      </c>
      <c r="I526" s="1450"/>
      <c r="J526" s="1470"/>
      <c r="K526" s="1467"/>
      <c r="L526" s="1467"/>
      <c r="M526" s="1467"/>
      <c r="N526" s="1467"/>
      <c r="O526" s="1467"/>
      <c r="P526" s="1471"/>
      <c r="Q526" s="1495"/>
      <c r="R526" s="1470">
        <f aca="true" t="shared" si="154" ref="R526:W526">SUM(R527:R539)</f>
        <v>396410</v>
      </c>
      <c r="S526" s="1467">
        <f t="shared" si="154"/>
        <v>464300</v>
      </c>
      <c r="T526" s="1467">
        <f t="shared" si="154"/>
        <v>0</v>
      </c>
      <c r="U526" s="1467">
        <f t="shared" si="154"/>
        <v>0</v>
      </c>
      <c r="V526" s="1467">
        <f t="shared" si="154"/>
        <v>2000</v>
      </c>
      <c r="W526" s="1471">
        <f t="shared" si="154"/>
        <v>466300</v>
      </c>
      <c r="X526" s="1454">
        <f>W526/R526*100</f>
        <v>117.63073585429227</v>
      </c>
      <c r="Y526" s="1444"/>
      <c r="Z526" s="1683"/>
      <c r="AA526" s="1673">
        <f>SUM(S528:S531)</f>
        <v>411000</v>
      </c>
      <c r="AB526" s="1673">
        <f>Z526+AA526</f>
        <v>411000</v>
      </c>
    </row>
    <row r="527" spans="1:25" ht="24">
      <c r="A527" s="1497">
        <v>3020</v>
      </c>
      <c r="B527" s="1513" t="s">
        <v>717</v>
      </c>
      <c r="C527" s="1457">
        <v>1500</v>
      </c>
      <c r="D527" s="1457">
        <f>J527+R527</f>
        <v>1500</v>
      </c>
      <c r="E527" s="1458">
        <v>1600</v>
      </c>
      <c r="F527" s="1459">
        <f>P527+W527</f>
        <v>1600</v>
      </c>
      <c r="G527" s="1499">
        <f t="shared" si="140"/>
        <v>106.66666666666667</v>
      </c>
      <c r="H527" s="1499">
        <f t="shared" si="142"/>
        <v>106.66666666666667</v>
      </c>
      <c r="I527" s="1450"/>
      <c r="J527" s="1461"/>
      <c r="K527" s="1457"/>
      <c r="L527" s="1457"/>
      <c r="M527" s="1457"/>
      <c r="N527" s="1457"/>
      <c r="O527" s="1457"/>
      <c r="P527" s="1462"/>
      <c r="Q527" s="1495"/>
      <c r="R527" s="1461">
        <v>1500</v>
      </c>
      <c r="S527" s="1457">
        <v>1600</v>
      </c>
      <c r="T527" s="1457"/>
      <c r="U527" s="1457"/>
      <c r="V527" s="1457"/>
      <c r="W527" s="1462">
        <f>SUM(S527:V527)</f>
        <v>1600</v>
      </c>
      <c r="X527" s="1496">
        <f aca="true" t="shared" si="155" ref="X527:X536">W527/R527*100</f>
        <v>106.66666666666667</v>
      </c>
      <c r="Y527" s="1444"/>
    </row>
    <row r="528" spans="1:25" ht="24">
      <c r="A528" s="1497">
        <v>4010</v>
      </c>
      <c r="B528" s="1513" t="s">
        <v>626</v>
      </c>
      <c r="C528" s="1457">
        <v>276800</v>
      </c>
      <c r="D528" s="1457">
        <f aca="true" t="shared" si="156" ref="D528:D539">J528+R528</f>
        <v>265750</v>
      </c>
      <c r="E528" s="1458">
        <v>374200</v>
      </c>
      <c r="F528" s="1459">
        <f aca="true" t="shared" si="157" ref="F528:F539">P528+W528</f>
        <v>320000</v>
      </c>
      <c r="G528" s="1499">
        <f aca="true" t="shared" si="158" ref="G528:G591">F528/C528*100</f>
        <v>115.60693641618498</v>
      </c>
      <c r="H528" s="1499">
        <f t="shared" si="142"/>
        <v>120.41392285983066</v>
      </c>
      <c r="I528" s="1450"/>
      <c r="J528" s="1461"/>
      <c r="K528" s="1457"/>
      <c r="L528" s="1457"/>
      <c r="M528" s="1457"/>
      <c r="N528" s="1457"/>
      <c r="O528" s="1457"/>
      <c r="P528" s="1462"/>
      <c r="Q528" s="1495"/>
      <c r="R528" s="1461">
        <v>265750</v>
      </c>
      <c r="S528" s="1457">
        <v>320000</v>
      </c>
      <c r="T528" s="1457"/>
      <c r="U528" s="1457"/>
      <c r="V528" s="1457"/>
      <c r="W528" s="1462">
        <f aca="true" t="shared" si="159" ref="W528:W539">SUM(S528:V528)</f>
        <v>320000</v>
      </c>
      <c r="X528" s="1496">
        <f t="shared" si="155"/>
        <v>120.41392285983066</v>
      </c>
      <c r="Y528" s="1444"/>
    </row>
    <row r="529" spans="1:25" ht="12.75">
      <c r="A529" s="1497">
        <v>4040</v>
      </c>
      <c r="B529" s="1513" t="s">
        <v>630</v>
      </c>
      <c r="C529" s="1457">
        <v>19500</v>
      </c>
      <c r="D529" s="1457">
        <f t="shared" si="156"/>
        <v>16930</v>
      </c>
      <c r="E529" s="1458">
        <v>22600</v>
      </c>
      <c r="F529" s="1459">
        <f t="shared" si="157"/>
        <v>22000</v>
      </c>
      <c r="G529" s="1499">
        <f t="shared" si="158"/>
        <v>112.82051282051282</v>
      </c>
      <c r="H529" s="1499">
        <f t="shared" si="142"/>
        <v>129.9468399291199</v>
      </c>
      <c r="I529" s="1450"/>
      <c r="J529" s="1461"/>
      <c r="K529" s="1457"/>
      <c r="L529" s="1457"/>
      <c r="M529" s="1457"/>
      <c r="N529" s="1457"/>
      <c r="O529" s="1457"/>
      <c r="P529" s="1462"/>
      <c r="Q529" s="1495"/>
      <c r="R529" s="1461">
        <v>16930</v>
      </c>
      <c r="S529" s="1457">
        <v>22000</v>
      </c>
      <c r="T529" s="1457"/>
      <c r="U529" s="1457"/>
      <c r="V529" s="1457"/>
      <c r="W529" s="1462">
        <f t="shared" si="159"/>
        <v>22000</v>
      </c>
      <c r="X529" s="1496">
        <f t="shared" si="155"/>
        <v>129.9468399291199</v>
      </c>
      <c r="Y529" s="1444"/>
    </row>
    <row r="530" spans="1:25" ht="12.75">
      <c r="A530" s="1497">
        <v>4110</v>
      </c>
      <c r="B530" s="1513" t="s">
        <v>568</v>
      </c>
      <c r="C530" s="1457">
        <v>50000</v>
      </c>
      <c r="D530" s="1457">
        <f t="shared" si="156"/>
        <v>45800</v>
      </c>
      <c r="E530" s="1458">
        <v>70300</v>
      </c>
      <c r="F530" s="1459">
        <f t="shared" si="157"/>
        <v>61000</v>
      </c>
      <c r="G530" s="1499">
        <f t="shared" si="158"/>
        <v>122</v>
      </c>
      <c r="H530" s="1499">
        <f t="shared" si="142"/>
        <v>133.1877729257642</v>
      </c>
      <c r="I530" s="1450"/>
      <c r="J530" s="1461"/>
      <c r="K530" s="1457"/>
      <c r="L530" s="1457"/>
      <c r="M530" s="1457"/>
      <c r="N530" s="1457"/>
      <c r="O530" s="1457"/>
      <c r="P530" s="1462"/>
      <c r="Q530" s="1495"/>
      <c r="R530" s="1461">
        <v>45800</v>
      </c>
      <c r="S530" s="1457">
        <v>61000</v>
      </c>
      <c r="T530" s="1457"/>
      <c r="U530" s="1457"/>
      <c r="V530" s="1457"/>
      <c r="W530" s="1462">
        <f t="shared" si="159"/>
        <v>61000</v>
      </c>
      <c r="X530" s="1496">
        <f t="shared" si="155"/>
        <v>133.1877729257642</v>
      </c>
      <c r="Y530" s="1444"/>
    </row>
    <row r="531" spans="1:25" ht="12.75">
      <c r="A531" s="1497">
        <v>4120</v>
      </c>
      <c r="B531" s="1513" t="s">
        <v>758</v>
      </c>
      <c r="C531" s="1457">
        <v>7000</v>
      </c>
      <c r="D531" s="1457">
        <f t="shared" si="156"/>
        <v>6400</v>
      </c>
      <c r="E531" s="1458">
        <v>9700</v>
      </c>
      <c r="F531" s="1459">
        <f t="shared" si="157"/>
        <v>8000</v>
      </c>
      <c r="G531" s="1499">
        <f t="shared" si="158"/>
        <v>114.28571428571428</v>
      </c>
      <c r="H531" s="1499">
        <f t="shared" si="142"/>
        <v>125</v>
      </c>
      <c r="I531" s="1450"/>
      <c r="J531" s="1461"/>
      <c r="K531" s="1457"/>
      <c r="L531" s="1457"/>
      <c r="M531" s="1457"/>
      <c r="N531" s="1457"/>
      <c r="O531" s="1457"/>
      <c r="P531" s="1462"/>
      <c r="Q531" s="1495"/>
      <c r="R531" s="1461">
        <v>6400</v>
      </c>
      <c r="S531" s="1457">
        <v>8000</v>
      </c>
      <c r="T531" s="1457"/>
      <c r="U531" s="1457"/>
      <c r="V531" s="1457"/>
      <c r="W531" s="1462">
        <f t="shared" si="159"/>
        <v>8000</v>
      </c>
      <c r="X531" s="1496">
        <f t="shared" si="155"/>
        <v>125</v>
      </c>
      <c r="Y531" s="1444"/>
    </row>
    <row r="532" spans="1:25" ht="12.75">
      <c r="A532" s="1497">
        <v>4210</v>
      </c>
      <c r="B532" s="1513" t="s">
        <v>560</v>
      </c>
      <c r="C532" s="1457">
        <v>8000</v>
      </c>
      <c r="D532" s="1457">
        <f t="shared" si="156"/>
        <v>10330</v>
      </c>
      <c r="E532" s="1458">
        <v>16200</v>
      </c>
      <c r="F532" s="1459">
        <f t="shared" si="157"/>
        <v>8000</v>
      </c>
      <c r="G532" s="1499">
        <f t="shared" si="158"/>
        <v>100</v>
      </c>
      <c r="H532" s="1499">
        <f t="shared" si="142"/>
        <v>77.44433688286544</v>
      </c>
      <c r="I532" s="1450"/>
      <c r="J532" s="1461"/>
      <c r="K532" s="1457"/>
      <c r="L532" s="1457"/>
      <c r="M532" s="1457"/>
      <c r="N532" s="1457"/>
      <c r="O532" s="1457"/>
      <c r="P532" s="1462"/>
      <c r="Q532" s="1495"/>
      <c r="R532" s="1461">
        <v>10330</v>
      </c>
      <c r="S532" s="1457">
        <v>8000</v>
      </c>
      <c r="T532" s="1457"/>
      <c r="U532" s="1457"/>
      <c r="V532" s="1457"/>
      <c r="W532" s="1462">
        <f t="shared" si="159"/>
        <v>8000</v>
      </c>
      <c r="X532" s="1496">
        <f t="shared" si="155"/>
        <v>77.44433688286544</v>
      </c>
      <c r="Y532" s="1444"/>
    </row>
    <row r="533" spans="1:25" ht="24">
      <c r="A533" s="1497">
        <v>4240</v>
      </c>
      <c r="B533" s="1513" t="s">
        <v>903</v>
      </c>
      <c r="C533" s="1457">
        <v>1600</v>
      </c>
      <c r="D533" s="1457">
        <f t="shared" si="156"/>
        <v>3200</v>
      </c>
      <c r="E533" s="1458">
        <v>13500</v>
      </c>
      <c r="F533" s="1459">
        <f t="shared" si="157"/>
        <v>1600</v>
      </c>
      <c r="G533" s="1499">
        <f t="shared" si="158"/>
        <v>100</v>
      </c>
      <c r="H533" s="1499">
        <f t="shared" si="142"/>
        <v>50</v>
      </c>
      <c r="I533" s="1450"/>
      <c r="J533" s="1461"/>
      <c r="K533" s="1457"/>
      <c r="L533" s="1457"/>
      <c r="M533" s="1457"/>
      <c r="N533" s="1457"/>
      <c r="O533" s="1457"/>
      <c r="P533" s="1462"/>
      <c r="Q533" s="1495"/>
      <c r="R533" s="1461">
        <v>3200</v>
      </c>
      <c r="S533" s="1457">
        <v>1600</v>
      </c>
      <c r="T533" s="1457"/>
      <c r="U533" s="1457"/>
      <c r="V533" s="1457"/>
      <c r="W533" s="1462">
        <f t="shared" si="159"/>
        <v>1600</v>
      </c>
      <c r="X533" s="1496">
        <f t="shared" si="155"/>
        <v>50</v>
      </c>
      <c r="Y533" s="1444"/>
    </row>
    <row r="534" spans="1:25" ht="12.75">
      <c r="A534" s="1497">
        <v>4260</v>
      </c>
      <c r="B534" s="1513" t="s">
        <v>575</v>
      </c>
      <c r="C534" s="1457">
        <v>19000</v>
      </c>
      <c r="D534" s="1457">
        <f t="shared" si="156"/>
        <v>19000</v>
      </c>
      <c r="E534" s="1458">
        <v>19500</v>
      </c>
      <c r="F534" s="1459">
        <f t="shared" si="157"/>
        <v>19000</v>
      </c>
      <c r="G534" s="1499">
        <f t="shared" si="158"/>
        <v>100</v>
      </c>
      <c r="H534" s="1499">
        <f t="shared" si="142"/>
        <v>100</v>
      </c>
      <c r="I534" s="1450"/>
      <c r="J534" s="1461"/>
      <c r="K534" s="1457"/>
      <c r="L534" s="1457"/>
      <c r="M534" s="1457"/>
      <c r="N534" s="1457"/>
      <c r="O534" s="1457"/>
      <c r="P534" s="1462"/>
      <c r="Q534" s="1495"/>
      <c r="R534" s="1461">
        <v>19000</v>
      </c>
      <c r="S534" s="1457">
        <v>19000</v>
      </c>
      <c r="T534" s="1457"/>
      <c r="U534" s="1457"/>
      <c r="V534" s="1457"/>
      <c r="W534" s="1462">
        <f t="shared" si="159"/>
        <v>19000</v>
      </c>
      <c r="X534" s="1496">
        <f t="shared" si="155"/>
        <v>100</v>
      </c>
      <c r="Y534" s="1444"/>
    </row>
    <row r="535" spans="1:25" ht="12.75">
      <c r="A535" s="1497">
        <v>4270</v>
      </c>
      <c r="B535" s="1513" t="s">
        <v>576</v>
      </c>
      <c r="C535" s="1457">
        <v>2000</v>
      </c>
      <c r="D535" s="1457">
        <f t="shared" si="156"/>
        <v>2000</v>
      </c>
      <c r="E535" s="1458">
        <v>2200</v>
      </c>
      <c r="F535" s="1459">
        <f t="shared" si="157"/>
        <v>2000</v>
      </c>
      <c r="G535" s="1499">
        <f t="shared" si="158"/>
        <v>100</v>
      </c>
      <c r="H535" s="1499">
        <f t="shared" si="142"/>
        <v>100</v>
      </c>
      <c r="I535" s="1450"/>
      <c r="J535" s="1461"/>
      <c r="K535" s="1457"/>
      <c r="L535" s="1457"/>
      <c r="M535" s="1457"/>
      <c r="N535" s="1457"/>
      <c r="O535" s="1457"/>
      <c r="P535" s="1462"/>
      <c r="Q535" s="1495"/>
      <c r="R535" s="1461">
        <v>2000</v>
      </c>
      <c r="S535" s="1457"/>
      <c r="T535" s="1457"/>
      <c r="U535" s="1457"/>
      <c r="V535" s="1457">
        <v>2000</v>
      </c>
      <c r="W535" s="1462">
        <f t="shared" si="159"/>
        <v>2000</v>
      </c>
      <c r="X535" s="1496">
        <f t="shared" si="155"/>
        <v>100</v>
      </c>
      <c r="Y535" s="1444"/>
    </row>
    <row r="536" spans="1:25" ht="12.75">
      <c r="A536" s="1497">
        <v>4280</v>
      </c>
      <c r="B536" s="1513" t="s">
        <v>723</v>
      </c>
      <c r="C536" s="1457">
        <v>800</v>
      </c>
      <c r="D536" s="1457">
        <f t="shared" si="156"/>
        <v>800</v>
      </c>
      <c r="E536" s="1458">
        <v>1400</v>
      </c>
      <c r="F536" s="1459">
        <f t="shared" si="157"/>
        <v>1400</v>
      </c>
      <c r="G536" s="1499">
        <f t="shared" si="158"/>
        <v>175</v>
      </c>
      <c r="H536" s="1499">
        <f t="shared" si="142"/>
        <v>175</v>
      </c>
      <c r="I536" s="1450"/>
      <c r="J536" s="1461"/>
      <c r="K536" s="1457"/>
      <c r="L536" s="1457"/>
      <c r="M536" s="1457"/>
      <c r="N536" s="1457"/>
      <c r="O536" s="1457"/>
      <c r="P536" s="1462"/>
      <c r="Q536" s="1495"/>
      <c r="R536" s="1461">
        <v>800</v>
      </c>
      <c r="S536" s="1457">
        <v>1400</v>
      </c>
      <c r="T536" s="1457"/>
      <c r="U536" s="1457"/>
      <c r="V536" s="1457"/>
      <c r="W536" s="1462">
        <f t="shared" si="159"/>
        <v>1400</v>
      </c>
      <c r="X536" s="1496">
        <f t="shared" si="155"/>
        <v>175</v>
      </c>
      <c r="Y536" s="1444"/>
    </row>
    <row r="537" spans="1:25" ht="13.5" customHeight="1">
      <c r="A537" s="1497">
        <v>4300</v>
      </c>
      <c r="B537" s="1513" t="s">
        <v>564</v>
      </c>
      <c r="C537" s="1457">
        <v>5000</v>
      </c>
      <c r="D537" s="1457">
        <f t="shared" si="156"/>
        <v>5000</v>
      </c>
      <c r="E537" s="1458">
        <v>6500</v>
      </c>
      <c r="F537" s="1459">
        <f t="shared" si="157"/>
        <v>5000</v>
      </c>
      <c r="G537" s="1499">
        <f t="shared" si="158"/>
        <v>100</v>
      </c>
      <c r="H537" s="1499">
        <f t="shared" si="142"/>
        <v>100</v>
      </c>
      <c r="I537" s="1450"/>
      <c r="J537" s="1461"/>
      <c r="K537" s="1457"/>
      <c r="L537" s="1457"/>
      <c r="M537" s="1457"/>
      <c r="N537" s="1457"/>
      <c r="O537" s="1457"/>
      <c r="P537" s="1462"/>
      <c r="Q537" s="1495"/>
      <c r="R537" s="1461">
        <v>5000</v>
      </c>
      <c r="S537" s="1457">
        <v>5000</v>
      </c>
      <c r="T537" s="1457"/>
      <c r="U537" s="1457"/>
      <c r="V537" s="1457"/>
      <c r="W537" s="1462">
        <f t="shared" si="159"/>
        <v>5000</v>
      </c>
      <c r="X537" s="1496">
        <f>W537/R537*100</f>
        <v>100</v>
      </c>
      <c r="Y537" s="1444"/>
    </row>
    <row r="538" spans="1:25" ht="12.75">
      <c r="A538" s="1497">
        <v>4440</v>
      </c>
      <c r="B538" s="1513" t="s">
        <v>641</v>
      </c>
      <c r="C538" s="1457">
        <v>12600</v>
      </c>
      <c r="D538" s="1457">
        <f t="shared" si="156"/>
        <v>12700</v>
      </c>
      <c r="E538" s="1458">
        <v>16700</v>
      </c>
      <c r="F538" s="1459">
        <f t="shared" si="157"/>
        <v>16700</v>
      </c>
      <c r="G538" s="1499">
        <f t="shared" si="158"/>
        <v>132.53968253968253</v>
      </c>
      <c r="H538" s="1499">
        <f t="shared" si="142"/>
        <v>131.49606299212599</v>
      </c>
      <c r="I538" s="1450"/>
      <c r="J538" s="1461"/>
      <c r="K538" s="1457"/>
      <c r="L538" s="1457"/>
      <c r="M538" s="1457"/>
      <c r="N538" s="1457"/>
      <c r="O538" s="1457"/>
      <c r="P538" s="1462"/>
      <c r="Q538" s="1495"/>
      <c r="R538" s="1461">
        <v>12700</v>
      </c>
      <c r="S538" s="1457">
        <v>16700</v>
      </c>
      <c r="T538" s="1457"/>
      <c r="U538" s="1457"/>
      <c r="V538" s="1457"/>
      <c r="W538" s="1462">
        <f t="shared" si="159"/>
        <v>16700</v>
      </c>
      <c r="X538" s="1496">
        <f>W538/R538*100</f>
        <v>131.49606299212599</v>
      </c>
      <c r="Y538" s="1444"/>
    </row>
    <row r="539" spans="1:25" ht="24">
      <c r="A539" s="1497">
        <v>6060</v>
      </c>
      <c r="B539" s="1513" t="s">
        <v>870</v>
      </c>
      <c r="C539" s="1457"/>
      <c r="D539" s="1457">
        <f t="shared" si="156"/>
        <v>7000</v>
      </c>
      <c r="E539" s="1458">
        <v>14000</v>
      </c>
      <c r="F539" s="1459">
        <f t="shared" si="157"/>
        <v>0</v>
      </c>
      <c r="G539" s="1499"/>
      <c r="H539" s="1499">
        <f t="shared" si="142"/>
        <v>0</v>
      </c>
      <c r="I539" s="1450"/>
      <c r="J539" s="1461"/>
      <c r="K539" s="1457"/>
      <c r="L539" s="1457"/>
      <c r="M539" s="1457"/>
      <c r="N539" s="1457"/>
      <c r="O539" s="1457"/>
      <c r="P539" s="1462"/>
      <c r="Q539" s="1495"/>
      <c r="R539" s="1461">
        <v>7000</v>
      </c>
      <c r="S539" s="1457"/>
      <c r="T539" s="1457"/>
      <c r="U539" s="1457"/>
      <c r="V539" s="1457"/>
      <c r="W539" s="1462">
        <f t="shared" si="159"/>
        <v>0</v>
      </c>
      <c r="X539" s="1496">
        <f>W539/R539*100</f>
        <v>0</v>
      </c>
      <c r="Y539" s="1444"/>
    </row>
    <row r="540" spans="1:28" s="581" customFormat="1" ht="12.75">
      <c r="A540" s="1516">
        <v>80110</v>
      </c>
      <c r="B540" s="1550" t="s">
        <v>224</v>
      </c>
      <c r="C540" s="1467">
        <f>SUM(C541:C560)</f>
        <v>17029300</v>
      </c>
      <c r="D540" s="1467">
        <f>SUM(D541:D560)</f>
        <v>17133174</v>
      </c>
      <c r="E540" s="1468">
        <f>SUM(E541:E560)</f>
        <v>18883500</v>
      </c>
      <c r="F540" s="1469">
        <f>SUM(F541:F560)</f>
        <v>17115000</v>
      </c>
      <c r="G540" s="1519">
        <f t="shared" si="158"/>
        <v>100.50325028039909</v>
      </c>
      <c r="H540" s="1519">
        <f t="shared" si="142"/>
        <v>99.89392508358345</v>
      </c>
      <c r="I540" s="1450"/>
      <c r="J540" s="1470">
        <f aca="true" t="shared" si="160" ref="J540:P540">SUM(J541:J560)</f>
        <v>17133174</v>
      </c>
      <c r="K540" s="1467">
        <f t="shared" si="160"/>
        <v>17047300</v>
      </c>
      <c r="L540" s="1467">
        <f t="shared" si="160"/>
        <v>24400</v>
      </c>
      <c r="M540" s="1467">
        <f t="shared" si="160"/>
        <v>0</v>
      </c>
      <c r="N540" s="1467">
        <f t="shared" si="160"/>
        <v>43300</v>
      </c>
      <c r="O540" s="1467"/>
      <c r="P540" s="1471">
        <f t="shared" si="160"/>
        <v>17115000</v>
      </c>
      <c r="Q540" s="1453">
        <f aca="true" t="shared" si="161" ref="Q540:Q561">P540/J540*100</f>
        <v>99.89392508358345</v>
      </c>
      <c r="R540" s="1470"/>
      <c r="S540" s="1467"/>
      <c r="T540" s="1467"/>
      <c r="U540" s="1467"/>
      <c r="V540" s="1467"/>
      <c r="W540" s="1471"/>
      <c r="X540" s="1454"/>
      <c r="Y540" s="1444"/>
      <c r="Z540" s="1444">
        <f>SUM(K543:K546)</f>
        <v>14299500</v>
      </c>
      <c r="AB540" s="1444">
        <f>Z540+AA540</f>
        <v>14299500</v>
      </c>
    </row>
    <row r="541" spans="1:25" ht="36">
      <c r="A541" s="1497">
        <v>2540</v>
      </c>
      <c r="B541" s="1513" t="s">
        <v>890</v>
      </c>
      <c r="C541" s="1457">
        <v>280000</v>
      </c>
      <c r="D541" s="1457">
        <f>J541+R541</f>
        <v>279770</v>
      </c>
      <c r="E541" s="1458">
        <v>284000</v>
      </c>
      <c r="F541" s="1459">
        <f>P541+W541</f>
        <v>284000</v>
      </c>
      <c r="G541" s="1499">
        <f t="shared" si="158"/>
        <v>101.42857142857142</v>
      </c>
      <c r="H541" s="1499">
        <f t="shared" si="142"/>
        <v>101.5119562497766</v>
      </c>
      <c r="I541" s="1450"/>
      <c r="J541" s="1461">
        <v>279770</v>
      </c>
      <c r="K541" s="1457">
        <v>284000</v>
      </c>
      <c r="L541" s="1457"/>
      <c r="M541" s="1457"/>
      <c r="N541" s="1457"/>
      <c r="O541" s="1457"/>
      <c r="P541" s="1462">
        <f>SUM(K541:N541)</f>
        <v>284000</v>
      </c>
      <c r="Q541" s="1495">
        <f t="shared" si="161"/>
        <v>101.5119562497766</v>
      </c>
      <c r="R541" s="1461"/>
      <c r="S541" s="1457"/>
      <c r="T541" s="1457"/>
      <c r="U541" s="1457"/>
      <c r="V541" s="1457"/>
      <c r="W541" s="1462"/>
      <c r="X541" s="1496"/>
      <c r="Y541" s="1444"/>
    </row>
    <row r="542" spans="1:25" ht="24">
      <c r="A542" s="1497">
        <v>3020</v>
      </c>
      <c r="B542" s="1513" t="s">
        <v>717</v>
      </c>
      <c r="C542" s="1457">
        <v>65200</v>
      </c>
      <c r="D542" s="1457">
        <f aca="true" t="shared" si="162" ref="D542:D560">J542+R542</f>
        <v>111780</v>
      </c>
      <c r="E542" s="1458">
        <v>85900</v>
      </c>
      <c r="F542" s="1459">
        <f aca="true" t="shared" si="163" ref="F542:F560">P542+W542</f>
        <v>59100</v>
      </c>
      <c r="G542" s="1499">
        <f t="shared" si="158"/>
        <v>90.6441717791411</v>
      </c>
      <c r="H542" s="1499">
        <f t="shared" si="142"/>
        <v>52.87171229200215</v>
      </c>
      <c r="I542" s="1450"/>
      <c r="J542" s="1461">
        <v>111780</v>
      </c>
      <c r="K542" s="1457">
        <v>59100</v>
      </c>
      <c r="L542" s="1457"/>
      <c r="M542" s="1457"/>
      <c r="N542" s="1457"/>
      <c r="O542" s="1457"/>
      <c r="P542" s="1462">
        <f aca="true" t="shared" si="164" ref="P542:P560">SUM(K542:N542)</f>
        <v>59100</v>
      </c>
      <c r="Q542" s="1495">
        <f t="shared" si="161"/>
        <v>52.87171229200215</v>
      </c>
      <c r="R542" s="1461"/>
      <c r="S542" s="1457"/>
      <c r="T542" s="1457"/>
      <c r="U542" s="1457"/>
      <c r="V542" s="1457"/>
      <c r="W542" s="1462"/>
      <c r="X542" s="1496"/>
      <c r="Y542" s="1444"/>
    </row>
    <row r="543" spans="1:25" ht="24">
      <c r="A543" s="1497">
        <v>4010</v>
      </c>
      <c r="B543" s="1513" t="s">
        <v>626</v>
      </c>
      <c r="C543" s="1457">
        <v>10925000</v>
      </c>
      <c r="D543" s="1457">
        <f t="shared" si="162"/>
        <v>10944947</v>
      </c>
      <c r="E543" s="1458">
        <v>11641800</v>
      </c>
      <c r="F543" s="1459">
        <f t="shared" si="163"/>
        <v>11050500</v>
      </c>
      <c r="G543" s="1499">
        <f t="shared" si="158"/>
        <v>101.1487414187643</v>
      </c>
      <c r="H543" s="1499">
        <f t="shared" si="142"/>
        <v>100.96439937077812</v>
      </c>
      <c r="I543" s="1450"/>
      <c r="J543" s="1461">
        <v>10944947</v>
      </c>
      <c r="K543" s="1457">
        <v>11050500</v>
      </c>
      <c r="L543" s="1457"/>
      <c r="M543" s="1457"/>
      <c r="N543" s="1457"/>
      <c r="O543" s="1457"/>
      <c r="P543" s="1462">
        <f t="shared" si="164"/>
        <v>11050500</v>
      </c>
      <c r="Q543" s="1495">
        <f t="shared" si="161"/>
        <v>100.96439937077812</v>
      </c>
      <c r="R543" s="1461"/>
      <c r="S543" s="1457"/>
      <c r="T543" s="1457"/>
      <c r="U543" s="1457"/>
      <c r="V543" s="1457"/>
      <c r="W543" s="1462"/>
      <c r="X543" s="1496"/>
      <c r="Y543" s="1444"/>
    </row>
    <row r="544" spans="1:25" ht="12.75">
      <c r="A544" s="1497">
        <v>4040</v>
      </c>
      <c r="B544" s="1513" t="s">
        <v>719</v>
      </c>
      <c r="C544" s="1457">
        <v>869000</v>
      </c>
      <c r="D544" s="1457">
        <f t="shared" si="162"/>
        <v>836527</v>
      </c>
      <c r="E544" s="1458">
        <v>903900</v>
      </c>
      <c r="F544" s="1459">
        <f t="shared" si="163"/>
        <v>900400</v>
      </c>
      <c r="G544" s="1499">
        <f t="shared" si="158"/>
        <v>103.6133486766398</v>
      </c>
      <c r="H544" s="1499">
        <f aca="true" t="shared" si="165" ref="H544:H607">F544/D544*100</f>
        <v>107.63549771854346</v>
      </c>
      <c r="I544" s="1450"/>
      <c r="J544" s="1461">
        <v>836527</v>
      </c>
      <c r="K544" s="1457">
        <v>900400</v>
      </c>
      <c r="L544" s="1457"/>
      <c r="M544" s="1457"/>
      <c r="N544" s="1457"/>
      <c r="O544" s="1457"/>
      <c r="P544" s="1462">
        <f t="shared" si="164"/>
        <v>900400</v>
      </c>
      <c r="Q544" s="1495">
        <f t="shared" si="161"/>
        <v>107.63549771854346</v>
      </c>
      <c r="R544" s="1461"/>
      <c r="S544" s="1457"/>
      <c r="T544" s="1457"/>
      <c r="U544" s="1457"/>
      <c r="V544" s="1457"/>
      <c r="W544" s="1462"/>
      <c r="X544" s="1496"/>
      <c r="Y544" s="1444"/>
    </row>
    <row r="545" spans="1:25" ht="12.75">
      <c r="A545" s="1497">
        <v>4110</v>
      </c>
      <c r="B545" s="1513" t="s">
        <v>568</v>
      </c>
      <c r="C545" s="1457">
        <v>2076000</v>
      </c>
      <c r="D545" s="1457">
        <f t="shared" si="162"/>
        <v>2043130</v>
      </c>
      <c r="E545" s="1458">
        <v>2241000</v>
      </c>
      <c r="F545" s="1459">
        <f t="shared" si="163"/>
        <v>2067000</v>
      </c>
      <c r="G545" s="1499">
        <f t="shared" si="158"/>
        <v>99.56647398843931</v>
      </c>
      <c r="H545" s="1499">
        <f t="shared" si="165"/>
        <v>101.16830549206364</v>
      </c>
      <c r="I545" s="1450"/>
      <c r="J545" s="1461">
        <v>2043130</v>
      </c>
      <c r="K545" s="1457">
        <v>2067000</v>
      </c>
      <c r="L545" s="1457"/>
      <c r="M545" s="1457"/>
      <c r="N545" s="1457"/>
      <c r="O545" s="1457"/>
      <c r="P545" s="1462">
        <f t="shared" si="164"/>
        <v>2067000</v>
      </c>
      <c r="Q545" s="1495">
        <f t="shared" si="161"/>
        <v>101.16830549206364</v>
      </c>
      <c r="R545" s="1461"/>
      <c r="S545" s="1457"/>
      <c r="T545" s="1457"/>
      <c r="U545" s="1457"/>
      <c r="V545" s="1457"/>
      <c r="W545" s="1462"/>
      <c r="X545" s="1496"/>
      <c r="Y545" s="1444"/>
    </row>
    <row r="546" spans="1:25" ht="12.75">
      <c r="A546" s="1497">
        <v>4120</v>
      </c>
      <c r="B546" s="1513" t="s">
        <v>758</v>
      </c>
      <c r="C546" s="1457">
        <v>271000</v>
      </c>
      <c r="D546" s="1457">
        <f t="shared" si="162"/>
        <v>277110</v>
      </c>
      <c r="E546" s="1458">
        <v>305000</v>
      </c>
      <c r="F546" s="1459">
        <f t="shared" si="163"/>
        <v>281600</v>
      </c>
      <c r="G546" s="1499">
        <f t="shared" si="158"/>
        <v>103.91143911439113</v>
      </c>
      <c r="H546" s="1499">
        <f t="shared" si="165"/>
        <v>101.6202951896359</v>
      </c>
      <c r="I546" s="1450"/>
      <c r="J546" s="1461">
        <v>277110</v>
      </c>
      <c r="K546" s="1457">
        <v>281600</v>
      </c>
      <c r="L546" s="1457"/>
      <c r="M546" s="1457"/>
      <c r="N546" s="1457"/>
      <c r="O546" s="1457"/>
      <c r="P546" s="1462">
        <f t="shared" si="164"/>
        <v>281600</v>
      </c>
      <c r="Q546" s="1495">
        <f t="shared" si="161"/>
        <v>101.6202951896359</v>
      </c>
      <c r="R546" s="1461"/>
      <c r="S546" s="1457"/>
      <c r="T546" s="1457"/>
      <c r="U546" s="1457"/>
      <c r="V546" s="1457"/>
      <c r="W546" s="1462"/>
      <c r="X546" s="1496"/>
      <c r="Y546" s="1444"/>
    </row>
    <row r="547" spans="1:25" ht="12.75">
      <c r="A547" s="1497">
        <v>4140</v>
      </c>
      <c r="B547" s="1513" t="s">
        <v>722</v>
      </c>
      <c r="C547" s="1457">
        <v>38000</v>
      </c>
      <c r="D547" s="1457">
        <f t="shared" si="162"/>
        <v>57988</v>
      </c>
      <c r="E547" s="1458">
        <v>65100</v>
      </c>
      <c r="F547" s="1459">
        <f t="shared" si="163"/>
        <v>52900</v>
      </c>
      <c r="G547" s="1499">
        <f t="shared" si="158"/>
        <v>139.21052631578948</v>
      </c>
      <c r="H547" s="1499">
        <f t="shared" si="165"/>
        <v>91.2257708491412</v>
      </c>
      <c r="I547" s="1450"/>
      <c r="J547" s="1461">
        <v>57988</v>
      </c>
      <c r="K547" s="1457">
        <v>52900</v>
      </c>
      <c r="L547" s="1457"/>
      <c r="M547" s="1457"/>
      <c r="N547" s="1457"/>
      <c r="O547" s="1457"/>
      <c r="P547" s="1462">
        <f t="shared" si="164"/>
        <v>52900</v>
      </c>
      <c r="Q547" s="1495">
        <f t="shared" si="161"/>
        <v>91.2257708491412</v>
      </c>
      <c r="R547" s="1461"/>
      <c r="S547" s="1457"/>
      <c r="T547" s="1457"/>
      <c r="U547" s="1457"/>
      <c r="V547" s="1457"/>
      <c r="W547" s="1462"/>
      <c r="X547" s="1496"/>
      <c r="Y547" s="1444"/>
    </row>
    <row r="548" spans="1:25" ht="12.75">
      <c r="A548" s="1497">
        <v>4210</v>
      </c>
      <c r="B548" s="1513" t="s">
        <v>560</v>
      </c>
      <c r="C548" s="1457">
        <v>289900</v>
      </c>
      <c r="D548" s="1457">
        <f t="shared" si="162"/>
        <v>327730</v>
      </c>
      <c r="E548" s="1458">
        <v>531200</v>
      </c>
      <c r="F548" s="1459">
        <f t="shared" si="163"/>
        <v>330500</v>
      </c>
      <c r="G548" s="1499">
        <f t="shared" si="158"/>
        <v>114.00482925146602</v>
      </c>
      <c r="H548" s="1499">
        <f t="shared" si="165"/>
        <v>100.84520794556495</v>
      </c>
      <c r="I548" s="1450"/>
      <c r="J548" s="1461">
        <v>327730</v>
      </c>
      <c r="K548" s="1457">
        <v>330500</v>
      </c>
      <c r="L548" s="1457"/>
      <c r="M548" s="1457"/>
      <c r="N548" s="1457"/>
      <c r="O548" s="1457"/>
      <c r="P548" s="1462">
        <f t="shared" si="164"/>
        <v>330500</v>
      </c>
      <c r="Q548" s="1495">
        <f t="shared" si="161"/>
        <v>100.84520794556495</v>
      </c>
      <c r="R548" s="1461"/>
      <c r="S548" s="1457"/>
      <c r="T548" s="1457"/>
      <c r="U548" s="1457"/>
      <c r="V548" s="1457"/>
      <c r="W548" s="1462"/>
      <c r="X548" s="1496"/>
      <c r="Y548" s="1444"/>
    </row>
    <row r="549" spans="1:25" ht="24">
      <c r="A549" s="1497">
        <v>4240</v>
      </c>
      <c r="B549" s="1513" t="s">
        <v>891</v>
      </c>
      <c r="C549" s="1457">
        <v>43700</v>
      </c>
      <c r="D549" s="1457">
        <f t="shared" si="162"/>
        <v>63700</v>
      </c>
      <c r="E549" s="1458">
        <v>133700</v>
      </c>
      <c r="F549" s="1459">
        <f t="shared" si="163"/>
        <v>37300</v>
      </c>
      <c r="G549" s="1499">
        <f t="shared" si="158"/>
        <v>85.35469107551488</v>
      </c>
      <c r="H549" s="1499">
        <f t="shared" si="165"/>
        <v>58.55572998430141</v>
      </c>
      <c r="I549" s="1450"/>
      <c r="J549" s="1461">
        <v>63700</v>
      </c>
      <c r="K549" s="1457">
        <v>37300</v>
      </c>
      <c r="L549" s="1457"/>
      <c r="M549" s="1457"/>
      <c r="N549" s="1457"/>
      <c r="O549" s="1457"/>
      <c r="P549" s="1462">
        <f t="shared" si="164"/>
        <v>37300</v>
      </c>
      <c r="Q549" s="1495">
        <f t="shared" si="161"/>
        <v>58.55572998430141</v>
      </c>
      <c r="R549" s="1461"/>
      <c r="S549" s="1457"/>
      <c r="T549" s="1457"/>
      <c r="U549" s="1457"/>
      <c r="V549" s="1457"/>
      <c r="W549" s="1462"/>
      <c r="X549" s="1496"/>
      <c r="Y549" s="1444"/>
    </row>
    <row r="550" spans="1:25" ht="12.75">
      <c r="A550" s="1497">
        <v>4260</v>
      </c>
      <c r="B550" s="1456" t="s">
        <v>575</v>
      </c>
      <c r="C550" s="1457">
        <v>950000</v>
      </c>
      <c r="D550" s="1457">
        <f t="shared" si="162"/>
        <v>882300</v>
      </c>
      <c r="E550" s="1458">
        <v>996900</v>
      </c>
      <c r="F550" s="1459">
        <f t="shared" si="163"/>
        <v>886400</v>
      </c>
      <c r="G550" s="1499">
        <f t="shared" si="158"/>
        <v>93.30526315789473</v>
      </c>
      <c r="H550" s="1499">
        <f t="shared" si="165"/>
        <v>100.46469454833957</v>
      </c>
      <c r="I550" s="1450"/>
      <c r="J550" s="1461">
        <v>882300</v>
      </c>
      <c r="K550" s="1457">
        <v>886400</v>
      </c>
      <c r="L550" s="1457"/>
      <c r="M550" s="1457"/>
      <c r="N550" s="1457"/>
      <c r="O550" s="1457"/>
      <c r="P550" s="1462">
        <f t="shared" si="164"/>
        <v>886400</v>
      </c>
      <c r="Q550" s="1495">
        <f t="shared" si="161"/>
        <v>100.46469454833957</v>
      </c>
      <c r="R550" s="1461"/>
      <c r="S550" s="1457"/>
      <c r="T550" s="1457"/>
      <c r="U550" s="1457"/>
      <c r="V550" s="1457"/>
      <c r="W550" s="1462"/>
      <c r="X550" s="1496"/>
      <c r="Y550" s="1444"/>
    </row>
    <row r="551" spans="1:25" ht="12.75">
      <c r="A551" s="1497">
        <v>4270</v>
      </c>
      <c r="B551" s="1513" t="s">
        <v>576</v>
      </c>
      <c r="C551" s="1457">
        <v>61900</v>
      </c>
      <c r="D551" s="1457">
        <f t="shared" si="162"/>
        <v>77983</v>
      </c>
      <c r="E551" s="1458">
        <v>104300</v>
      </c>
      <c r="F551" s="1459">
        <f t="shared" si="163"/>
        <v>43300</v>
      </c>
      <c r="G551" s="1499">
        <f t="shared" si="158"/>
        <v>69.95153473344104</v>
      </c>
      <c r="H551" s="1499">
        <f t="shared" si="165"/>
        <v>55.52492209840606</v>
      </c>
      <c r="I551" s="1450"/>
      <c r="J551" s="1461">
        <v>77983</v>
      </c>
      <c r="K551" s="1457"/>
      <c r="L551" s="1457"/>
      <c r="M551" s="1457"/>
      <c r="N551" s="1457">
        <v>43300</v>
      </c>
      <c r="O551" s="1457"/>
      <c r="P551" s="1462">
        <f t="shared" si="164"/>
        <v>43300</v>
      </c>
      <c r="Q551" s="1495">
        <f t="shared" si="161"/>
        <v>55.52492209840606</v>
      </c>
      <c r="R551" s="1461"/>
      <c r="S551" s="1457"/>
      <c r="T551" s="1457"/>
      <c r="U551" s="1457"/>
      <c r="V551" s="1457"/>
      <c r="W551" s="1462"/>
      <c r="X551" s="1496"/>
      <c r="Y551" s="1444"/>
    </row>
    <row r="552" spans="1:25" ht="12.75">
      <c r="A552" s="1497">
        <v>4280</v>
      </c>
      <c r="B552" s="1513" t="s">
        <v>723</v>
      </c>
      <c r="C552" s="1457">
        <v>12900</v>
      </c>
      <c r="D552" s="1457">
        <f t="shared" si="162"/>
        <v>12750</v>
      </c>
      <c r="E552" s="1458">
        <v>27800</v>
      </c>
      <c r="F552" s="1459">
        <f t="shared" si="163"/>
        <v>12800</v>
      </c>
      <c r="G552" s="1499">
        <f t="shared" si="158"/>
        <v>99.2248062015504</v>
      </c>
      <c r="H552" s="1499">
        <f t="shared" si="165"/>
        <v>100.3921568627451</v>
      </c>
      <c r="I552" s="1450"/>
      <c r="J552" s="1461">
        <v>12750</v>
      </c>
      <c r="K552" s="1457">
        <v>12800</v>
      </c>
      <c r="L552" s="1457"/>
      <c r="M552" s="1457"/>
      <c r="N552" s="1457"/>
      <c r="O552" s="1457"/>
      <c r="P552" s="1462">
        <f t="shared" si="164"/>
        <v>12800</v>
      </c>
      <c r="Q552" s="1495">
        <f t="shared" si="161"/>
        <v>100.3921568627451</v>
      </c>
      <c r="R552" s="1461"/>
      <c r="S552" s="1457"/>
      <c r="T552" s="1457"/>
      <c r="U552" s="1457"/>
      <c r="V552" s="1457"/>
      <c r="W552" s="1462"/>
      <c r="X552" s="1496"/>
      <c r="Y552" s="1444"/>
    </row>
    <row r="553" spans="1:25" ht="12.75">
      <c r="A553" s="1497">
        <v>4300</v>
      </c>
      <c r="B553" s="1513" t="s">
        <v>564</v>
      </c>
      <c r="C553" s="1457">
        <v>439300</v>
      </c>
      <c r="D553" s="1457">
        <f t="shared" si="162"/>
        <v>435902</v>
      </c>
      <c r="E553" s="1458">
        <v>463100</v>
      </c>
      <c r="F553" s="1459">
        <f t="shared" si="163"/>
        <v>370400</v>
      </c>
      <c r="G553" s="1499">
        <f t="shared" si="158"/>
        <v>84.31595720464375</v>
      </c>
      <c r="H553" s="1499">
        <f t="shared" si="165"/>
        <v>84.97322792737818</v>
      </c>
      <c r="I553" s="1450"/>
      <c r="J553" s="1461">
        <v>435902</v>
      </c>
      <c r="K553" s="1457">
        <v>370400</v>
      </c>
      <c r="L553" s="1457"/>
      <c r="M553" s="1457"/>
      <c r="N553" s="1457"/>
      <c r="O553" s="1457"/>
      <c r="P553" s="1462">
        <f t="shared" si="164"/>
        <v>370400</v>
      </c>
      <c r="Q553" s="1495">
        <f t="shared" si="161"/>
        <v>84.97322792737818</v>
      </c>
      <c r="R553" s="1461"/>
      <c r="S553" s="1457"/>
      <c r="T553" s="1457"/>
      <c r="U553" s="1457"/>
      <c r="V553" s="1457"/>
      <c r="W553" s="1462"/>
      <c r="X553" s="1496"/>
      <c r="Y553" s="1444"/>
    </row>
    <row r="554" spans="1:25" ht="12.75">
      <c r="A554" s="1497">
        <v>4350</v>
      </c>
      <c r="B554" s="1513" t="s">
        <v>820</v>
      </c>
      <c r="C554" s="1457"/>
      <c r="D554" s="1457">
        <f t="shared" si="162"/>
        <v>15990</v>
      </c>
      <c r="E554" s="1458">
        <v>11500</v>
      </c>
      <c r="F554" s="1459">
        <f t="shared" si="163"/>
        <v>10800</v>
      </c>
      <c r="G554" s="1499"/>
      <c r="H554" s="1499">
        <f t="shared" si="165"/>
        <v>67.54221388367729</v>
      </c>
      <c r="I554" s="1450"/>
      <c r="J554" s="1461">
        <v>15990</v>
      </c>
      <c r="K554" s="1457">
        <v>10800</v>
      </c>
      <c r="L554" s="1457"/>
      <c r="M554" s="1457"/>
      <c r="N554" s="1457"/>
      <c r="O554" s="1457"/>
      <c r="P554" s="1462">
        <f t="shared" si="164"/>
        <v>10800</v>
      </c>
      <c r="Q554" s="1495">
        <f t="shared" si="161"/>
        <v>67.54221388367729</v>
      </c>
      <c r="R554" s="1461"/>
      <c r="S554" s="1457"/>
      <c r="T554" s="1457"/>
      <c r="U554" s="1457"/>
      <c r="V554" s="1457"/>
      <c r="W554" s="1462"/>
      <c r="X554" s="1496"/>
      <c r="Y554" s="1444"/>
    </row>
    <row r="555" spans="1:25" ht="12.75">
      <c r="A555" s="1497">
        <v>4410</v>
      </c>
      <c r="B555" s="1513" t="s">
        <v>618</v>
      </c>
      <c r="C555" s="1457">
        <v>23000</v>
      </c>
      <c r="D555" s="1457">
        <f t="shared" si="162"/>
        <v>23900</v>
      </c>
      <c r="E555" s="1458">
        <v>39100</v>
      </c>
      <c r="F555" s="1459">
        <f t="shared" si="163"/>
        <v>24300</v>
      </c>
      <c r="G555" s="1499">
        <f t="shared" si="158"/>
        <v>105.65217391304347</v>
      </c>
      <c r="H555" s="1499">
        <f t="shared" si="165"/>
        <v>101.67364016736403</v>
      </c>
      <c r="I555" s="1450"/>
      <c r="J555" s="1461">
        <v>23900</v>
      </c>
      <c r="K555" s="1457">
        <v>24300</v>
      </c>
      <c r="L555" s="1457"/>
      <c r="M555" s="1457"/>
      <c r="N555" s="1457"/>
      <c r="O555" s="1457"/>
      <c r="P555" s="1462">
        <f t="shared" si="164"/>
        <v>24300</v>
      </c>
      <c r="Q555" s="1495">
        <f t="shared" si="161"/>
        <v>101.67364016736403</v>
      </c>
      <c r="R555" s="1461"/>
      <c r="S555" s="1457"/>
      <c r="T555" s="1457"/>
      <c r="U555" s="1457"/>
      <c r="V555" s="1457"/>
      <c r="W555" s="1462"/>
      <c r="X555" s="1496"/>
      <c r="Y555" s="1444"/>
    </row>
    <row r="556" spans="1:25" ht="12.75">
      <c r="A556" s="1497">
        <v>4420</v>
      </c>
      <c r="B556" s="1513" t="s">
        <v>736</v>
      </c>
      <c r="C556" s="1457">
        <v>2800</v>
      </c>
      <c r="D556" s="1457">
        <f t="shared" si="162"/>
        <v>700</v>
      </c>
      <c r="E556" s="1458">
        <v>7200</v>
      </c>
      <c r="F556" s="1459">
        <f t="shared" si="163"/>
        <v>2800</v>
      </c>
      <c r="G556" s="1499">
        <f t="shared" si="158"/>
        <v>100</v>
      </c>
      <c r="H556" s="1499">
        <f t="shared" si="165"/>
        <v>400</v>
      </c>
      <c r="I556" s="1450"/>
      <c r="J556" s="1461">
        <v>700</v>
      </c>
      <c r="K556" s="1457">
        <v>2800</v>
      </c>
      <c r="L556" s="1457"/>
      <c r="M556" s="1457"/>
      <c r="N556" s="1457"/>
      <c r="O556" s="1457"/>
      <c r="P556" s="1462">
        <f t="shared" si="164"/>
        <v>2800</v>
      </c>
      <c r="Q556" s="1495">
        <f t="shared" si="161"/>
        <v>400</v>
      </c>
      <c r="R556" s="1461"/>
      <c r="S556" s="1457"/>
      <c r="T556" s="1457"/>
      <c r="U556" s="1457"/>
      <c r="V556" s="1457"/>
      <c r="W556" s="1462"/>
      <c r="X556" s="1496"/>
      <c r="Y556" s="1444"/>
    </row>
    <row r="557" spans="1:25" ht="12.75" hidden="1">
      <c r="A557" s="1497">
        <v>4430</v>
      </c>
      <c r="B557" s="1513" t="s">
        <v>582</v>
      </c>
      <c r="C557" s="1457"/>
      <c r="D557" s="1457">
        <f t="shared" si="162"/>
        <v>0</v>
      </c>
      <c r="E557" s="1458"/>
      <c r="F557" s="1459">
        <f t="shared" si="163"/>
        <v>0</v>
      </c>
      <c r="G557" s="1499" t="e">
        <f t="shared" si="158"/>
        <v>#DIV/0!</v>
      </c>
      <c r="H557" s="1499" t="e">
        <f t="shared" si="165"/>
        <v>#DIV/0!</v>
      </c>
      <c r="I557" s="1450"/>
      <c r="J557" s="1461"/>
      <c r="K557" s="1457"/>
      <c r="L557" s="1457"/>
      <c r="M557" s="1457"/>
      <c r="N557" s="1457"/>
      <c r="O557" s="1457"/>
      <c r="P557" s="1462">
        <f t="shared" si="164"/>
        <v>0</v>
      </c>
      <c r="Q557" s="1495" t="e">
        <f t="shared" si="161"/>
        <v>#DIV/0!</v>
      </c>
      <c r="R557" s="1461"/>
      <c r="S557" s="1457"/>
      <c r="T557" s="1457"/>
      <c r="U557" s="1457"/>
      <c r="V557" s="1457"/>
      <c r="W557" s="1462"/>
      <c r="X557" s="1496"/>
      <c r="Y557" s="1444"/>
    </row>
    <row r="558" spans="1:25" ht="12.75">
      <c r="A558" s="1497">
        <v>4440</v>
      </c>
      <c r="B558" s="1513" t="s">
        <v>641</v>
      </c>
      <c r="C558" s="1457">
        <v>681600</v>
      </c>
      <c r="D558" s="1457">
        <f t="shared" si="162"/>
        <v>684500</v>
      </c>
      <c r="E558" s="1458">
        <v>676500</v>
      </c>
      <c r="F558" s="1459">
        <f t="shared" si="163"/>
        <v>676500</v>
      </c>
      <c r="G558" s="1499">
        <f t="shared" si="158"/>
        <v>99.25176056338029</v>
      </c>
      <c r="H558" s="1499">
        <f t="shared" si="165"/>
        <v>98.83126369612856</v>
      </c>
      <c r="I558" s="1450"/>
      <c r="J558" s="1461">
        <v>684500</v>
      </c>
      <c r="K558" s="1457">
        <v>676500</v>
      </c>
      <c r="L558" s="1457"/>
      <c r="M558" s="1457"/>
      <c r="N558" s="1457"/>
      <c r="O558" s="1457"/>
      <c r="P558" s="1462">
        <f t="shared" si="164"/>
        <v>676500</v>
      </c>
      <c r="Q558" s="1495">
        <f t="shared" si="161"/>
        <v>98.83126369612856</v>
      </c>
      <c r="R558" s="1461"/>
      <c r="S558" s="1457"/>
      <c r="T558" s="1457"/>
      <c r="U558" s="1457"/>
      <c r="V558" s="1457"/>
      <c r="W558" s="1462"/>
      <c r="X558" s="1496"/>
      <c r="Y558" s="1444"/>
    </row>
    <row r="559" spans="1:25" ht="24">
      <c r="A559" s="1497">
        <v>6050</v>
      </c>
      <c r="B559" s="1513" t="s">
        <v>892</v>
      </c>
      <c r="C559" s="1457">
        <v>0</v>
      </c>
      <c r="D559" s="1457">
        <f t="shared" si="162"/>
        <v>47000</v>
      </c>
      <c r="E559" s="1458">
        <v>288700</v>
      </c>
      <c r="F559" s="1459">
        <f t="shared" si="163"/>
        <v>24400</v>
      </c>
      <c r="G559" s="1499"/>
      <c r="H559" s="1499">
        <f t="shared" si="165"/>
        <v>51.91489361702127</v>
      </c>
      <c r="I559" s="1450"/>
      <c r="J559" s="1461">
        <v>47000</v>
      </c>
      <c r="K559" s="1457"/>
      <c r="L559" s="1457">
        <v>24400</v>
      </c>
      <c r="M559" s="1457"/>
      <c r="N559" s="1457"/>
      <c r="O559" s="1457"/>
      <c r="P559" s="1462">
        <f t="shared" si="164"/>
        <v>24400</v>
      </c>
      <c r="Q559" s="1495">
        <f t="shared" si="161"/>
        <v>51.91489361702127</v>
      </c>
      <c r="R559" s="1461"/>
      <c r="S559" s="1457"/>
      <c r="T559" s="1457"/>
      <c r="U559" s="1457"/>
      <c r="V559" s="1457"/>
      <c r="W559" s="1462"/>
      <c r="X559" s="1496"/>
      <c r="Y559" s="1444"/>
    </row>
    <row r="560" spans="1:25" ht="24">
      <c r="A560" s="1497">
        <v>6060</v>
      </c>
      <c r="B560" s="1513" t="s">
        <v>870</v>
      </c>
      <c r="C560" s="1457">
        <v>0</v>
      </c>
      <c r="D560" s="1457">
        <f t="shared" si="162"/>
        <v>9467</v>
      </c>
      <c r="E560" s="1458">
        <v>76800</v>
      </c>
      <c r="F560" s="1459">
        <f t="shared" si="163"/>
        <v>0</v>
      </c>
      <c r="G560" s="1499"/>
      <c r="H560" s="1499">
        <f t="shared" si="165"/>
        <v>0</v>
      </c>
      <c r="I560" s="1450"/>
      <c r="J560" s="1461">
        <v>9467</v>
      </c>
      <c r="K560" s="1457"/>
      <c r="L560" s="1457"/>
      <c r="M560" s="1457"/>
      <c r="N560" s="1457"/>
      <c r="O560" s="1457"/>
      <c r="P560" s="1462">
        <f t="shared" si="164"/>
        <v>0</v>
      </c>
      <c r="Q560" s="1495">
        <f t="shared" si="161"/>
        <v>0</v>
      </c>
      <c r="R560" s="1461"/>
      <c r="S560" s="1457"/>
      <c r="T560" s="1457"/>
      <c r="U560" s="1457"/>
      <c r="V560" s="1457"/>
      <c r="W560" s="1462"/>
      <c r="X560" s="1496"/>
      <c r="Y560" s="1444"/>
    </row>
    <row r="561" spans="1:28" s="581" customFormat="1" ht="12.75">
      <c r="A561" s="1516">
        <v>80111</v>
      </c>
      <c r="B561" s="1550" t="s">
        <v>904</v>
      </c>
      <c r="C561" s="1467">
        <f>SUM(C562:C580)</f>
        <v>1677300</v>
      </c>
      <c r="D561" s="1467">
        <f>SUM(D562:D580)</f>
        <v>1547653</v>
      </c>
      <c r="E561" s="1468">
        <f>SUM(E562:E580)</f>
        <v>2073700</v>
      </c>
      <c r="F561" s="1469">
        <f>SUM(F562:F580)</f>
        <v>1769500</v>
      </c>
      <c r="G561" s="1531">
        <f t="shared" si="158"/>
        <v>105.49692958922077</v>
      </c>
      <c r="H561" s="1532">
        <f t="shared" si="165"/>
        <v>114.33441475576242</v>
      </c>
      <c r="I561" s="1450"/>
      <c r="J561" s="1470"/>
      <c r="K561" s="1467"/>
      <c r="L561" s="1467"/>
      <c r="M561" s="1467"/>
      <c r="N561" s="1467"/>
      <c r="O561" s="1467"/>
      <c r="P561" s="1471"/>
      <c r="Q561" s="1495" t="e">
        <f t="shared" si="161"/>
        <v>#DIV/0!</v>
      </c>
      <c r="R561" s="1470">
        <f aca="true" t="shared" si="166" ref="R561:W561">SUM(R562:R580)</f>
        <v>1547653</v>
      </c>
      <c r="S561" s="1467">
        <f t="shared" si="166"/>
        <v>1764500</v>
      </c>
      <c r="T561" s="1467">
        <f t="shared" si="166"/>
        <v>0</v>
      </c>
      <c r="U561" s="1467">
        <f t="shared" si="166"/>
        <v>0</v>
      </c>
      <c r="V561" s="1467">
        <f t="shared" si="166"/>
        <v>5000</v>
      </c>
      <c r="W561" s="1471">
        <f t="shared" si="166"/>
        <v>1769500</v>
      </c>
      <c r="X561" s="1454">
        <f aca="true" t="shared" si="167" ref="X561:X624">W561/R561*100</f>
        <v>114.33441475576242</v>
      </c>
      <c r="Y561" s="1444"/>
      <c r="AA561" s="1444">
        <f>SUM(S563:S566)</f>
        <v>1513500</v>
      </c>
      <c r="AB561" s="1444">
        <f>Z561+AA561</f>
        <v>1513500</v>
      </c>
    </row>
    <row r="562" spans="1:25" ht="24">
      <c r="A562" s="1497">
        <v>3020</v>
      </c>
      <c r="B562" s="1513" t="s">
        <v>717</v>
      </c>
      <c r="C562" s="1457">
        <v>9100</v>
      </c>
      <c r="D562" s="1457">
        <f>J562+R562</f>
        <v>7100</v>
      </c>
      <c r="E562" s="1458">
        <v>10400</v>
      </c>
      <c r="F562" s="1459">
        <f>P562+W562</f>
        <v>10400</v>
      </c>
      <c r="G562" s="1499">
        <f t="shared" si="158"/>
        <v>114.28571428571428</v>
      </c>
      <c r="H562" s="1499">
        <f t="shared" si="165"/>
        <v>146.47887323943664</v>
      </c>
      <c r="I562" s="1450"/>
      <c r="J562" s="1461"/>
      <c r="K562" s="1457"/>
      <c r="L562" s="1457"/>
      <c r="M562" s="1457"/>
      <c r="N562" s="1457"/>
      <c r="O562" s="1457"/>
      <c r="P562" s="1462"/>
      <c r="Q562" s="1495"/>
      <c r="R562" s="1461">
        <v>7100</v>
      </c>
      <c r="S562" s="1457">
        <v>10400</v>
      </c>
      <c r="T562" s="1457"/>
      <c r="U562" s="1457"/>
      <c r="V562" s="1457"/>
      <c r="W562" s="1462">
        <f>SUM(S562:V562)</f>
        <v>10400</v>
      </c>
      <c r="X562" s="1496">
        <f t="shared" si="167"/>
        <v>146.47887323943664</v>
      </c>
      <c r="Y562" s="1444"/>
    </row>
    <row r="563" spans="1:25" ht="24">
      <c r="A563" s="1497">
        <v>4010</v>
      </c>
      <c r="B563" s="1513" t="s">
        <v>626</v>
      </c>
      <c r="C563" s="1457">
        <v>1101300</v>
      </c>
      <c r="D563" s="1457">
        <f aca="true" t="shared" si="168" ref="D563:D580">J563+R563</f>
        <v>1005710</v>
      </c>
      <c r="E563" s="1458">
        <v>1355200</v>
      </c>
      <c r="F563" s="1459">
        <f aca="true" t="shared" si="169" ref="F563:F580">P563+W563</f>
        <v>1182000</v>
      </c>
      <c r="G563" s="1499">
        <f t="shared" si="158"/>
        <v>107.327703622991</v>
      </c>
      <c r="H563" s="1499">
        <f t="shared" si="165"/>
        <v>117.52890992433207</v>
      </c>
      <c r="I563" s="1450"/>
      <c r="J563" s="1461"/>
      <c r="K563" s="1457"/>
      <c r="L563" s="1457"/>
      <c r="M563" s="1457"/>
      <c r="N563" s="1457"/>
      <c r="O563" s="1457"/>
      <c r="P563" s="1462"/>
      <c r="Q563" s="1495"/>
      <c r="R563" s="1461">
        <v>1005710</v>
      </c>
      <c r="S563" s="1457">
        <v>1182000</v>
      </c>
      <c r="T563" s="1457"/>
      <c r="U563" s="1457"/>
      <c r="V563" s="1457"/>
      <c r="W563" s="1462">
        <f aca="true" t="shared" si="170" ref="W563:W580">SUM(S563:V563)</f>
        <v>1182000</v>
      </c>
      <c r="X563" s="1496">
        <f t="shared" si="167"/>
        <v>117.52890992433207</v>
      </c>
      <c r="Y563" s="1444"/>
    </row>
    <row r="564" spans="1:25" ht="12.75">
      <c r="A564" s="1497">
        <v>4040</v>
      </c>
      <c r="B564" s="1513" t="s">
        <v>630</v>
      </c>
      <c r="C564" s="1457">
        <v>90000</v>
      </c>
      <c r="D564" s="1457">
        <f t="shared" si="168"/>
        <v>74183</v>
      </c>
      <c r="E564" s="1458">
        <v>80300</v>
      </c>
      <c r="F564" s="1459">
        <f t="shared" si="169"/>
        <v>75500</v>
      </c>
      <c r="G564" s="1499">
        <f t="shared" si="158"/>
        <v>83.88888888888889</v>
      </c>
      <c r="H564" s="1499">
        <f t="shared" si="165"/>
        <v>101.77533936346603</v>
      </c>
      <c r="I564" s="1450"/>
      <c r="J564" s="1461"/>
      <c r="K564" s="1457"/>
      <c r="L564" s="1457"/>
      <c r="M564" s="1457"/>
      <c r="N564" s="1457"/>
      <c r="O564" s="1457"/>
      <c r="P564" s="1462"/>
      <c r="Q564" s="1495"/>
      <c r="R564" s="1461">
        <v>74183</v>
      </c>
      <c r="S564" s="1457">
        <v>75500</v>
      </c>
      <c r="T564" s="1457"/>
      <c r="U564" s="1457"/>
      <c r="V564" s="1457"/>
      <c r="W564" s="1462">
        <f t="shared" si="170"/>
        <v>75500</v>
      </c>
      <c r="X564" s="1496">
        <f t="shared" si="167"/>
        <v>101.77533936346603</v>
      </c>
      <c r="Y564" s="1444"/>
    </row>
    <row r="565" spans="1:25" ht="12.75">
      <c r="A565" s="1497">
        <v>4110</v>
      </c>
      <c r="B565" s="1513" t="s">
        <v>568</v>
      </c>
      <c r="C565" s="1457">
        <v>204000</v>
      </c>
      <c r="D565" s="1457">
        <f t="shared" si="168"/>
        <v>179010</v>
      </c>
      <c r="E565" s="1458">
        <v>256000</v>
      </c>
      <c r="F565" s="1459">
        <f t="shared" si="169"/>
        <v>225000</v>
      </c>
      <c r="G565" s="1499">
        <f t="shared" si="158"/>
        <v>110.29411764705883</v>
      </c>
      <c r="H565" s="1499">
        <f t="shared" si="165"/>
        <v>125.69130216189039</v>
      </c>
      <c r="I565" s="1450"/>
      <c r="J565" s="1461"/>
      <c r="K565" s="1457"/>
      <c r="L565" s="1457"/>
      <c r="M565" s="1457"/>
      <c r="N565" s="1457"/>
      <c r="O565" s="1457"/>
      <c r="P565" s="1462"/>
      <c r="Q565" s="1495"/>
      <c r="R565" s="1461">
        <v>179010</v>
      </c>
      <c r="S565" s="1457">
        <v>225000</v>
      </c>
      <c r="T565" s="1457"/>
      <c r="U565" s="1457"/>
      <c r="V565" s="1457"/>
      <c r="W565" s="1462">
        <f t="shared" si="170"/>
        <v>225000</v>
      </c>
      <c r="X565" s="1496">
        <f t="shared" si="167"/>
        <v>125.69130216189039</v>
      </c>
      <c r="Y565" s="1444"/>
    </row>
    <row r="566" spans="1:25" ht="12.75">
      <c r="A566" s="1497">
        <v>4120</v>
      </c>
      <c r="B566" s="1513" t="s">
        <v>758</v>
      </c>
      <c r="C566" s="1457">
        <v>27500</v>
      </c>
      <c r="D566" s="1457">
        <f t="shared" si="168"/>
        <v>25020</v>
      </c>
      <c r="E566" s="1458">
        <v>35100</v>
      </c>
      <c r="F566" s="1459">
        <f t="shared" si="169"/>
        <v>31000</v>
      </c>
      <c r="G566" s="1499">
        <f t="shared" si="158"/>
        <v>112.72727272727272</v>
      </c>
      <c r="H566" s="1499">
        <f t="shared" si="165"/>
        <v>123.90087929656275</v>
      </c>
      <c r="I566" s="1450"/>
      <c r="J566" s="1461"/>
      <c r="K566" s="1457"/>
      <c r="L566" s="1457"/>
      <c r="M566" s="1457"/>
      <c r="N566" s="1457"/>
      <c r="O566" s="1457"/>
      <c r="P566" s="1462"/>
      <c r="Q566" s="1495"/>
      <c r="R566" s="1461">
        <v>25020</v>
      </c>
      <c r="S566" s="1457">
        <v>31000</v>
      </c>
      <c r="T566" s="1457"/>
      <c r="U566" s="1457"/>
      <c r="V566" s="1457"/>
      <c r="W566" s="1462">
        <f t="shared" si="170"/>
        <v>31000</v>
      </c>
      <c r="X566" s="1496">
        <f t="shared" si="167"/>
        <v>123.90087929656275</v>
      </c>
      <c r="Y566" s="1444"/>
    </row>
    <row r="567" spans="1:25" ht="12.75">
      <c r="A567" s="1497">
        <v>4140</v>
      </c>
      <c r="B567" s="1513" t="s">
        <v>722</v>
      </c>
      <c r="C567" s="1457">
        <v>3000</v>
      </c>
      <c r="D567" s="1457">
        <f t="shared" si="168"/>
        <v>1730</v>
      </c>
      <c r="E567" s="1458">
        <v>1900</v>
      </c>
      <c r="F567" s="1459">
        <f t="shared" si="169"/>
        <v>1900</v>
      </c>
      <c r="G567" s="1499">
        <f t="shared" si="158"/>
        <v>63.33333333333333</v>
      </c>
      <c r="H567" s="1499">
        <f t="shared" si="165"/>
        <v>109.82658959537572</v>
      </c>
      <c r="I567" s="1450"/>
      <c r="J567" s="1461"/>
      <c r="K567" s="1457"/>
      <c r="L567" s="1457"/>
      <c r="M567" s="1457"/>
      <c r="N567" s="1457"/>
      <c r="O567" s="1457"/>
      <c r="P567" s="1462"/>
      <c r="Q567" s="1495"/>
      <c r="R567" s="1461">
        <v>1730</v>
      </c>
      <c r="S567" s="1457">
        <v>1900</v>
      </c>
      <c r="T567" s="1457"/>
      <c r="U567" s="1457"/>
      <c r="V567" s="1457"/>
      <c r="W567" s="1462">
        <f t="shared" si="170"/>
        <v>1900</v>
      </c>
      <c r="X567" s="1496">
        <f t="shared" si="167"/>
        <v>109.82658959537572</v>
      </c>
      <c r="Y567" s="1444"/>
    </row>
    <row r="568" spans="1:25" ht="12.75" hidden="1">
      <c r="A568" s="1497">
        <v>4170</v>
      </c>
      <c r="B568" s="1513" t="s">
        <v>572</v>
      </c>
      <c r="C568" s="1457"/>
      <c r="D568" s="1457">
        <f t="shared" si="168"/>
        <v>0</v>
      </c>
      <c r="E568" s="1458">
        <v>1000</v>
      </c>
      <c r="F568" s="1459">
        <f t="shared" si="169"/>
        <v>0</v>
      </c>
      <c r="G568" s="1499"/>
      <c r="H568" s="1499"/>
      <c r="I568" s="1450"/>
      <c r="J568" s="1461"/>
      <c r="K568" s="1457"/>
      <c r="L568" s="1457"/>
      <c r="M568" s="1457"/>
      <c r="N568" s="1457"/>
      <c r="O568" s="1457"/>
      <c r="P568" s="1462"/>
      <c r="Q568" s="1495"/>
      <c r="R568" s="1461"/>
      <c r="S568" s="1457"/>
      <c r="T568" s="1457"/>
      <c r="U568" s="1457"/>
      <c r="V568" s="1457"/>
      <c r="W568" s="1462"/>
      <c r="X568" s="1496"/>
      <c r="Y568" s="1444"/>
    </row>
    <row r="569" spans="1:25" ht="12.75">
      <c r="A569" s="1497">
        <v>4210</v>
      </c>
      <c r="B569" s="1513" t="s">
        <v>560</v>
      </c>
      <c r="C569" s="1457">
        <v>30900</v>
      </c>
      <c r="D569" s="1457">
        <f t="shared" si="168"/>
        <v>34400</v>
      </c>
      <c r="E569" s="1458">
        <v>41300</v>
      </c>
      <c r="F569" s="1459">
        <f t="shared" si="169"/>
        <v>24400</v>
      </c>
      <c r="G569" s="1499">
        <f t="shared" si="158"/>
        <v>78.96440129449837</v>
      </c>
      <c r="H569" s="1499">
        <f t="shared" si="165"/>
        <v>70.93023255813954</v>
      </c>
      <c r="I569" s="1450"/>
      <c r="J569" s="1461"/>
      <c r="K569" s="1457"/>
      <c r="L569" s="1457"/>
      <c r="M569" s="1457"/>
      <c r="N569" s="1457"/>
      <c r="O569" s="1457"/>
      <c r="P569" s="1462"/>
      <c r="Q569" s="1495"/>
      <c r="R569" s="1461">
        <v>34400</v>
      </c>
      <c r="S569" s="1457">
        <v>24400</v>
      </c>
      <c r="T569" s="1457"/>
      <c r="U569" s="1457"/>
      <c r="V569" s="1457"/>
      <c r="W569" s="1462">
        <f t="shared" si="170"/>
        <v>24400</v>
      </c>
      <c r="X569" s="1496">
        <f t="shared" si="167"/>
        <v>70.93023255813954</v>
      </c>
      <c r="Y569" s="1444"/>
    </row>
    <row r="570" spans="1:25" ht="24">
      <c r="A570" s="1497">
        <v>4240</v>
      </c>
      <c r="B570" s="1513" t="s">
        <v>903</v>
      </c>
      <c r="C570" s="1457">
        <v>5000</v>
      </c>
      <c r="D570" s="1457">
        <f t="shared" si="168"/>
        <v>5000</v>
      </c>
      <c r="E570" s="1458">
        <v>9800</v>
      </c>
      <c r="F570" s="1459">
        <f t="shared" si="169"/>
        <v>5500</v>
      </c>
      <c r="G570" s="1499">
        <f t="shared" si="158"/>
        <v>110.00000000000001</v>
      </c>
      <c r="H570" s="1499">
        <f t="shared" si="165"/>
        <v>110.00000000000001</v>
      </c>
      <c r="I570" s="1450"/>
      <c r="J570" s="1461"/>
      <c r="K570" s="1457"/>
      <c r="L570" s="1457"/>
      <c r="M570" s="1457"/>
      <c r="N570" s="1457"/>
      <c r="O570" s="1457"/>
      <c r="P570" s="1462"/>
      <c r="Q570" s="1495"/>
      <c r="R570" s="1461">
        <v>5000</v>
      </c>
      <c r="S570" s="1457">
        <v>5500</v>
      </c>
      <c r="T570" s="1457"/>
      <c r="U570" s="1457"/>
      <c r="V570" s="1457"/>
      <c r="W570" s="1462">
        <f t="shared" si="170"/>
        <v>5500</v>
      </c>
      <c r="X570" s="1496">
        <f t="shared" si="167"/>
        <v>110.00000000000001</v>
      </c>
      <c r="Y570" s="1444"/>
    </row>
    <row r="571" spans="1:25" ht="12.75">
      <c r="A571" s="1497">
        <v>4260</v>
      </c>
      <c r="B571" s="1513" t="s">
        <v>575</v>
      </c>
      <c r="C571" s="1457">
        <v>95600</v>
      </c>
      <c r="D571" s="1457">
        <f t="shared" si="168"/>
        <v>95600</v>
      </c>
      <c r="E571" s="1458">
        <v>101800</v>
      </c>
      <c r="F571" s="1459">
        <f t="shared" si="169"/>
        <v>89200</v>
      </c>
      <c r="G571" s="1499">
        <f t="shared" si="158"/>
        <v>93.30543933054393</v>
      </c>
      <c r="H571" s="1499">
        <f t="shared" si="165"/>
        <v>93.30543933054393</v>
      </c>
      <c r="I571" s="1450"/>
      <c r="J571" s="1461"/>
      <c r="K571" s="1457"/>
      <c r="L571" s="1457"/>
      <c r="M571" s="1457"/>
      <c r="N571" s="1457"/>
      <c r="O571" s="1457"/>
      <c r="P571" s="1462"/>
      <c r="Q571" s="1495"/>
      <c r="R571" s="1461">
        <v>95600</v>
      </c>
      <c r="S571" s="1457">
        <v>89200</v>
      </c>
      <c r="T571" s="1457"/>
      <c r="U571" s="1457"/>
      <c r="V571" s="1457"/>
      <c r="W571" s="1462">
        <f t="shared" si="170"/>
        <v>89200</v>
      </c>
      <c r="X571" s="1496">
        <f t="shared" si="167"/>
        <v>93.30543933054393</v>
      </c>
      <c r="Y571" s="1444"/>
    </row>
    <row r="572" spans="1:25" ht="12.75">
      <c r="A572" s="1497">
        <v>4270</v>
      </c>
      <c r="B572" s="1513" t="s">
        <v>576</v>
      </c>
      <c r="C572" s="1457">
        <v>5000</v>
      </c>
      <c r="D572" s="1457">
        <f t="shared" si="168"/>
        <v>4000</v>
      </c>
      <c r="E572" s="1458">
        <v>8700</v>
      </c>
      <c r="F572" s="1459">
        <f t="shared" si="169"/>
        <v>5000</v>
      </c>
      <c r="G572" s="1499">
        <f t="shared" si="158"/>
        <v>100</v>
      </c>
      <c r="H572" s="1499">
        <f t="shared" si="165"/>
        <v>125</v>
      </c>
      <c r="I572" s="1450"/>
      <c r="J572" s="1461"/>
      <c r="K572" s="1457"/>
      <c r="L572" s="1457"/>
      <c r="M572" s="1457"/>
      <c r="N572" s="1457"/>
      <c r="O572" s="1457"/>
      <c r="P572" s="1462"/>
      <c r="Q572" s="1495"/>
      <c r="R572" s="1461">
        <v>4000</v>
      </c>
      <c r="S572" s="1457"/>
      <c r="T572" s="1457"/>
      <c r="U572" s="1457"/>
      <c r="V572" s="1457">
        <v>5000</v>
      </c>
      <c r="W572" s="1462">
        <f t="shared" si="170"/>
        <v>5000</v>
      </c>
      <c r="X572" s="1496">
        <f t="shared" si="167"/>
        <v>125</v>
      </c>
      <c r="Y572" s="1444"/>
    </row>
    <row r="573" spans="1:25" ht="12.75">
      <c r="A573" s="1497">
        <v>4280</v>
      </c>
      <c r="B573" s="1513" t="s">
        <v>723</v>
      </c>
      <c r="C573" s="1457">
        <v>2000</v>
      </c>
      <c r="D573" s="1457">
        <f t="shared" si="168"/>
        <v>2100</v>
      </c>
      <c r="E573" s="1458">
        <v>2300</v>
      </c>
      <c r="F573" s="1459">
        <f t="shared" si="169"/>
        <v>2300</v>
      </c>
      <c r="G573" s="1499">
        <f t="shared" si="158"/>
        <v>114.99999999999999</v>
      </c>
      <c r="H573" s="1499">
        <f t="shared" si="165"/>
        <v>109.52380952380953</v>
      </c>
      <c r="I573" s="1450"/>
      <c r="J573" s="1461"/>
      <c r="K573" s="1457"/>
      <c r="L573" s="1457"/>
      <c r="M573" s="1457"/>
      <c r="N573" s="1457"/>
      <c r="O573" s="1457"/>
      <c r="P573" s="1462"/>
      <c r="Q573" s="1495"/>
      <c r="R573" s="1461">
        <v>2100</v>
      </c>
      <c r="S573" s="1457">
        <v>2300</v>
      </c>
      <c r="T573" s="1457"/>
      <c r="U573" s="1457"/>
      <c r="V573" s="1457"/>
      <c r="W573" s="1462">
        <f t="shared" si="170"/>
        <v>2300</v>
      </c>
      <c r="X573" s="1496">
        <f t="shared" si="167"/>
        <v>109.52380952380953</v>
      </c>
      <c r="Y573" s="1444"/>
    </row>
    <row r="574" spans="1:25" ht="12.75">
      <c r="A574" s="1497">
        <v>4300</v>
      </c>
      <c r="B574" s="1513" t="s">
        <v>564</v>
      </c>
      <c r="C574" s="1457">
        <v>45000</v>
      </c>
      <c r="D574" s="1457">
        <f t="shared" si="168"/>
        <v>48030</v>
      </c>
      <c r="E574" s="1458">
        <v>70200</v>
      </c>
      <c r="F574" s="1459">
        <f t="shared" si="169"/>
        <v>49200</v>
      </c>
      <c r="G574" s="1499">
        <f t="shared" si="158"/>
        <v>109.33333333333333</v>
      </c>
      <c r="H574" s="1499">
        <f t="shared" si="165"/>
        <v>102.43597751405372</v>
      </c>
      <c r="I574" s="1450"/>
      <c r="J574" s="1461"/>
      <c r="K574" s="1457"/>
      <c r="L574" s="1457"/>
      <c r="M574" s="1457"/>
      <c r="N574" s="1457"/>
      <c r="O574" s="1457"/>
      <c r="P574" s="1462"/>
      <c r="Q574" s="1495"/>
      <c r="R574" s="1461">
        <v>48030</v>
      </c>
      <c r="S574" s="1457">
        <v>49200</v>
      </c>
      <c r="T574" s="1457"/>
      <c r="U574" s="1457"/>
      <c r="V574" s="1457"/>
      <c r="W574" s="1462">
        <f t="shared" si="170"/>
        <v>49200</v>
      </c>
      <c r="X574" s="1496">
        <f t="shared" si="167"/>
        <v>102.43597751405372</v>
      </c>
      <c r="Y574" s="1444"/>
    </row>
    <row r="575" spans="1:25" ht="12.75">
      <c r="A575" s="1497">
        <v>4350</v>
      </c>
      <c r="B575" s="1513" t="s">
        <v>820</v>
      </c>
      <c r="C575" s="1457"/>
      <c r="D575" s="1457">
        <f t="shared" si="168"/>
        <v>1370</v>
      </c>
      <c r="E575" s="1458">
        <v>2200</v>
      </c>
      <c r="F575" s="1459">
        <f t="shared" si="169"/>
        <v>2200</v>
      </c>
      <c r="G575" s="1499"/>
      <c r="H575" s="1499">
        <f t="shared" si="165"/>
        <v>160.5839416058394</v>
      </c>
      <c r="I575" s="1450"/>
      <c r="J575" s="1461"/>
      <c r="K575" s="1457"/>
      <c r="L575" s="1457"/>
      <c r="M575" s="1457"/>
      <c r="N575" s="1457"/>
      <c r="O575" s="1457"/>
      <c r="P575" s="1462"/>
      <c r="Q575" s="1495"/>
      <c r="R575" s="1461">
        <v>1370</v>
      </c>
      <c r="S575" s="1457">
        <v>2200</v>
      </c>
      <c r="T575" s="1457"/>
      <c r="U575" s="1457"/>
      <c r="V575" s="1457"/>
      <c r="W575" s="1462">
        <f t="shared" si="170"/>
        <v>2200</v>
      </c>
      <c r="X575" s="1496">
        <f t="shared" si="167"/>
        <v>160.5839416058394</v>
      </c>
      <c r="Y575" s="1444"/>
    </row>
    <row r="576" spans="1:25" ht="12.75">
      <c r="A576" s="1497">
        <v>4410</v>
      </c>
      <c r="B576" s="1513" t="s">
        <v>618</v>
      </c>
      <c r="C576" s="1457">
        <v>1000</v>
      </c>
      <c r="D576" s="1457">
        <f t="shared" si="168"/>
        <v>1000</v>
      </c>
      <c r="E576" s="1458">
        <v>2100</v>
      </c>
      <c r="F576" s="1459">
        <f t="shared" si="169"/>
        <v>1000</v>
      </c>
      <c r="G576" s="1499">
        <f t="shared" si="158"/>
        <v>100</v>
      </c>
      <c r="H576" s="1499">
        <f t="shared" si="165"/>
        <v>100</v>
      </c>
      <c r="I576" s="1450"/>
      <c r="J576" s="1461"/>
      <c r="K576" s="1457"/>
      <c r="L576" s="1457"/>
      <c r="M576" s="1457"/>
      <c r="N576" s="1457"/>
      <c r="O576" s="1457"/>
      <c r="P576" s="1462"/>
      <c r="Q576" s="1495"/>
      <c r="R576" s="1461">
        <v>1000</v>
      </c>
      <c r="S576" s="1457">
        <v>1000</v>
      </c>
      <c r="T576" s="1457"/>
      <c r="U576" s="1457"/>
      <c r="V576" s="1457"/>
      <c r="W576" s="1462">
        <f t="shared" si="170"/>
        <v>1000</v>
      </c>
      <c r="X576" s="1496">
        <f t="shared" si="167"/>
        <v>100</v>
      </c>
      <c r="Y576" s="1444"/>
    </row>
    <row r="577" spans="1:25" ht="12.75" hidden="1">
      <c r="A577" s="1497">
        <v>4420</v>
      </c>
      <c r="B577" s="1513" t="s">
        <v>736</v>
      </c>
      <c r="C577" s="1457"/>
      <c r="D577" s="1457">
        <f t="shared" si="168"/>
        <v>0</v>
      </c>
      <c r="E577" s="1458">
        <v>500</v>
      </c>
      <c r="F577" s="1459">
        <f t="shared" si="169"/>
        <v>0</v>
      </c>
      <c r="G577" s="1499"/>
      <c r="H577" s="1499"/>
      <c r="I577" s="1450"/>
      <c r="J577" s="1461"/>
      <c r="K577" s="1457"/>
      <c r="L577" s="1457"/>
      <c r="M577" s="1457"/>
      <c r="N577" s="1457"/>
      <c r="O577" s="1457"/>
      <c r="P577" s="1462"/>
      <c r="Q577" s="1495"/>
      <c r="R577" s="1461"/>
      <c r="S577" s="1457"/>
      <c r="T577" s="1457"/>
      <c r="U577" s="1457"/>
      <c r="V577" s="1457"/>
      <c r="W577" s="1462">
        <f t="shared" si="170"/>
        <v>0</v>
      </c>
      <c r="X577" s="1496" t="e">
        <f t="shared" si="167"/>
        <v>#DIV/0!</v>
      </c>
      <c r="Y577" s="1444"/>
    </row>
    <row r="578" spans="1:25" ht="12.75">
      <c r="A578" s="1497">
        <v>4440</v>
      </c>
      <c r="B578" s="1513" t="s">
        <v>641</v>
      </c>
      <c r="C578" s="1457">
        <v>57900</v>
      </c>
      <c r="D578" s="1457">
        <f t="shared" si="168"/>
        <v>57400</v>
      </c>
      <c r="E578" s="1458">
        <v>64900</v>
      </c>
      <c r="F578" s="1459">
        <f t="shared" si="169"/>
        <v>64900</v>
      </c>
      <c r="G578" s="1499">
        <f t="shared" si="158"/>
        <v>112.08981001727116</v>
      </c>
      <c r="H578" s="1499">
        <f t="shared" si="165"/>
        <v>113.06620209059233</v>
      </c>
      <c r="I578" s="1450"/>
      <c r="J578" s="1461"/>
      <c r="K578" s="1457"/>
      <c r="L578" s="1457"/>
      <c r="M578" s="1457"/>
      <c r="N578" s="1457"/>
      <c r="O578" s="1457"/>
      <c r="P578" s="1462"/>
      <c r="Q578" s="1495"/>
      <c r="R578" s="1461">
        <v>57400</v>
      </c>
      <c r="S578" s="1457">
        <v>64900</v>
      </c>
      <c r="T578" s="1457"/>
      <c r="U578" s="1457"/>
      <c r="V578" s="1457"/>
      <c r="W578" s="1462">
        <f t="shared" si="170"/>
        <v>64900</v>
      </c>
      <c r="X578" s="1496"/>
      <c r="Y578" s="1444"/>
    </row>
    <row r="579" spans="1:25" ht="24" hidden="1">
      <c r="A579" s="1497">
        <v>6050</v>
      </c>
      <c r="B579" s="1513" t="s">
        <v>892</v>
      </c>
      <c r="C579" s="1457"/>
      <c r="D579" s="1457">
        <f t="shared" si="168"/>
        <v>0</v>
      </c>
      <c r="E579" s="1458">
        <v>20000</v>
      </c>
      <c r="F579" s="1459">
        <f t="shared" si="169"/>
        <v>0</v>
      </c>
      <c r="G579" s="1499"/>
      <c r="H579" s="1499"/>
      <c r="I579" s="1450"/>
      <c r="J579" s="1461"/>
      <c r="K579" s="1457"/>
      <c r="L579" s="1457"/>
      <c r="M579" s="1457"/>
      <c r="N579" s="1457"/>
      <c r="O579" s="1457"/>
      <c r="P579" s="1462"/>
      <c r="Q579" s="1495"/>
      <c r="R579" s="1461"/>
      <c r="S579" s="1457"/>
      <c r="T579" s="1457"/>
      <c r="U579" s="1457"/>
      <c r="V579" s="1457"/>
      <c r="W579" s="1462">
        <f t="shared" si="170"/>
        <v>0</v>
      </c>
      <c r="X579" s="1496"/>
      <c r="Y579" s="1444"/>
    </row>
    <row r="580" spans="1:25" ht="24">
      <c r="A580" s="1497">
        <v>6060</v>
      </c>
      <c r="B580" s="1513" t="s">
        <v>870</v>
      </c>
      <c r="C580" s="1457"/>
      <c r="D580" s="1457">
        <f t="shared" si="168"/>
        <v>6000</v>
      </c>
      <c r="E580" s="1458">
        <v>10000</v>
      </c>
      <c r="F580" s="1459">
        <f t="shared" si="169"/>
        <v>0</v>
      </c>
      <c r="G580" s="1499"/>
      <c r="H580" s="1499">
        <f t="shared" si="165"/>
        <v>0</v>
      </c>
      <c r="I580" s="1450"/>
      <c r="J580" s="1461"/>
      <c r="K580" s="1457"/>
      <c r="L580" s="1457"/>
      <c r="M580" s="1457"/>
      <c r="N580" s="1457"/>
      <c r="O580" s="1457"/>
      <c r="P580" s="1462"/>
      <c r="Q580" s="1495"/>
      <c r="R580" s="1461">
        <v>6000</v>
      </c>
      <c r="S580" s="1457"/>
      <c r="T580" s="1457"/>
      <c r="U580" s="1457"/>
      <c r="V580" s="1457"/>
      <c r="W580" s="1462">
        <f t="shared" si="170"/>
        <v>0</v>
      </c>
      <c r="X580" s="1496">
        <f t="shared" si="167"/>
        <v>0</v>
      </c>
      <c r="Y580" s="1444"/>
    </row>
    <row r="581" spans="1:28" s="581" customFormat="1" ht="12.75">
      <c r="A581" s="1516">
        <v>80120</v>
      </c>
      <c r="B581" s="1550" t="s">
        <v>905</v>
      </c>
      <c r="C581" s="1467">
        <f>SUM(C582:C601)</f>
        <v>11159100</v>
      </c>
      <c r="D581" s="1467">
        <f>SUM(D582:D601)</f>
        <v>11562154</v>
      </c>
      <c r="E581" s="1468">
        <f>SUM(E582:E601)</f>
        <v>14667300</v>
      </c>
      <c r="F581" s="1469">
        <f>SUM(F582:F601)</f>
        <v>12050900</v>
      </c>
      <c r="G581" s="1531">
        <f t="shared" si="158"/>
        <v>107.99168391716178</v>
      </c>
      <c r="H581" s="1532">
        <f t="shared" si="165"/>
        <v>104.22711892611014</v>
      </c>
      <c r="I581" s="1450"/>
      <c r="J581" s="1470"/>
      <c r="K581" s="1467"/>
      <c r="L581" s="1467"/>
      <c r="M581" s="1467"/>
      <c r="N581" s="1467"/>
      <c r="O581" s="1467"/>
      <c r="P581" s="1471"/>
      <c r="Q581" s="1495" t="e">
        <f>P581/J581*100</f>
        <v>#DIV/0!</v>
      </c>
      <c r="R581" s="1470">
        <f aca="true" t="shared" si="171" ref="R581:W581">SUM(R582:R601)</f>
        <v>11562154</v>
      </c>
      <c r="S581" s="1467">
        <f t="shared" si="171"/>
        <v>12021400</v>
      </c>
      <c r="T581" s="1467">
        <f t="shared" si="171"/>
        <v>0</v>
      </c>
      <c r="U581" s="1467">
        <f t="shared" si="171"/>
        <v>0</v>
      </c>
      <c r="V581" s="1467">
        <f t="shared" si="171"/>
        <v>29500</v>
      </c>
      <c r="W581" s="1471">
        <f t="shared" si="171"/>
        <v>12050900</v>
      </c>
      <c r="X581" s="1454">
        <f t="shared" si="167"/>
        <v>104.22711892611014</v>
      </c>
      <c r="Y581" s="1444"/>
      <c r="AA581" s="1684">
        <f>SUM(S585:S588)</f>
        <v>9283000</v>
      </c>
      <c r="AB581" s="1444">
        <f>Z581+AA581</f>
        <v>9283000</v>
      </c>
    </row>
    <row r="582" spans="1:25" ht="24">
      <c r="A582" s="1497">
        <v>2540</v>
      </c>
      <c r="B582" s="1513" t="s">
        <v>906</v>
      </c>
      <c r="C582" s="1457">
        <v>932000</v>
      </c>
      <c r="D582" s="1457">
        <f>J582+R582</f>
        <v>1252909</v>
      </c>
      <c r="E582" s="1458">
        <v>2500000</v>
      </c>
      <c r="F582" s="1459">
        <f>P582+W582</f>
        <v>1200000</v>
      </c>
      <c r="G582" s="1499">
        <f t="shared" si="158"/>
        <v>128.75536480686696</v>
      </c>
      <c r="H582" s="1499">
        <f t="shared" si="165"/>
        <v>95.77710751539018</v>
      </c>
      <c r="I582" s="1450"/>
      <c r="J582" s="1461"/>
      <c r="K582" s="1457"/>
      <c r="L582" s="1457"/>
      <c r="M582" s="1457"/>
      <c r="N582" s="1457"/>
      <c r="O582" s="1457"/>
      <c r="P582" s="1462"/>
      <c r="Q582" s="1495"/>
      <c r="R582" s="1461">
        <v>1252909</v>
      </c>
      <c r="S582" s="1457">
        <v>1200000</v>
      </c>
      <c r="T582" s="1457"/>
      <c r="U582" s="1457"/>
      <c r="V582" s="1457"/>
      <c r="W582" s="1462">
        <f aca="true" t="shared" si="172" ref="W582:W601">SUM(S582:V582)</f>
        <v>1200000</v>
      </c>
      <c r="X582" s="1496">
        <f t="shared" si="167"/>
        <v>95.77710751539018</v>
      </c>
      <c r="Y582" s="1444"/>
    </row>
    <row r="583" spans="1:25" ht="24">
      <c r="A583" s="1497">
        <v>3020</v>
      </c>
      <c r="B583" s="1513" t="s">
        <v>717</v>
      </c>
      <c r="C583" s="1457">
        <v>40700</v>
      </c>
      <c r="D583" s="1457">
        <f aca="true" t="shared" si="173" ref="D583:D601">J583+R583</f>
        <v>38700</v>
      </c>
      <c r="E583" s="1458">
        <v>42300</v>
      </c>
      <c r="F583" s="1459">
        <f aca="true" t="shared" si="174" ref="F583:F601">P583+W583</f>
        <v>42300</v>
      </c>
      <c r="G583" s="1499">
        <f t="shared" si="158"/>
        <v>103.93120393120394</v>
      </c>
      <c r="H583" s="1499">
        <f t="shared" si="165"/>
        <v>109.30232558139534</v>
      </c>
      <c r="I583" s="1450"/>
      <c r="J583" s="1461"/>
      <c r="K583" s="1457"/>
      <c r="L583" s="1457"/>
      <c r="M583" s="1457"/>
      <c r="N583" s="1457"/>
      <c r="O583" s="1457"/>
      <c r="P583" s="1462"/>
      <c r="Q583" s="1495"/>
      <c r="R583" s="1461">
        <v>38700</v>
      </c>
      <c r="S583" s="1457">
        <v>42300</v>
      </c>
      <c r="T583" s="1457"/>
      <c r="U583" s="1457"/>
      <c r="V583" s="1457"/>
      <c r="W583" s="1462">
        <f t="shared" si="172"/>
        <v>42300</v>
      </c>
      <c r="X583" s="1496">
        <f t="shared" si="167"/>
        <v>109.30232558139534</v>
      </c>
      <c r="Y583" s="1444"/>
    </row>
    <row r="584" spans="1:25" ht="24" hidden="1">
      <c r="A584" s="1497">
        <v>3030</v>
      </c>
      <c r="B584" s="1513" t="s">
        <v>624</v>
      </c>
      <c r="C584" s="1457"/>
      <c r="D584" s="1457">
        <f t="shared" si="173"/>
        <v>0</v>
      </c>
      <c r="E584" s="1458"/>
      <c r="F584" s="1459">
        <f t="shared" si="174"/>
        <v>0</v>
      </c>
      <c r="G584" s="1499" t="e">
        <f t="shared" si="158"/>
        <v>#DIV/0!</v>
      </c>
      <c r="H584" s="1499" t="e">
        <f t="shared" si="165"/>
        <v>#DIV/0!</v>
      </c>
      <c r="I584" s="1450"/>
      <c r="J584" s="1461"/>
      <c r="K584" s="1457"/>
      <c r="L584" s="1457"/>
      <c r="M584" s="1457"/>
      <c r="N584" s="1457"/>
      <c r="O584" s="1457"/>
      <c r="P584" s="1462">
        <f>SUM(K584:N584)</f>
        <v>0</v>
      </c>
      <c r="Q584" s="1495" t="e">
        <f>P584/J584*100</f>
        <v>#DIV/0!</v>
      </c>
      <c r="R584" s="1461"/>
      <c r="S584" s="1457"/>
      <c r="T584" s="1457"/>
      <c r="U584" s="1457"/>
      <c r="V584" s="1457"/>
      <c r="W584" s="1462">
        <f t="shared" si="172"/>
        <v>0</v>
      </c>
      <c r="X584" s="1496" t="e">
        <f t="shared" si="167"/>
        <v>#DIV/0!</v>
      </c>
      <c r="Y584" s="1444"/>
    </row>
    <row r="585" spans="1:25" ht="24">
      <c r="A585" s="1497">
        <v>4010</v>
      </c>
      <c r="B585" s="1513" t="s">
        <v>626</v>
      </c>
      <c r="C585" s="1457">
        <v>6660000</v>
      </c>
      <c r="D585" s="1457">
        <f t="shared" si="173"/>
        <v>6786097</v>
      </c>
      <c r="E585" s="1458">
        <v>7688400</v>
      </c>
      <c r="F585" s="1459">
        <f t="shared" si="174"/>
        <v>7150000</v>
      </c>
      <c r="G585" s="1499">
        <f t="shared" si="158"/>
        <v>107.35735735735736</v>
      </c>
      <c r="H585" s="1499">
        <f t="shared" si="165"/>
        <v>105.36247860883805</v>
      </c>
      <c r="I585" s="1450"/>
      <c r="J585" s="1461"/>
      <c r="K585" s="1457"/>
      <c r="L585" s="1457"/>
      <c r="M585" s="1457"/>
      <c r="N585" s="1457"/>
      <c r="O585" s="1457"/>
      <c r="P585" s="1462"/>
      <c r="Q585" s="1495"/>
      <c r="R585" s="1461">
        <v>6786097</v>
      </c>
      <c r="S585" s="1457">
        <v>7150000</v>
      </c>
      <c r="T585" s="1457"/>
      <c r="U585" s="1457"/>
      <c r="V585" s="1457"/>
      <c r="W585" s="1462">
        <f t="shared" si="172"/>
        <v>7150000</v>
      </c>
      <c r="X585" s="1496">
        <f t="shared" si="167"/>
        <v>105.36247860883805</v>
      </c>
      <c r="Y585" s="1444"/>
    </row>
    <row r="586" spans="1:25" ht="12.75">
      <c r="A586" s="1497">
        <v>4040</v>
      </c>
      <c r="B586" s="1513" t="s">
        <v>630</v>
      </c>
      <c r="C586" s="1457">
        <v>515500</v>
      </c>
      <c r="D586" s="1457">
        <f t="shared" si="173"/>
        <v>497788</v>
      </c>
      <c r="E586" s="1458">
        <v>567600</v>
      </c>
      <c r="F586" s="1459">
        <f t="shared" si="174"/>
        <v>565000</v>
      </c>
      <c r="G586" s="1499">
        <f t="shared" si="158"/>
        <v>109.60232783705142</v>
      </c>
      <c r="H586" s="1499">
        <f t="shared" si="165"/>
        <v>113.50213343833117</v>
      </c>
      <c r="I586" s="1450"/>
      <c r="J586" s="1461"/>
      <c r="K586" s="1457"/>
      <c r="L586" s="1457"/>
      <c r="M586" s="1457"/>
      <c r="N586" s="1457"/>
      <c r="O586" s="1457"/>
      <c r="P586" s="1462"/>
      <c r="Q586" s="1495"/>
      <c r="R586" s="1461">
        <v>497788</v>
      </c>
      <c r="S586" s="1457">
        <v>565000</v>
      </c>
      <c r="T586" s="1457"/>
      <c r="U586" s="1457"/>
      <c r="V586" s="1457"/>
      <c r="W586" s="1462">
        <f t="shared" si="172"/>
        <v>565000</v>
      </c>
      <c r="X586" s="1496">
        <f t="shared" si="167"/>
        <v>113.50213343833117</v>
      </c>
      <c r="Y586" s="1444"/>
    </row>
    <row r="587" spans="1:25" ht="12.75">
      <c r="A587" s="1497">
        <v>4110</v>
      </c>
      <c r="B587" s="1513" t="s">
        <v>568</v>
      </c>
      <c r="C587" s="1457">
        <v>1270000</v>
      </c>
      <c r="D587" s="1457">
        <f t="shared" si="173"/>
        <v>1225500</v>
      </c>
      <c r="E587" s="1458">
        <v>1480500</v>
      </c>
      <c r="F587" s="1459">
        <f t="shared" si="174"/>
        <v>1382000</v>
      </c>
      <c r="G587" s="1499">
        <f t="shared" si="158"/>
        <v>108.81889763779529</v>
      </c>
      <c r="H587" s="1499">
        <f t="shared" si="165"/>
        <v>112.77029783761729</v>
      </c>
      <c r="I587" s="1450"/>
      <c r="J587" s="1461"/>
      <c r="K587" s="1457"/>
      <c r="L587" s="1457"/>
      <c r="M587" s="1457"/>
      <c r="N587" s="1457"/>
      <c r="O587" s="1457"/>
      <c r="P587" s="1462"/>
      <c r="Q587" s="1495"/>
      <c r="R587" s="1461">
        <v>1225500</v>
      </c>
      <c r="S587" s="1457">
        <v>1382000</v>
      </c>
      <c r="T587" s="1457"/>
      <c r="U587" s="1457"/>
      <c r="V587" s="1457"/>
      <c r="W587" s="1462">
        <f t="shared" si="172"/>
        <v>1382000</v>
      </c>
      <c r="X587" s="1496">
        <f t="shared" si="167"/>
        <v>112.77029783761729</v>
      </c>
      <c r="Y587" s="1444"/>
    </row>
    <row r="588" spans="1:25" ht="12.75">
      <c r="A588" s="1497">
        <v>4120</v>
      </c>
      <c r="B588" s="1513" t="s">
        <v>758</v>
      </c>
      <c r="C588" s="1457">
        <v>169000</v>
      </c>
      <c r="D588" s="1457">
        <f t="shared" si="173"/>
        <v>167000</v>
      </c>
      <c r="E588" s="1458">
        <v>201700</v>
      </c>
      <c r="F588" s="1459">
        <f t="shared" si="174"/>
        <v>186000</v>
      </c>
      <c r="G588" s="1499">
        <f t="shared" si="158"/>
        <v>110.05917159763314</v>
      </c>
      <c r="H588" s="1499">
        <f t="shared" si="165"/>
        <v>111.37724550898203</v>
      </c>
      <c r="I588" s="1450"/>
      <c r="J588" s="1461"/>
      <c r="K588" s="1457"/>
      <c r="L588" s="1457"/>
      <c r="M588" s="1457"/>
      <c r="N588" s="1457"/>
      <c r="O588" s="1457"/>
      <c r="P588" s="1462"/>
      <c r="Q588" s="1495"/>
      <c r="R588" s="1461">
        <v>167000</v>
      </c>
      <c r="S588" s="1457">
        <v>186000</v>
      </c>
      <c r="T588" s="1457"/>
      <c r="U588" s="1457"/>
      <c r="V588" s="1457"/>
      <c r="W588" s="1462">
        <f t="shared" si="172"/>
        <v>186000</v>
      </c>
      <c r="X588" s="1496">
        <f t="shared" si="167"/>
        <v>111.37724550898203</v>
      </c>
      <c r="Y588" s="1444"/>
    </row>
    <row r="589" spans="1:25" ht="12.75">
      <c r="A589" s="1497">
        <v>4170</v>
      </c>
      <c r="B589" s="1513" t="s">
        <v>572</v>
      </c>
      <c r="C589" s="1457">
        <v>0</v>
      </c>
      <c r="D589" s="1457">
        <f t="shared" si="173"/>
        <v>2000</v>
      </c>
      <c r="E589" s="1458">
        <v>5000</v>
      </c>
      <c r="F589" s="1459">
        <f t="shared" si="174"/>
        <v>0</v>
      </c>
      <c r="G589" s="1499"/>
      <c r="H589" s="1499">
        <f t="shared" si="165"/>
        <v>0</v>
      </c>
      <c r="I589" s="1450"/>
      <c r="J589" s="1461"/>
      <c r="K589" s="1457"/>
      <c r="L589" s="1457"/>
      <c r="M589" s="1457"/>
      <c r="N589" s="1457"/>
      <c r="O589" s="1457"/>
      <c r="P589" s="1462"/>
      <c r="Q589" s="1495"/>
      <c r="R589" s="1461">
        <v>2000</v>
      </c>
      <c r="S589" s="1457"/>
      <c r="T589" s="1457"/>
      <c r="U589" s="1457"/>
      <c r="V589" s="1457"/>
      <c r="W589" s="1462">
        <f t="shared" si="172"/>
        <v>0</v>
      </c>
      <c r="X589" s="1496">
        <f t="shared" si="167"/>
        <v>0</v>
      </c>
      <c r="Y589" s="1444"/>
    </row>
    <row r="590" spans="1:25" ht="12.75">
      <c r="A590" s="1497">
        <v>4210</v>
      </c>
      <c r="B590" s="1513" t="s">
        <v>560</v>
      </c>
      <c r="C590" s="1457">
        <v>117000</v>
      </c>
      <c r="D590" s="1457">
        <f t="shared" si="173"/>
        <v>151100</v>
      </c>
      <c r="E590" s="1458">
        <v>343200</v>
      </c>
      <c r="F590" s="1459">
        <f t="shared" si="174"/>
        <v>153200</v>
      </c>
      <c r="G590" s="1499">
        <f t="shared" si="158"/>
        <v>130.94017094017093</v>
      </c>
      <c r="H590" s="1499">
        <f t="shared" si="165"/>
        <v>101.3898080741231</v>
      </c>
      <c r="I590" s="1450"/>
      <c r="J590" s="1461"/>
      <c r="K590" s="1457"/>
      <c r="L590" s="1457"/>
      <c r="M590" s="1457"/>
      <c r="N590" s="1457"/>
      <c r="O590" s="1457"/>
      <c r="P590" s="1462"/>
      <c r="Q590" s="1495"/>
      <c r="R590" s="1461">
        <v>151100</v>
      </c>
      <c r="S590" s="1457">
        <v>153200</v>
      </c>
      <c r="T590" s="1457"/>
      <c r="U590" s="1457"/>
      <c r="V590" s="1457"/>
      <c r="W590" s="1462">
        <f t="shared" si="172"/>
        <v>153200</v>
      </c>
      <c r="X590" s="1496">
        <f t="shared" si="167"/>
        <v>101.3898080741231</v>
      </c>
      <c r="Y590" s="1444"/>
    </row>
    <row r="591" spans="1:25" ht="24">
      <c r="A591" s="1497">
        <v>4240</v>
      </c>
      <c r="B591" s="1513" t="s">
        <v>897</v>
      </c>
      <c r="C591" s="1457">
        <v>70000</v>
      </c>
      <c r="D591" s="1457">
        <f t="shared" si="173"/>
        <v>94500</v>
      </c>
      <c r="E591" s="1458">
        <v>195600</v>
      </c>
      <c r="F591" s="1459">
        <f t="shared" si="174"/>
        <v>86200</v>
      </c>
      <c r="G591" s="1499">
        <f t="shared" si="158"/>
        <v>123.14285714285715</v>
      </c>
      <c r="H591" s="1499">
        <f t="shared" si="165"/>
        <v>91.21693121693121</v>
      </c>
      <c r="I591" s="1450"/>
      <c r="J591" s="1461"/>
      <c r="K591" s="1457"/>
      <c r="L591" s="1457"/>
      <c r="M591" s="1457"/>
      <c r="N591" s="1457"/>
      <c r="O591" s="1457"/>
      <c r="P591" s="1462"/>
      <c r="Q591" s="1495"/>
      <c r="R591" s="1461">
        <v>94500</v>
      </c>
      <c r="S591" s="1457">
        <v>86200</v>
      </c>
      <c r="T591" s="1457"/>
      <c r="U591" s="1457"/>
      <c r="V591" s="1457"/>
      <c r="W591" s="1462">
        <f t="shared" si="172"/>
        <v>86200</v>
      </c>
      <c r="X591" s="1496">
        <f t="shared" si="167"/>
        <v>91.21693121693121</v>
      </c>
      <c r="Y591" s="1444"/>
    </row>
    <row r="592" spans="1:25" ht="12.75">
      <c r="A592" s="1497">
        <v>4260</v>
      </c>
      <c r="B592" s="1513" t="s">
        <v>575</v>
      </c>
      <c r="C592" s="1457">
        <v>745000</v>
      </c>
      <c r="D592" s="1457">
        <f t="shared" si="173"/>
        <v>576000</v>
      </c>
      <c r="E592" s="1458">
        <v>757000</v>
      </c>
      <c r="F592" s="1459">
        <f t="shared" si="174"/>
        <v>618000</v>
      </c>
      <c r="G592" s="1499">
        <f aca="true" t="shared" si="175" ref="G592:G654">F592/C592*100</f>
        <v>82.95302013422818</v>
      </c>
      <c r="H592" s="1499">
        <f t="shared" si="165"/>
        <v>107.29166666666667</v>
      </c>
      <c r="I592" s="1450"/>
      <c r="J592" s="1461"/>
      <c r="K592" s="1457"/>
      <c r="L592" s="1457"/>
      <c r="M592" s="1457"/>
      <c r="N592" s="1457"/>
      <c r="O592" s="1457"/>
      <c r="P592" s="1462"/>
      <c r="Q592" s="1495"/>
      <c r="R592" s="1461">
        <v>576000</v>
      </c>
      <c r="S592" s="1457">
        <v>618000</v>
      </c>
      <c r="T592" s="1457"/>
      <c r="U592" s="1457"/>
      <c r="V592" s="1457"/>
      <c r="W592" s="1462">
        <f t="shared" si="172"/>
        <v>618000</v>
      </c>
      <c r="X592" s="1496">
        <f t="shared" si="167"/>
        <v>107.29166666666667</v>
      </c>
      <c r="Y592" s="1444"/>
    </row>
    <row r="593" spans="1:25" ht="12.75">
      <c r="A593" s="1497">
        <v>4270</v>
      </c>
      <c r="B593" s="1513" t="s">
        <v>576</v>
      </c>
      <c r="C593" s="1457">
        <v>36200</v>
      </c>
      <c r="D593" s="1457">
        <f t="shared" si="173"/>
        <v>80700</v>
      </c>
      <c r="E593" s="1458">
        <v>127200</v>
      </c>
      <c r="F593" s="1459">
        <f t="shared" si="174"/>
        <v>29500</v>
      </c>
      <c r="G593" s="1499">
        <f t="shared" si="175"/>
        <v>81.49171270718232</v>
      </c>
      <c r="H593" s="1499">
        <f t="shared" si="165"/>
        <v>36.55514250309789</v>
      </c>
      <c r="I593" s="1450"/>
      <c r="J593" s="1461"/>
      <c r="K593" s="1457"/>
      <c r="L593" s="1457"/>
      <c r="M593" s="1457"/>
      <c r="N593" s="1457"/>
      <c r="O593" s="1457"/>
      <c r="P593" s="1462"/>
      <c r="Q593" s="1495"/>
      <c r="R593" s="1461">
        <v>80700</v>
      </c>
      <c r="S593" s="1457"/>
      <c r="T593" s="1457"/>
      <c r="U593" s="1457"/>
      <c r="V593" s="1457">
        <v>29500</v>
      </c>
      <c r="W593" s="1462">
        <f t="shared" si="172"/>
        <v>29500</v>
      </c>
      <c r="X593" s="1496">
        <f t="shared" si="167"/>
        <v>36.55514250309789</v>
      </c>
      <c r="Y593" s="1444"/>
    </row>
    <row r="594" spans="1:25" ht="12.75">
      <c r="A594" s="1497">
        <v>4280</v>
      </c>
      <c r="B594" s="1513" t="s">
        <v>723</v>
      </c>
      <c r="C594" s="1457">
        <v>12100</v>
      </c>
      <c r="D594" s="1457">
        <f t="shared" si="173"/>
        <v>7800</v>
      </c>
      <c r="E594" s="1458">
        <v>9700</v>
      </c>
      <c r="F594" s="1459">
        <f t="shared" si="174"/>
        <v>9700</v>
      </c>
      <c r="G594" s="1499">
        <f t="shared" si="175"/>
        <v>80.16528925619835</v>
      </c>
      <c r="H594" s="1499">
        <f t="shared" si="165"/>
        <v>124.35897435897436</v>
      </c>
      <c r="I594" s="1450"/>
      <c r="J594" s="1461"/>
      <c r="K594" s="1457"/>
      <c r="L594" s="1457"/>
      <c r="M594" s="1457"/>
      <c r="N594" s="1457"/>
      <c r="O594" s="1457"/>
      <c r="P594" s="1462"/>
      <c r="Q594" s="1495"/>
      <c r="R594" s="1461">
        <v>7800</v>
      </c>
      <c r="S594" s="1457">
        <v>9700</v>
      </c>
      <c r="T594" s="1457"/>
      <c r="U594" s="1457"/>
      <c r="V594" s="1457"/>
      <c r="W594" s="1462">
        <f t="shared" si="172"/>
        <v>9700</v>
      </c>
      <c r="X594" s="1496">
        <f t="shared" si="167"/>
        <v>124.35897435897436</v>
      </c>
      <c r="Y594" s="1444"/>
    </row>
    <row r="595" spans="1:25" ht="12.75">
      <c r="A595" s="1497">
        <v>4300</v>
      </c>
      <c r="B595" s="1513" t="s">
        <v>564</v>
      </c>
      <c r="C595" s="1457">
        <v>185000</v>
      </c>
      <c r="D595" s="1457">
        <f t="shared" si="173"/>
        <v>195200</v>
      </c>
      <c r="E595" s="1458">
        <v>217300</v>
      </c>
      <c r="F595" s="1459">
        <f t="shared" si="174"/>
        <v>177800</v>
      </c>
      <c r="G595" s="1499">
        <f t="shared" si="175"/>
        <v>96.1081081081081</v>
      </c>
      <c r="H595" s="1499">
        <f t="shared" si="165"/>
        <v>91.0860655737705</v>
      </c>
      <c r="I595" s="1450"/>
      <c r="J595" s="1461"/>
      <c r="K595" s="1457"/>
      <c r="L595" s="1457"/>
      <c r="M595" s="1457"/>
      <c r="N595" s="1457"/>
      <c r="O595" s="1457"/>
      <c r="P595" s="1462"/>
      <c r="Q595" s="1495"/>
      <c r="R595" s="1461">
        <v>195200</v>
      </c>
      <c r="S595" s="1457">
        <v>177800</v>
      </c>
      <c r="T595" s="1457"/>
      <c r="U595" s="1457"/>
      <c r="V595" s="1457"/>
      <c r="W595" s="1462">
        <f t="shared" si="172"/>
        <v>177800</v>
      </c>
      <c r="X595" s="1496">
        <f t="shared" si="167"/>
        <v>91.0860655737705</v>
      </c>
      <c r="Y595" s="1444"/>
    </row>
    <row r="596" spans="1:25" ht="12.75">
      <c r="A596" s="1497">
        <v>4350</v>
      </c>
      <c r="B596" s="1513" t="s">
        <v>820</v>
      </c>
      <c r="C596" s="1457"/>
      <c r="D596" s="1457">
        <f t="shared" si="173"/>
        <v>8700</v>
      </c>
      <c r="E596" s="1458">
        <v>10100</v>
      </c>
      <c r="F596" s="1459">
        <f t="shared" si="174"/>
        <v>10100</v>
      </c>
      <c r="G596" s="1499"/>
      <c r="H596" s="1499">
        <f t="shared" si="165"/>
        <v>116.0919540229885</v>
      </c>
      <c r="I596" s="1450"/>
      <c r="J596" s="1461"/>
      <c r="K596" s="1457"/>
      <c r="L596" s="1457"/>
      <c r="M596" s="1457"/>
      <c r="N596" s="1457"/>
      <c r="O596" s="1457"/>
      <c r="P596" s="1462"/>
      <c r="Q596" s="1495"/>
      <c r="R596" s="1461">
        <v>8700</v>
      </c>
      <c r="S596" s="1457">
        <v>10100</v>
      </c>
      <c r="T596" s="1457"/>
      <c r="U596" s="1457"/>
      <c r="V596" s="1457"/>
      <c r="W596" s="1462">
        <f t="shared" si="172"/>
        <v>10100</v>
      </c>
      <c r="X596" s="1496">
        <f t="shared" si="167"/>
        <v>116.0919540229885</v>
      </c>
      <c r="Y596" s="1444"/>
    </row>
    <row r="597" spans="1:25" ht="12.75">
      <c r="A597" s="1497">
        <v>4410</v>
      </c>
      <c r="B597" s="1513" t="s">
        <v>618</v>
      </c>
      <c r="C597" s="1457">
        <v>23800</v>
      </c>
      <c r="D597" s="1457">
        <f t="shared" si="173"/>
        <v>27400</v>
      </c>
      <c r="E597" s="1458">
        <v>29300</v>
      </c>
      <c r="F597" s="1459">
        <f t="shared" si="174"/>
        <v>23100</v>
      </c>
      <c r="G597" s="1499">
        <f t="shared" si="175"/>
        <v>97.05882352941177</v>
      </c>
      <c r="H597" s="1499">
        <f t="shared" si="165"/>
        <v>84.30656934306569</v>
      </c>
      <c r="I597" s="1450"/>
      <c r="J597" s="1461"/>
      <c r="K597" s="1457"/>
      <c r="L597" s="1457"/>
      <c r="M597" s="1457"/>
      <c r="N597" s="1457"/>
      <c r="O597" s="1457"/>
      <c r="P597" s="1462"/>
      <c r="Q597" s="1495"/>
      <c r="R597" s="1461">
        <v>27400</v>
      </c>
      <c r="S597" s="1457">
        <v>23100</v>
      </c>
      <c r="T597" s="1457"/>
      <c r="U597" s="1457"/>
      <c r="V597" s="1457"/>
      <c r="W597" s="1462">
        <f t="shared" si="172"/>
        <v>23100</v>
      </c>
      <c r="X597" s="1496">
        <f t="shared" si="167"/>
        <v>84.30656934306569</v>
      </c>
      <c r="Y597" s="1444"/>
    </row>
    <row r="598" spans="1:25" ht="12.75">
      <c r="A598" s="1497">
        <v>4420</v>
      </c>
      <c r="B598" s="1513" t="s">
        <v>736</v>
      </c>
      <c r="C598" s="1457">
        <v>2000</v>
      </c>
      <c r="D598" s="1457">
        <f t="shared" si="173"/>
        <v>0</v>
      </c>
      <c r="E598" s="1458">
        <v>2000</v>
      </c>
      <c r="F598" s="1459">
        <f t="shared" si="174"/>
        <v>0</v>
      </c>
      <c r="G598" s="1499">
        <f t="shared" si="175"/>
        <v>0</v>
      </c>
      <c r="H598" s="1499"/>
      <c r="I598" s="1450"/>
      <c r="J598" s="1461"/>
      <c r="K598" s="1457"/>
      <c r="L598" s="1457"/>
      <c r="M598" s="1457"/>
      <c r="N598" s="1457"/>
      <c r="O598" s="1457"/>
      <c r="P598" s="1462"/>
      <c r="Q598" s="1495"/>
      <c r="R598" s="1461"/>
      <c r="S598" s="1457"/>
      <c r="T598" s="1457"/>
      <c r="U598" s="1457"/>
      <c r="V598" s="1457"/>
      <c r="W598" s="1462">
        <f t="shared" si="172"/>
        <v>0</v>
      </c>
      <c r="X598" s="1496" t="e">
        <f t="shared" si="167"/>
        <v>#DIV/0!</v>
      </c>
      <c r="Y598" s="1444"/>
    </row>
    <row r="599" spans="1:25" ht="12.75">
      <c r="A599" s="1497">
        <v>4440</v>
      </c>
      <c r="B599" s="1513" t="s">
        <v>641</v>
      </c>
      <c r="C599" s="1457">
        <v>380800</v>
      </c>
      <c r="D599" s="1457">
        <f t="shared" si="173"/>
        <v>397760</v>
      </c>
      <c r="E599" s="1458">
        <v>418000</v>
      </c>
      <c r="F599" s="1459">
        <f t="shared" si="174"/>
        <v>418000</v>
      </c>
      <c r="G599" s="1499">
        <f t="shared" si="175"/>
        <v>109.76890756302522</v>
      </c>
      <c r="H599" s="1499">
        <f t="shared" si="165"/>
        <v>105.08849557522124</v>
      </c>
      <c r="I599" s="1450"/>
      <c r="J599" s="1461"/>
      <c r="K599" s="1457"/>
      <c r="L599" s="1457"/>
      <c r="M599" s="1457"/>
      <c r="N599" s="1457"/>
      <c r="O599" s="1457"/>
      <c r="P599" s="1462"/>
      <c r="Q599" s="1495"/>
      <c r="R599" s="1461">
        <v>397760</v>
      </c>
      <c r="S599" s="1457">
        <v>418000</v>
      </c>
      <c r="T599" s="1457"/>
      <c r="U599" s="1457"/>
      <c r="V599" s="1457"/>
      <c r="W599" s="1462">
        <f t="shared" si="172"/>
        <v>418000</v>
      </c>
      <c r="X599" s="1496">
        <f t="shared" si="167"/>
        <v>105.08849557522124</v>
      </c>
      <c r="Y599" s="1444"/>
    </row>
    <row r="600" spans="1:25" ht="24">
      <c r="A600" s="1497">
        <v>6050</v>
      </c>
      <c r="B600" s="1513" t="s">
        <v>892</v>
      </c>
      <c r="C600" s="1457"/>
      <c r="D600" s="1457">
        <f t="shared" si="173"/>
        <v>43000</v>
      </c>
      <c r="E600" s="1458">
        <v>54200</v>
      </c>
      <c r="F600" s="1459">
        <f t="shared" si="174"/>
        <v>0</v>
      </c>
      <c r="G600" s="1499"/>
      <c r="H600" s="1499">
        <f t="shared" si="165"/>
        <v>0</v>
      </c>
      <c r="I600" s="1450"/>
      <c r="J600" s="1461"/>
      <c r="K600" s="1457"/>
      <c r="L600" s="1457"/>
      <c r="M600" s="1457"/>
      <c r="N600" s="1457"/>
      <c r="O600" s="1457"/>
      <c r="P600" s="1462"/>
      <c r="Q600" s="1495"/>
      <c r="R600" s="1461">
        <v>43000</v>
      </c>
      <c r="S600" s="1457"/>
      <c r="T600" s="1457"/>
      <c r="U600" s="1457"/>
      <c r="V600" s="1457"/>
      <c r="W600" s="1462">
        <f t="shared" si="172"/>
        <v>0</v>
      </c>
      <c r="X600" s="1496">
        <f t="shared" si="167"/>
        <v>0</v>
      </c>
      <c r="Y600" s="1444"/>
    </row>
    <row r="601" spans="1:25" ht="24">
      <c r="A601" s="1497">
        <v>6060</v>
      </c>
      <c r="B601" s="1513" t="s">
        <v>870</v>
      </c>
      <c r="C601" s="1457"/>
      <c r="D601" s="1457">
        <f t="shared" si="173"/>
        <v>10000</v>
      </c>
      <c r="E601" s="1458">
        <v>18200</v>
      </c>
      <c r="F601" s="1459">
        <f t="shared" si="174"/>
        <v>0</v>
      </c>
      <c r="G601" s="1499"/>
      <c r="H601" s="1499">
        <f t="shared" si="165"/>
        <v>0</v>
      </c>
      <c r="I601" s="1450"/>
      <c r="J601" s="1461"/>
      <c r="K601" s="1457"/>
      <c r="L601" s="1457"/>
      <c r="M601" s="1457"/>
      <c r="N601" s="1457"/>
      <c r="O601" s="1457"/>
      <c r="P601" s="1462"/>
      <c r="Q601" s="1495"/>
      <c r="R601" s="1461">
        <v>10000</v>
      </c>
      <c r="S601" s="1457"/>
      <c r="T601" s="1457">
        <v>0</v>
      </c>
      <c r="U601" s="1457"/>
      <c r="V601" s="1457"/>
      <c r="W601" s="1462">
        <f t="shared" si="172"/>
        <v>0</v>
      </c>
      <c r="X601" s="1496">
        <f t="shared" si="167"/>
        <v>0</v>
      </c>
      <c r="Y601" s="1444"/>
    </row>
    <row r="602" spans="1:28" s="581" customFormat="1" ht="12.75">
      <c r="A602" s="1516">
        <v>80123</v>
      </c>
      <c r="B602" s="1550" t="s">
        <v>907</v>
      </c>
      <c r="C602" s="1467">
        <f>SUM(C603:C621)</f>
        <v>1508200</v>
      </c>
      <c r="D602" s="1467">
        <f>SUM(D603:D621)</f>
        <v>1448448</v>
      </c>
      <c r="E602" s="1468">
        <f>SUM(E603:E621)</f>
        <v>1782700</v>
      </c>
      <c r="F602" s="1469">
        <f>SUM(F603:F621)</f>
        <v>1507600</v>
      </c>
      <c r="G602" s="1531">
        <f t="shared" si="175"/>
        <v>99.96021747778809</v>
      </c>
      <c r="H602" s="1532">
        <f t="shared" si="165"/>
        <v>104.0838193708024</v>
      </c>
      <c r="I602" s="1450"/>
      <c r="J602" s="1470"/>
      <c r="K602" s="1467"/>
      <c r="L602" s="1467"/>
      <c r="M602" s="1467"/>
      <c r="N602" s="1467"/>
      <c r="O602" s="1467"/>
      <c r="P602" s="1471"/>
      <c r="Q602" s="1453"/>
      <c r="R602" s="1470">
        <f aca="true" t="shared" si="176" ref="R602:W602">SUM(R603:R621)</f>
        <v>1448448</v>
      </c>
      <c r="S602" s="1467">
        <f>SUM(S603:S621)</f>
        <v>1505200</v>
      </c>
      <c r="T602" s="1467">
        <f t="shared" si="176"/>
        <v>0</v>
      </c>
      <c r="U602" s="1467">
        <f t="shared" si="176"/>
        <v>0</v>
      </c>
      <c r="V602" s="1467">
        <f t="shared" si="176"/>
        <v>2400</v>
      </c>
      <c r="W602" s="1471">
        <f t="shared" si="176"/>
        <v>1507600</v>
      </c>
      <c r="X602" s="1454">
        <f t="shared" si="167"/>
        <v>104.0838193708024</v>
      </c>
      <c r="Y602" s="1444"/>
      <c r="AA602" s="1444">
        <f>SUM(S604:S607)</f>
        <v>1307300</v>
      </c>
      <c r="AB602" s="1444">
        <f>Z602+AA602</f>
        <v>1307300</v>
      </c>
    </row>
    <row r="603" spans="1:25" ht="24">
      <c r="A603" s="1497">
        <v>3020</v>
      </c>
      <c r="B603" s="1513" t="s">
        <v>717</v>
      </c>
      <c r="C603" s="1457">
        <v>6500</v>
      </c>
      <c r="D603" s="1457">
        <f>J603+R603</f>
        <v>6500</v>
      </c>
      <c r="E603" s="1458">
        <v>12700</v>
      </c>
      <c r="F603" s="1459">
        <f>P603+W603</f>
        <v>12700</v>
      </c>
      <c r="G603" s="1499">
        <f t="shared" si="175"/>
        <v>195.3846153846154</v>
      </c>
      <c r="H603" s="1499">
        <f t="shared" si="165"/>
        <v>195.3846153846154</v>
      </c>
      <c r="I603" s="1450"/>
      <c r="J603" s="1461"/>
      <c r="K603" s="1457"/>
      <c r="L603" s="1457"/>
      <c r="M603" s="1457"/>
      <c r="N603" s="1457"/>
      <c r="O603" s="1457"/>
      <c r="P603" s="1462"/>
      <c r="Q603" s="1495"/>
      <c r="R603" s="1461">
        <v>6500</v>
      </c>
      <c r="S603" s="1457">
        <v>12700</v>
      </c>
      <c r="T603" s="1457"/>
      <c r="U603" s="1457"/>
      <c r="V603" s="1457"/>
      <c r="W603" s="1462">
        <f>SUM(S603:V603)</f>
        <v>12700</v>
      </c>
      <c r="X603" s="1496">
        <f t="shared" si="167"/>
        <v>195.3846153846154</v>
      </c>
      <c r="Y603" s="1444"/>
    </row>
    <row r="604" spans="1:25" ht="24">
      <c r="A604" s="1497">
        <v>4010</v>
      </c>
      <c r="B604" s="1513" t="s">
        <v>626</v>
      </c>
      <c r="C604" s="1457">
        <v>1019000</v>
      </c>
      <c r="D604" s="1457">
        <f aca="true" t="shared" si="177" ref="D604:D621">J604+R604</f>
        <v>974217</v>
      </c>
      <c r="E604" s="1458">
        <v>1144000</v>
      </c>
      <c r="F604" s="1459">
        <f aca="true" t="shared" si="178" ref="F604:F621">P604+W604</f>
        <v>1016000</v>
      </c>
      <c r="G604" s="1499">
        <f t="shared" si="175"/>
        <v>99.70559371933267</v>
      </c>
      <c r="H604" s="1499">
        <f t="shared" si="165"/>
        <v>104.28888019814889</v>
      </c>
      <c r="I604" s="1450"/>
      <c r="J604" s="1461"/>
      <c r="K604" s="1457"/>
      <c r="L604" s="1457"/>
      <c r="M604" s="1457"/>
      <c r="N604" s="1457"/>
      <c r="O604" s="1457"/>
      <c r="P604" s="1462"/>
      <c r="Q604" s="1495"/>
      <c r="R604" s="1461">
        <v>974217</v>
      </c>
      <c r="S604" s="1457">
        <v>1016000</v>
      </c>
      <c r="T604" s="1457"/>
      <c r="U604" s="1457"/>
      <c r="V604" s="1457"/>
      <c r="W604" s="1462">
        <f aca="true" t="shared" si="179" ref="W604:W621">SUM(S604:V604)</f>
        <v>1016000</v>
      </c>
      <c r="X604" s="1496">
        <f t="shared" si="167"/>
        <v>104.28888019814889</v>
      </c>
      <c r="Y604" s="1444"/>
    </row>
    <row r="605" spans="1:25" ht="12.75">
      <c r="A605" s="1497">
        <v>4040</v>
      </c>
      <c r="B605" s="1513" t="s">
        <v>630</v>
      </c>
      <c r="C605" s="1457">
        <v>74900</v>
      </c>
      <c r="D605" s="1457">
        <f t="shared" si="177"/>
        <v>72381</v>
      </c>
      <c r="E605" s="1458">
        <v>74100</v>
      </c>
      <c r="F605" s="1459">
        <f t="shared" si="178"/>
        <v>72700</v>
      </c>
      <c r="G605" s="1499">
        <f t="shared" si="175"/>
        <v>97.06275033377837</v>
      </c>
      <c r="H605" s="1499">
        <f t="shared" si="165"/>
        <v>100.44072339426093</v>
      </c>
      <c r="I605" s="1450"/>
      <c r="J605" s="1461"/>
      <c r="K605" s="1457"/>
      <c r="L605" s="1457"/>
      <c r="M605" s="1457"/>
      <c r="N605" s="1457"/>
      <c r="O605" s="1457"/>
      <c r="P605" s="1462"/>
      <c r="Q605" s="1495"/>
      <c r="R605" s="1461">
        <v>72381</v>
      </c>
      <c r="S605" s="1457">
        <v>72700</v>
      </c>
      <c r="T605" s="1457"/>
      <c r="U605" s="1457"/>
      <c r="V605" s="1457"/>
      <c r="W605" s="1462">
        <f t="shared" si="179"/>
        <v>72700</v>
      </c>
      <c r="X605" s="1496">
        <f t="shared" si="167"/>
        <v>100.44072339426093</v>
      </c>
      <c r="Y605" s="1444"/>
    </row>
    <row r="606" spans="1:25" ht="12.75">
      <c r="A606" s="1497">
        <v>4110</v>
      </c>
      <c r="B606" s="1513" t="s">
        <v>568</v>
      </c>
      <c r="C606" s="1457">
        <v>189000</v>
      </c>
      <c r="D606" s="1457">
        <f t="shared" si="177"/>
        <v>173320</v>
      </c>
      <c r="E606" s="1458">
        <v>216300</v>
      </c>
      <c r="F606" s="1459">
        <f t="shared" si="178"/>
        <v>193000</v>
      </c>
      <c r="G606" s="1499">
        <f t="shared" si="175"/>
        <v>102.11640211640211</v>
      </c>
      <c r="H606" s="1499">
        <f t="shared" si="165"/>
        <v>111.3547195938149</v>
      </c>
      <c r="I606" s="1450"/>
      <c r="J606" s="1461"/>
      <c r="K606" s="1457"/>
      <c r="L606" s="1457"/>
      <c r="M606" s="1457"/>
      <c r="N606" s="1457"/>
      <c r="O606" s="1457"/>
      <c r="P606" s="1462"/>
      <c r="Q606" s="1495"/>
      <c r="R606" s="1461">
        <v>173320</v>
      </c>
      <c r="S606" s="1457">
        <v>193000</v>
      </c>
      <c r="T606" s="1457"/>
      <c r="U606" s="1457"/>
      <c r="V606" s="1457"/>
      <c r="W606" s="1462">
        <f t="shared" si="179"/>
        <v>193000</v>
      </c>
      <c r="X606" s="1496">
        <f t="shared" si="167"/>
        <v>111.3547195938149</v>
      </c>
      <c r="Y606" s="1444"/>
    </row>
    <row r="607" spans="1:25" ht="12.75">
      <c r="A607" s="1497">
        <v>4120</v>
      </c>
      <c r="B607" s="1513" t="s">
        <v>758</v>
      </c>
      <c r="C607" s="1457">
        <v>25000</v>
      </c>
      <c r="D607" s="1457">
        <f t="shared" si="177"/>
        <v>22200</v>
      </c>
      <c r="E607" s="1458">
        <v>29700</v>
      </c>
      <c r="F607" s="1459">
        <f t="shared" si="178"/>
        <v>25600</v>
      </c>
      <c r="G607" s="1499">
        <f t="shared" si="175"/>
        <v>102.4</v>
      </c>
      <c r="H607" s="1499">
        <f t="shared" si="165"/>
        <v>115.31531531531532</v>
      </c>
      <c r="I607" s="1450"/>
      <c r="J607" s="1461"/>
      <c r="K607" s="1457"/>
      <c r="L607" s="1457"/>
      <c r="M607" s="1457"/>
      <c r="N607" s="1457"/>
      <c r="O607" s="1457"/>
      <c r="P607" s="1462"/>
      <c r="Q607" s="1495"/>
      <c r="R607" s="1461">
        <v>22200</v>
      </c>
      <c r="S607" s="1457">
        <v>25600</v>
      </c>
      <c r="T607" s="1457"/>
      <c r="U607" s="1457"/>
      <c r="V607" s="1457"/>
      <c r="W607" s="1462">
        <f t="shared" si="179"/>
        <v>25600</v>
      </c>
      <c r="X607" s="1496">
        <f t="shared" si="167"/>
        <v>115.31531531531532</v>
      </c>
      <c r="Y607" s="1444"/>
    </row>
    <row r="608" spans="1:25" ht="12.75">
      <c r="A608" s="1497">
        <v>4140</v>
      </c>
      <c r="B608" s="1513" t="s">
        <v>722</v>
      </c>
      <c r="C608" s="1457">
        <v>4400</v>
      </c>
      <c r="D608" s="1457">
        <f t="shared" si="177"/>
        <v>3130</v>
      </c>
      <c r="E608" s="1458">
        <v>3100</v>
      </c>
      <c r="F608" s="1459">
        <f t="shared" si="178"/>
        <v>3100</v>
      </c>
      <c r="G608" s="1499">
        <f t="shared" si="175"/>
        <v>70.45454545454545</v>
      </c>
      <c r="H608" s="1499">
        <f aca="true" t="shared" si="180" ref="H608:H671">F608/D608*100</f>
        <v>99.04153354632588</v>
      </c>
      <c r="I608" s="1450"/>
      <c r="J608" s="1461"/>
      <c r="K608" s="1457"/>
      <c r="L608" s="1457"/>
      <c r="M608" s="1457"/>
      <c r="N608" s="1457"/>
      <c r="O608" s="1457"/>
      <c r="P608" s="1462"/>
      <c r="Q608" s="1495"/>
      <c r="R608" s="1461">
        <v>3130</v>
      </c>
      <c r="S608" s="1457">
        <v>3100</v>
      </c>
      <c r="T608" s="1457"/>
      <c r="U608" s="1457"/>
      <c r="V608" s="1457"/>
      <c r="W608" s="1462">
        <f t="shared" si="179"/>
        <v>3100</v>
      </c>
      <c r="X608" s="1496">
        <f t="shared" si="167"/>
        <v>99.04153354632588</v>
      </c>
      <c r="Y608" s="1444"/>
    </row>
    <row r="609" spans="1:25" ht="12.75" hidden="1">
      <c r="A609" s="1497">
        <v>4170</v>
      </c>
      <c r="B609" s="1513" t="s">
        <v>572</v>
      </c>
      <c r="C609" s="1457"/>
      <c r="D609" s="1457">
        <f t="shared" si="177"/>
        <v>0</v>
      </c>
      <c r="E609" s="1458">
        <v>1000</v>
      </c>
      <c r="F609" s="1459">
        <f t="shared" si="178"/>
        <v>0</v>
      </c>
      <c r="G609" s="1499"/>
      <c r="H609" s="1499"/>
      <c r="I609" s="1450"/>
      <c r="J609" s="1461"/>
      <c r="K609" s="1457"/>
      <c r="L609" s="1457"/>
      <c r="M609" s="1457"/>
      <c r="N609" s="1457"/>
      <c r="O609" s="1457"/>
      <c r="P609" s="1462"/>
      <c r="Q609" s="1495"/>
      <c r="R609" s="1461"/>
      <c r="S609" s="1457"/>
      <c r="T609" s="1457"/>
      <c r="U609" s="1457"/>
      <c r="V609" s="1457"/>
      <c r="W609" s="1462">
        <f t="shared" si="179"/>
        <v>0</v>
      </c>
      <c r="X609" s="1496"/>
      <c r="Y609" s="1444"/>
    </row>
    <row r="610" spans="1:25" ht="12.75">
      <c r="A610" s="1497">
        <v>4210</v>
      </c>
      <c r="B610" s="1513" t="s">
        <v>560</v>
      </c>
      <c r="C610" s="1457">
        <v>26400</v>
      </c>
      <c r="D610" s="1457">
        <f t="shared" si="177"/>
        <v>31500</v>
      </c>
      <c r="E610" s="1458">
        <v>54300</v>
      </c>
      <c r="F610" s="1459">
        <f t="shared" si="178"/>
        <v>26400</v>
      </c>
      <c r="G610" s="1499">
        <f t="shared" si="175"/>
        <v>100</v>
      </c>
      <c r="H610" s="1499">
        <f t="shared" si="180"/>
        <v>83.80952380952381</v>
      </c>
      <c r="I610" s="1450"/>
      <c r="J610" s="1461"/>
      <c r="K610" s="1457"/>
      <c r="L610" s="1457"/>
      <c r="M610" s="1457"/>
      <c r="N610" s="1457"/>
      <c r="O610" s="1457"/>
      <c r="P610" s="1462"/>
      <c r="Q610" s="1495"/>
      <c r="R610" s="1461">
        <v>31500</v>
      </c>
      <c r="S610" s="1457">
        <v>26400</v>
      </c>
      <c r="T610" s="1457"/>
      <c r="U610" s="1457"/>
      <c r="V610" s="1457"/>
      <c r="W610" s="1462">
        <f t="shared" si="179"/>
        <v>26400</v>
      </c>
      <c r="X610" s="1496">
        <f t="shared" si="167"/>
        <v>83.80952380952381</v>
      </c>
      <c r="Y610" s="1444"/>
    </row>
    <row r="611" spans="1:25" ht="24">
      <c r="A611" s="1497">
        <v>4240</v>
      </c>
      <c r="B611" s="1513" t="s">
        <v>908</v>
      </c>
      <c r="C611" s="1457">
        <v>13800</v>
      </c>
      <c r="D611" s="1457">
        <f t="shared" si="177"/>
        <v>13800</v>
      </c>
      <c r="E611" s="1458">
        <v>13000</v>
      </c>
      <c r="F611" s="1459">
        <f t="shared" si="178"/>
        <v>12800</v>
      </c>
      <c r="G611" s="1499">
        <f t="shared" si="175"/>
        <v>92.7536231884058</v>
      </c>
      <c r="H611" s="1499">
        <f t="shared" si="180"/>
        <v>92.7536231884058</v>
      </c>
      <c r="I611" s="1450"/>
      <c r="J611" s="1461"/>
      <c r="K611" s="1457"/>
      <c r="L611" s="1457"/>
      <c r="M611" s="1457"/>
      <c r="N611" s="1457"/>
      <c r="O611" s="1457"/>
      <c r="P611" s="1462"/>
      <c r="Q611" s="1495"/>
      <c r="R611" s="1461">
        <v>13800</v>
      </c>
      <c r="S611" s="1457">
        <v>12800</v>
      </c>
      <c r="T611" s="1457"/>
      <c r="U611" s="1457"/>
      <c r="V611" s="1457"/>
      <c r="W611" s="1462">
        <f t="shared" si="179"/>
        <v>12800</v>
      </c>
      <c r="X611" s="1496">
        <f t="shared" si="167"/>
        <v>92.7536231884058</v>
      </c>
      <c r="Y611" s="1444"/>
    </row>
    <row r="612" spans="1:25" ht="12.75">
      <c r="A612" s="1497">
        <v>4260</v>
      </c>
      <c r="B612" s="1513" t="s">
        <v>575</v>
      </c>
      <c r="C612" s="1457">
        <v>58300</v>
      </c>
      <c r="D612" s="1457">
        <f t="shared" si="177"/>
        <v>62300</v>
      </c>
      <c r="E612" s="1458">
        <v>107000</v>
      </c>
      <c r="F612" s="1459">
        <f t="shared" si="178"/>
        <v>57300</v>
      </c>
      <c r="G612" s="1499">
        <f t="shared" si="175"/>
        <v>98.28473413379074</v>
      </c>
      <c r="H612" s="1499">
        <f t="shared" si="180"/>
        <v>91.97431781701445</v>
      </c>
      <c r="I612" s="1450"/>
      <c r="J612" s="1461"/>
      <c r="K612" s="1457"/>
      <c r="L612" s="1457"/>
      <c r="M612" s="1457"/>
      <c r="N612" s="1457"/>
      <c r="O612" s="1457"/>
      <c r="P612" s="1462"/>
      <c r="Q612" s="1495"/>
      <c r="R612" s="1461">
        <v>62300</v>
      </c>
      <c r="S612" s="1457">
        <v>57300</v>
      </c>
      <c r="T612" s="1457"/>
      <c r="U612" s="1457"/>
      <c r="V612" s="1457"/>
      <c r="W612" s="1462">
        <f t="shared" si="179"/>
        <v>57300</v>
      </c>
      <c r="X612" s="1496">
        <f t="shared" si="167"/>
        <v>91.97431781701445</v>
      </c>
      <c r="Y612" s="1444"/>
    </row>
    <row r="613" spans="1:25" ht="12.75">
      <c r="A613" s="1497">
        <v>4270</v>
      </c>
      <c r="B613" s="1513" t="s">
        <v>576</v>
      </c>
      <c r="C613" s="1457">
        <v>3400</v>
      </c>
      <c r="D613" s="1457">
        <f t="shared" si="177"/>
        <v>5400</v>
      </c>
      <c r="E613" s="1458">
        <v>3200</v>
      </c>
      <c r="F613" s="1459">
        <f t="shared" si="178"/>
        <v>2400</v>
      </c>
      <c r="G613" s="1499">
        <f t="shared" si="175"/>
        <v>70.58823529411765</v>
      </c>
      <c r="H613" s="1499">
        <f t="shared" si="180"/>
        <v>44.44444444444444</v>
      </c>
      <c r="I613" s="1450"/>
      <c r="J613" s="1461"/>
      <c r="K613" s="1457"/>
      <c r="L613" s="1457"/>
      <c r="M613" s="1457"/>
      <c r="N613" s="1457"/>
      <c r="O613" s="1457"/>
      <c r="P613" s="1462"/>
      <c r="Q613" s="1495"/>
      <c r="R613" s="1461">
        <v>5400</v>
      </c>
      <c r="S613" s="1457"/>
      <c r="T613" s="1457"/>
      <c r="U613" s="1457"/>
      <c r="V613" s="1457">
        <v>2400</v>
      </c>
      <c r="W613" s="1462">
        <f t="shared" si="179"/>
        <v>2400</v>
      </c>
      <c r="X613" s="1496">
        <f t="shared" si="167"/>
        <v>44.44444444444444</v>
      </c>
      <c r="Y613" s="1444"/>
    </row>
    <row r="614" spans="1:25" ht="12.75">
      <c r="A614" s="1497">
        <v>4280</v>
      </c>
      <c r="B614" s="1513" t="s">
        <v>723</v>
      </c>
      <c r="C614" s="1457">
        <v>1100</v>
      </c>
      <c r="D614" s="1457">
        <f t="shared" si="177"/>
        <v>800</v>
      </c>
      <c r="E614" s="1458">
        <v>1100</v>
      </c>
      <c r="F614" s="1459">
        <f t="shared" si="178"/>
        <v>1100</v>
      </c>
      <c r="G614" s="1499">
        <f t="shared" si="175"/>
        <v>100</v>
      </c>
      <c r="H614" s="1499">
        <f t="shared" si="180"/>
        <v>137.5</v>
      </c>
      <c r="I614" s="1450"/>
      <c r="J614" s="1461"/>
      <c r="K614" s="1457"/>
      <c r="L614" s="1457"/>
      <c r="M614" s="1457"/>
      <c r="N614" s="1457"/>
      <c r="O614" s="1457"/>
      <c r="P614" s="1462"/>
      <c r="Q614" s="1495"/>
      <c r="R614" s="1461">
        <v>800</v>
      </c>
      <c r="S614" s="1457">
        <v>1100</v>
      </c>
      <c r="T614" s="1457"/>
      <c r="U614" s="1457"/>
      <c r="V614" s="1457"/>
      <c r="W614" s="1462">
        <f t="shared" si="179"/>
        <v>1100</v>
      </c>
      <c r="X614" s="1496">
        <f t="shared" si="167"/>
        <v>137.5</v>
      </c>
      <c r="Y614" s="1444"/>
    </row>
    <row r="615" spans="1:25" ht="12.75">
      <c r="A615" s="1497">
        <v>4300</v>
      </c>
      <c r="B615" s="1513" t="s">
        <v>564</v>
      </c>
      <c r="C615" s="1457">
        <v>17700</v>
      </c>
      <c r="D615" s="1457">
        <f t="shared" si="177"/>
        <v>17700</v>
      </c>
      <c r="E615" s="1458">
        <v>31800</v>
      </c>
      <c r="F615" s="1459">
        <f t="shared" si="178"/>
        <v>12700</v>
      </c>
      <c r="G615" s="1499">
        <f t="shared" si="175"/>
        <v>71.75141242937853</v>
      </c>
      <c r="H615" s="1499">
        <f t="shared" si="180"/>
        <v>71.75141242937853</v>
      </c>
      <c r="I615" s="1450"/>
      <c r="J615" s="1461"/>
      <c r="K615" s="1457"/>
      <c r="L615" s="1457"/>
      <c r="M615" s="1457"/>
      <c r="N615" s="1457"/>
      <c r="O615" s="1457"/>
      <c r="P615" s="1462"/>
      <c r="Q615" s="1495"/>
      <c r="R615" s="1461">
        <v>17700</v>
      </c>
      <c r="S615" s="1457">
        <v>12700</v>
      </c>
      <c r="T615" s="1457"/>
      <c r="U615" s="1457"/>
      <c r="V615" s="1457"/>
      <c r="W615" s="1462">
        <f t="shared" si="179"/>
        <v>12700</v>
      </c>
      <c r="X615" s="1496">
        <f t="shared" si="167"/>
        <v>71.75141242937853</v>
      </c>
      <c r="Y615" s="1444"/>
    </row>
    <row r="616" spans="1:25" ht="12.75">
      <c r="A616" s="1497">
        <v>4350</v>
      </c>
      <c r="B616" s="1513" t="s">
        <v>820</v>
      </c>
      <c r="C616" s="1457"/>
      <c r="D616" s="1457">
        <f t="shared" si="177"/>
        <v>1700</v>
      </c>
      <c r="E616" s="1458">
        <v>2500</v>
      </c>
      <c r="F616" s="1459">
        <f t="shared" si="178"/>
        <v>2500</v>
      </c>
      <c r="G616" s="1499"/>
      <c r="H616" s="1499">
        <f t="shared" si="180"/>
        <v>147.05882352941177</v>
      </c>
      <c r="I616" s="1450"/>
      <c r="J616" s="1461"/>
      <c r="K616" s="1457"/>
      <c r="L616" s="1457"/>
      <c r="M616" s="1457"/>
      <c r="N616" s="1457"/>
      <c r="O616" s="1457"/>
      <c r="P616" s="1462"/>
      <c r="Q616" s="1495"/>
      <c r="R616" s="1461">
        <v>1700</v>
      </c>
      <c r="S616" s="1457">
        <v>2500</v>
      </c>
      <c r="T616" s="1457"/>
      <c r="U616" s="1457"/>
      <c r="V616" s="1457"/>
      <c r="W616" s="1462">
        <f t="shared" si="179"/>
        <v>2500</v>
      </c>
      <c r="X616" s="1496">
        <f t="shared" si="167"/>
        <v>147.05882352941177</v>
      </c>
      <c r="Y616" s="1444"/>
    </row>
    <row r="617" spans="1:25" ht="12.75">
      <c r="A617" s="1497">
        <v>4410</v>
      </c>
      <c r="B617" s="1513" t="s">
        <v>618</v>
      </c>
      <c r="C617" s="1457">
        <v>1500</v>
      </c>
      <c r="D617" s="1457">
        <f t="shared" si="177"/>
        <v>1500</v>
      </c>
      <c r="E617" s="1458">
        <v>2300</v>
      </c>
      <c r="F617" s="1459">
        <f t="shared" si="178"/>
        <v>1500</v>
      </c>
      <c r="G617" s="1499">
        <f t="shared" si="175"/>
        <v>100</v>
      </c>
      <c r="H617" s="1499">
        <f t="shared" si="180"/>
        <v>100</v>
      </c>
      <c r="I617" s="1450"/>
      <c r="J617" s="1461"/>
      <c r="K617" s="1457"/>
      <c r="L617" s="1457"/>
      <c r="M617" s="1457"/>
      <c r="N617" s="1457"/>
      <c r="O617" s="1457"/>
      <c r="P617" s="1462"/>
      <c r="Q617" s="1495"/>
      <c r="R617" s="1461">
        <v>1500</v>
      </c>
      <c r="S617" s="1457">
        <v>1500</v>
      </c>
      <c r="T617" s="1457"/>
      <c r="U617" s="1457"/>
      <c r="V617" s="1457"/>
      <c r="W617" s="1462">
        <f t="shared" si="179"/>
        <v>1500</v>
      </c>
      <c r="X617" s="1496">
        <f t="shared" si="167"/>
        <v>100</v>
      </c>
      <c r="Y617" s="1444"/>
    </row>
    <row r="618" spans="1:25" ht="12.75" hidden="1">
      <c r="A618" s="1497">
        <v>4420</v>
      </c>
      <c r="B618" s="1513" t="s">
        <v>736</v>
      </c>
      <c r="C618" s="1457"/>
      <c r="D618" s="1457">
        <f t="shared" si="177"/>
        <v>0</v>
      </c>
      <c r="E618" s="1458">
        <v>500</v>
      </c>
      <c r="F618" s="1459">
        <f t="shared" si="178"/>
        <v>0</v>
      </c>
      <c r="G618" s="1499"/>
      <c r="H618" s="1499"/>
      <c r="I618" s="1450"/>
      <c r="J618" s="1461"/>
      <c r="K618" s="1457"/>
      <c r="L618" s="1457"/>
      <c r="M618" s="1457"/>
      <c r="N618" s="1457"/>
      <c r="O618" s="1457"/>
      <c r="P618" s="1462"/>
      <c r="Q618" s="1495"/>
      <c r="R618" s="1461"/>
      <c r="S618" s="1457"/>
      <c r="T618" s="1457"/>
      <c r="U618" s="1457"/>
      <c r="V618" s="1457"/>
      <c r="W618" s="1462">
        <f t="shared" si="179"/>
        <v>0</v>
      </c>
      <c r="X618" s="1496"/>
      <c r="Y618" s="1444"/>
    </row>
    <row r="619" spans="1:25" ht="12.75">
      <c r="A619" s="1497">
        <v>4440</v>
      </c>
      <c r="B619" s="1513" t="s">
        <v>641</v>
      </c>
      <c r="C619" s="1457">
        <v>67200</v>
      </c>
      <c r="D619" s="1457">
        <f t="shared" si="177"/>
        <v>62000</v>
      </c>
      <c r="E619" s="1458">
        <v>67800</v>
      </c>
      <c r="F619" s="1459">
        <f t="shared" si="178"/>
        <v>67800</v>
      </c>
      <c r="G619" s="1499">
        <f t="shared" si="175"/>
        <v>100.89285714285714</v>
      </c>
      <c r="H619" s="1499">
        <f t="shared" si="180"/>
        <v>109.35483870967741</v>
      </c>
      <c r="I619" s="1450"/>
      <c r="J619" s="1461"/>
      <c r="K619" s="1457"/>
      <c r="L619" s="1457"/>
      <c r="M619" s="1457"/>
      <c r="N619" s="1457"/>
      <c r="O619" s="1457"/>
      <c r="P619" s="1462"/>
      <c r="Q619" s="1495"/>
      <c r="R619" s="1461">
        <v>62000</v>
      </c>
      <c r="S619" s="1457">
        <v>67800</v>
      </c>
      <c r="T619" s="1457"/>
      <c r="U619" s="1457"/>
      <c r="V619" s="1457"/>
      <c r="W619" s="1462">
        <f t="shared" si="179"/>
        <v>67800</v>
      </c>
      <c r="X619" s="1496"/>
      <c r="Y619" s="1444"/>
    </row>
    <row r="620" spans="1:25" ht="24" hidden="1">
      <c r="A620" s="1497">
        <v>6050</v>
      </c>
      <c r="B620" s="1513" t="s">
        <v>892</v>
      </c>
      <c r="C620" s="1457"/>
      <c r="D620" s="1457">
        <f t="shared" si="177"/>
        <v>0</v>
      </c>
      <c r="E620" s="1458">
        <v>12200</v>
      </c>
      <c r="F620" s="1459">
        <f t="shared" si="178"/>
        <v>0</v>
      </c>
      <c r="G620" s="1499"/>
      <c r="H620" s="1499"/>
      <c r="I620" s="1450"/>
      <c r="J620" s="1461"/>
      <c r="K620" s="1457"/>
      <c r="L620" s="1457"/>
      <c r="M620" s="1457"/>
      <c r="N620" s="1457"/>
      <c r="O620" s="1457"/>
      <c r="P620" s="1462"/>
      <c r="Q620" s="1495"/>
      <c r="R620" s="1461"/>
      <c r="S620" s="1457"/>
      <c r="T620" s="1457"/>
      <c r="U620" s="1457"/>
      <c r="V620" s="1457"/>
      <c r="W620" s="1462">
        <f t="shared" si="179"/>
        <v>0</v>
      </c>
      <c r="X620" s="1496" t="e">
        <f t="shared" si="167"/>
        <v>#DIV/0!</v>
      </c>
      <c r="Y620" s="1444"/>
    </row>
    <row r="621" spans="1:25" ht="24" hidden="1">
      <c r="A621" s="1497">
        <v>6060</v>
      </c>
      <c r="B621" s="1513" t="s">
        <v>870</v>
      </c>
      <c r="C621" s="1457"/>
      <c r="D621" s="1457">
        <f t="shared" si="177"/>
        <v>0</v>
      </c>
      <c r="E621" s="1458">
        <v>6100</v>
      </c>
      <c r="F621" s="1459">
        <f t="shared" si="178"/>
        <v>0</v>
      </c>
      <c r="G621" s="1499"/>
      <c r="H621" s="1499"/>
      <c r="I621" s="1450"/>
      <c r="J621" s="1461"/>
      <c r="K621" s="1457"/>
      <c r="L621" s="1457"/>
      <c r="M621" s="1457"/>
      <c r="N621" s="1457"/>
      <c r="O621" s="1457"/>
      <c r="P621" s="1462"/>
      <c r="Q621" s="1495"/>
      <c r="R621" s="1461"/>
      <c r="S621" s="1457"/>
      <c r="T621" s="1457"/>
      <c r="U621" s="1457"/>
      <c r="V621" s="1457"/>
      <c r="W621" s="1462">
        <f t="shared" si="179"/>
        <v>0</v>
      </c>
      <c r="X621" s="1496" t="e">
        <f t="shared" si="167"/>
        <v>#DIV/0!</v>
      </c>
      <c r="Y621" s="1444"/>
    </row>
    <row r="622" spans="1:28" s="581" customFormat="1" ht="17.25" customHeight="1">
      <c r="A622" s="1516">
        <v>80130</v>
      </c>
      <c r="B622" s="1550" t="s">
        <v>909</v>
      </c>
      <c r="C622" s="1467">
        <f>SUM(C623:C643)</f>
        <v>15462700</v>
      </c>
      <c r="D622" s="1467">
        <f>SUM(D623:D643)</f>
        <v>15409417</v>
      </c>
      <c r="E622" s="1468">
        <f>SUM(E623:E643)</f>
        <v>19337400</v>
      </c>
      <c r="F622" s="1469">
        <f>SUM(F623:F643)</f>
        <v>15855200</v>
      </c>
      <c r="G622" s="1519">
        <f t="shared" si="175"/>
        <v>102.53836652072405</v>
      </c>
      <c r="H622" s="1519">
        <f t="shared" si="180"/>
        <v>102.89292579985343</v>
      </c>
      <c r="I622" s="1460"/>
      <c r="J622" s="1470"/>
      <c r="K622" s="1467"/>
      <c r="L622" s="1467"/>
      <c r="M622" s="1467"/>
      <c r="N622" s="1467"/>
      <c r="O622" s="1467"/>
      <c r="P622" s="1471"/>
      <c r="Q622" s="1472">
        <f>Q623+Q624+Q625+Q626+Q627+Q628+Q629+Q630+Q632+Q633+Q634+Q635+Q636+Q637+Q639+Q640+Q642+Q643</f>
        <v>0</v>
      </c>
      <c r="R622" s="1470">
        <f aca="true" t="shared" si="181" ref="R622:W622">SUM(R623:R643)</f>
        <v>15409417</v>
      </c>
      <c r="S622" s="1467">
        <f t="shared" si="181"/>
        <v>15817600</v>
      </c>
      <c r="T622" s="1467">
        <f t="shared" si="181"/>
        <v>0</v>
      </c>
      <c r="U622" s="1467">
        <f t="shared" si="181"/>
        <v>0</v>
      </c>
      <c r="V622" s="1467">
        <f t="shared" si="181"/>
        <v>37600</v>
      </c>
      <c r="W622" s="1471">
        <f t="shared" si="181"/>
        <v>15855200</v>
      </c>
      <c r="X622" s="1606">
        <f>X623+X624+X625+X626+X627+X628+X629+X630+X632+X633+X634+X635+X636+X637+X639+X640+X642+X643</f>
        <v>1636.8942273034504</v>
      </c>
      <c r="Y622" s="1444"/>
      <c r="AA622" s="1444">
        <f>SUM(S626:S629)</f>
        <v>12302000</v>
      </c>
      <c r="AB622" s="1444">
        <f>Z622+AA622</f>
        <v>12302000</v>
      </c>
    </row>
    <row r="623" spans="1:25" ht="26.25" customHeight="1">
      <c r="A623" s="1497">
        <v>2540</v>
      </c>
      <c r="B623" s="1513" t="s">
        <v>906</v>
      </c>
      <c r="C623" s="1457">
        <v>1100000</v>
      </c>
      <c r="D623" s="1457">
        <f>J623+R623</f>
        <v>1080136</v>
      </c>
      <c r="E623" s="1458">
        <v>2500000</v>
      </c>
      <c r="F623" s="1459">
        <f>P623+W623</f>
        <v>1100000</v>
      </c>
      <c r="G623" s="1499">
        <f t="shared" si="175"/>
        <v>100</v>
      </c>
      <c r="H623" s="1499">
        <f t="shared" si="180"/>
        <v>101.83902767799611</v>
      </c>
      <c r="I623" s="1450"/>
      <c r="J623" s="1461"/>
      <c r="K623" s="1457"/>
      <c r="L623" s="1457"/>
      <c r="M623" s="1457"/>
      <c r="N623" s="1457"/>
      <c r="O623" s="1457"/>
      <c r="P623" s="1462"/>
      <c r="Q623" s="1495"/>
      <c r="R623" s="1461">
        <v>1080136</v>
      </c>
      <c r="S623" s="1457">
        <f>1179000-79000</f>
        <v>1100000</v>
      </c>
      <c r="T623" s="1457"/>
      <c r="U623" s="1457"/>
      <c r="V623" s="1457"/>
      <c r="W623" s="1462">
        <f>SUM(S623:V623)</f>
        <v>1100000</v>
      </c>
      <c r="X623" s="1496">
        <f t="shared" si="167"/>
        <v>101.83902767799611</v>
      </c>
      <c r="Y623" s="1444"/>
    </row>
    <row r="624" spans="1:25" ht="29.25" customHeight="1">
      <c r="A624" s="1497">
        <v>3020</v>
      </c>
      <c r="B624" s="1513" t="s">
        <v>717</v>
      </c>
      <c r="C624" s="1457">
        <v>79700</v>
      </c>
      <c r="D624" s="1457">
        <f aca="true" t="shared" si="182" ref="D624:D643">J624+R624</f>
        <v>79700</v>
      </c>
      <c r="E624" s="1458">
        <v>102000</v>
      </c>
      <c r="F624" s="1459">
        <f aca="true" t="shared" si="183" ref="F624:F643">P624+W624</f>
        <v>102000</v>
      </c>
      <c r="G624" s="1499">
        <f t="shared" si="175"/>
        <v>127.97992471769135</v>
      </c>
      <c r="H624" s="1499">
        <f t="shared" si="180"/>
        <v>127.97992471769135</v>
      </c>
      <c r="I624" s="1450"/>
      <c r="J624" s="1461"/>
      <c r="K624" s="1457"/>
      <c r="L624" s="1457"/>
      <c r="M624" s="1457"/>
      <c r="N624" s="1457"/>
      <c r="O624" s="1457"/>
      <c r="P624" s="1462"/>
      <c r="Q624" s="1495"/>
      <c r="R624" s="1461">
        <v>79700</v>
      </c>
      <c r="S624" s="1457">
        <v>102000</v>
      </c>
      <c r="T624" s="1457"/>
      <c r="U624" s="1457"/>
      <c r="V624" s="1457"/>
      <c r="W624" s="1462">
        <f aca="true" t="shared" si="184" ref="W624:W643">SUM(S624:V624)</f>
        <v>102000</v>
      </c>
      <c r="X624" s="1496">
        <f t="shared" si="167"/>
        <v>127.97992471769135</v>
      </c>
      <c r="Y624" s="1444"/>
    </row>
    <row r="625" spans="1:25" ht="12.75">
      <c r="A625" s="1497">
        <v>3050</v>
      </c>
      <c r="B625" s="1513" t="s">
        <v>910</v>
      </c>
      <c r="C625" s="1457">
        <v>15000</v>
      </c>
      <c r="D625" s="1457">
        <f t="shared" si="182"/>
        <v>15000</v>
      </c>
      <c r="E625" s="1458">
        <v>16200</v>
      </c>
      <c r="F625" s="1459">
        <f t="shared" si="183"/>
        <v>16200</v>
      </c>
      <c r="G625" s="1499">
        <f t="shared" si="175"/>
        <v>108</v>
      </c>
      <c r="H625" s="1499">
        <f t="shared" si="180"/>
        <v>108</v>
      </c>
      <c r="I625" s="1450"/>
      <c r="J625" s="1461"/>
      <c r="K625" s="1457"/>
      <c r="L625" s="1457"/>
      <c r="M625" s="1457"/>
      <c r="N625" s="1457"/>
      <c r="O625" s="1457"/>
      <c r="P625" s="1462"/>
      <c r="Q625" s="1495"/>
      <c r="R625" s="1461">
        <v>15000</v>
      </c>
      <c r="S625" s="1457">
        <v>16200</v>
      </c>
      <c r="T625" s="1457"/>
      <c r="U625" s="1457"/>
      <c r="V625" s="1457"/>
      <c r="W625" s="1462">
        <f t="shared" si="184"/>
        <v>16200</v>
      </c>
      <c r="X625" s="1496">
        <f aca="true" t="shared" si="185" ref="X625:X688">W625/R625*100</f>
        <v>108</v>
      </c>
      <c r="Y625" s="1444"/>
    </row>
    <row r="626" spans="1:25" ht="24">
      <c r="A626" s="1497">
        <v>4010</v>
      </c>
      <c r="B626" s="1513" t="s">
        <v>626</v>
      </c>
      <c r="C626" s="1457">
        <v>9217000</v>
      </c>
      <c r="D626" s="1457">
        <f t="shared" si="182"/>
        <v>9139927</v>
      </c>
      <c r="E626" s="1458">
        <v>10192900</v>
      </c>
      <c r="F626" s="1459">
        <f t="shared" si="183"/>
        <v>9490000</v>
      </c>
      <c r="G626" s="1499">
        <f t="shared" si="175"/>
        <v>102.96191819464033</v>
      </c>
      <c r="H626" s="1499">
        <f t="shared" si="180"/>
        <v>103.8301509410305</v>
      </c>
      <c r="I626" s="1450"/>
      <c r="J626" s="1461"/>
      <c r="K626" s="1457"/>
      <c r="L626" s="1457"/>
      <c r="M626" s="1457"/>
      <c r="N626" s="1457"/>
      <c r="O626" s="1457"/>
      <c r="P626" s="1462"/>
      <c r="Q626" s="1495"/>
      <c r="R626" s="1461">
        <v>9139927</v>
      </c>
      <c r="S626" s="1457">
        <v>9490000</v>
      </c>
      <c r="T626" s="1457"/>
      <c r="U626" s="1457"/>
      <c r="V626" s="1457"/>
      <c r="W626" s="1462">
        <f t="shared" si="184"/>
        <v>9490000</v>
      </c>
      <c r="X626" s="1496">
        <f t="shared" si="185"/>
        <v>103.8301509410305</v>
      </c>
      <c r="Y626" s="1444"/>
    </row>
    <row r="627" spans="1:25" ht="12.75">
      <c r="A627" s="1497">
        <v>4040</v>
      </c>
      <c r="B627" s="1513" t="s">
        <v>630</v>
      </c>
      <c r="C627" s="1457">
        <v>694200</v>
      </c>
      <c r="D627" s="1457">
        <f t="shared" si="182"/>
        <v>681584</v>
      </c>
      <c r="E627" s="1458">
        <v>786900</v>
      </c>
      <c r="F627" s="1459">
        <f t="shared" si="183"/>
        <v>752000</v>
      </c>
      <c r="G627" s="1499">
        <f t="shared" si="175"/>
        <v>108.32613079804092</v>
      </c>
      <c r="H627" s="1499">
        <f t="shared" si="180"/>
        <v>110.33122843259231</v>
      </c>
      <c r="I627" s="1450"/>
      <c r="J627" s="1461"/>
      <c r="K627" s="1457"/>
      <c r="L627" s="1457"/>
      <c r="M627" s="1457"/>
      <c r="N627" s="1457"/>
      <c r="O627" s="1457"/>
      <c r="P627" s="1462"/>
      <c r="Q627" s="1495"/>
      <c r="R627" s="1461">
        <v>681584</v>
      </c>
      <c r="S627" s="1457">
        <v>752000</v>
      </c>
      <c r="T627" s="1457"/>
      <c r="U627" s="1457"/>
      <c r="V627" s="1457"/>
      <c r="W627" s="1462">
        <f t="shared" si="184"/>
        <v>752000</v>
      </c>
      <c r="X627" s="1496">
        <f t="shared" si="185"/>
        <v>110.33122843259231</v>
      </c>
      <c r="Y627" s="1444"/>
    </row>
    <row r="628" spans="1:25" ht="12.75">
      <c r="A628" s="1497">
        <v>4110</v>
      </c>
      <c r="B628" s="1513" t="s">
        <v>568</v>
      </c>
      <c r="C628" s="1457">
        <v>1730000</v>
      </c>
      <c r="D628" s="1457">
        <f t="shared" si="182"/>
        <v>1556350</v>
      </c>
      <c r="E628" s="1458">
        <v>1892900</v>
      </c>
      <c r="F628" s="1459">
        <f t="shared" si="183"/>
        <v>1814000</v>
      </c>
      <c r="G628" s="1499">
        <f t="shared" si="175"/>
        <v>104.85549132947978</v>
      </c>
      <c r="H628" s="1499">
        <f t="shared" si="180"/>
        <v>116.55475953352395</v>
      </c>
      <c r="I628" s="1450"/>
      <c r="J628" s="1461"/>
      <c r="K628" s="1457"/>
      <c r="L628" s="1457"/>
      <c r="M628" s="1457"/>
      <c r="N628" s="1457"/>
      <c r="O628" s="1457"/>
      <c r="P628" s="1462"/>
      <c r="Q628" s="1495"/>
      <c r="R628" s="1461">
        <v>1556350</v>
      </c>
      <c r="S628" s="1457">
        <v>1814000</v>
      </c>
      <c r="T628" s="1457"/>
      <c r="U628" s="1457"/>
      <c r="V628" s="1457"/>
      <c r="W628" s="1462">
        <f t="shared" si="184"/>
        <v>1814000</v>
      </c>
      <c r="X628" s="1496">
        <f t="shared" si="185"/>
        <v>116.55475953352395</v>
      </c>
      <c r="Y628" s="1444"/>
    </row>
    <row r="629" spans="1:25" ht="12.75">
      <c r="A629" s="1497">
        <v>4120</v>
      </c>
      <c r="B629" s="1513" t="s">
        <v>758</v>
      </c>
      <c r="C629" s="1457">
        <v>224000</v>
      </c>
      <c r="D629" s="1457">
        <f t="shared" si="182"/>
        <v>217640</v>
      </c>
      <c r="E629" s="1458">
        <v>260400</v>
      </c>
      <c r="F629" s="1459">
        <f t="shared" si="183"/>
        <v>246000</v>
      </c>
      <c r="G629" s="1499">
        <f t="shared" si="175"/>
        <v>109.82142857142858</v>
      </c>
      <c r="H629" s="1499">
        <f t="shared" si="180"/>
        <v>113.0306928873369</v>
      </c>
      <c r="I629" s="1450"/>
      <c r="J629" s="1461"/>
      <c r="K629" s="1457"/>
      <c r="L629" s="1457"/>
      <c r="M629" s="1457"/>
      <c r="N629" s="1457"/>
      <c r="O629" s="1457"/>
      <c r="P629" s="1462"/>
      <c r="Q629" s="1495"/>
      <c r="R629" s="1461">
        <v>217640</v>
      </c>
      <c r="S629" s="1457">
        <v>246000</v>
      </c>
      <c r="T629" s="1457"/>
      <c r="U629" s="1457"/>
      <c r="V629" s="1457"/>
      <c r="W629" s="1462">
        <f t="shared" si="184"/>
        <v>246000</v>
      </c>
      <c r="X629" s="1496">
        <f t="shared" si="185"/>
        <v>113.0306928873369</v>
      </c>
      <c r="Y629" s="1444"/>
    </row>
    <row r="630" spans="1:25" ht="12.75">
      <c r="A630" s="1497">
        <v>4140</v>
      </c>
      <c r="B630" s="1513" t="s">
        <v>911</v>
      </c>
      <c r="C630" s="1457">
        <v>34300</v>
      </c>
      <c r="D630" s="1457">
        <f t="shared" si="182"/>
        <v>49756</v>
      </c>
      <c r="E630" s="1458">
        <v>54400</v>
      </c>
      <c r="F630" s="1459">
        <f t="shared" si="183"/>
        <v>54400</v>
      </c>
      <c r="G630" s="1499">
        <f t="shared" si="175"/>
        <v>158.60058309037902</v>
      </c>
      <c r="H630" s="1499">
        <f t="shared" si="180"/>
        <v>109.33354771283865</v>
      </c>
      <c r="I630" s="1450"/>
      <c r="J630" s="1461"/>
      <c r="K630" s="1457"/>
      <c r="L630" s="1457"/>
      <c r="M630" s="1457"/>
      <c r="N630" s="1457"/>
      <c r="O630" s="1457"/>
      <c r="P630" s="1462"/>
      <c r="Q630" s="1495"/>
      <c r="R630" s="1461">
        <v>49756</v>
      </c>
      <c r="S630" s="1457">
        <v>54400</v>
      </c>
      <c r="T630" s="1457"/>
      <c r="U630" s="1457"/>
      <c r="V630" s="1457"/>
      <c r="W630" s="1462">
        <f t="shared" si="184"/>
        <v>54400</v>
      </c>
      <c r="X630" s="1496">
        <f t="shared" si="185"/>
        <v>109.33354771283865</v>
      </c>
      <c r="Y630" s="1444"/>
    </row>
    <row r="631" spans="1:25" ht="12.75" hidden="1">
      <c r="A631" s="1497">
        <v>4170</v>
      </c>
      <c r="B631" s="1513" t="s">
        <v>572</v>
      </c>
      <c r="C631" s="1457"/>
      <c r="D631" s="1457">
        <f t="shared" si="182"/>
        <v>0</v>
      </c>
      <c r="E631" s="1458">
        <v>3000</v>
      </c>
      <c r="F631" s="1459">
        <f t="shared" si="183"/>
        <v>0</v>
      </c>
      <c r="G631" s="1499"/>
      <c r="H631" s="1499"/>
      <c r="I631" s="1450"/>
      <c r="J631" s="1461"/>
      <c r="K631" s="1457"/>
      <c r="L631" s="1457"/>
      <c r="M631" s="1457"/>
      <c r="N631" s="1457"/>
      <c r="O631" s="1457"/>
      <c r="P631" s="1462"/>
      <c r="Q631" s="1495"/>
      <c r="R631" s="1461"/>
      <c r="S631" s="1457"/>
      <c r="T631" s="1457"/>
      <c r="U631" s="1457"/>
      <c r="V631" s="1457"/>
      <c r="W631" s="1462"/>
      <c r="X631" s="1496"/>
      <c r="Y631" s="1444"/>
    </row>
    <row r="632" spans="1:25" ht="12.75">
      <c r="A632" s="1497">
        <v>4210</v>
      </c>
      <c r="B632" s="1513" t="s">
        <v>560</v>
      </c>
      <c r="C632" s="1457">
        <v>300000</v>
      </c>
      <c r="D632" s="1457">
        <f t="shared" si="182"/>
        <v>386700</v>
      </c>
      <c r="E632" s="1458">
        <v>699700</v>
      </c>
      <c r="F632" s="1459">
        <f t="shared" si="183"/>
        <v>357000</v>
      </c>
      <c r="G632" s="1499">
        <f t="shared" si="175"/>
        <v>119</v>
      </c>
      <c r="H632" s="1499">
        <f t="shared" si="180"/>
        <v>92.31962761830876</v>
      </c>
      <c r="I632" s="1450"/>
      <c r="J632" s="1461"/>
      <c r="K632" s="1457"/>
      <c r="L632" s="1457"/>
      <c r="M632" s="1457"/>
      <c r="N632" s="1457"/>
      <c r="O632" s="1457"/>
      <c r="P632" s="1462"/>
      <c r="Q632" s="1495"/>
      <c r="R632" s="1461">
        <v>386700</v>
      </c>
      <c r="S632" s="1457">
        <v>357000</v>
      </c>
      <c r="T632" s="1457"/>
      <c r="U632" s="1457"/>
      <c r="V632" s="1457"/>
      <c r="W632" s="1462">
        <f t="shared" si="184"/>
        <v>357000</v>
      </c>
      <c r="X632" s="1496">
        <f t="shared" si="185"/>
        <v>92.31962761830876</v>
      </c>
      <c r="Y632" s="1444"/>
    </row>
    <row r="633" spans="1:25" ht="24">
      <c r="A633" s="1497">
        <v>4240</v>
      </c>
      <c r="B633" s="1513" t="s">
        <v>897</v>
      </c>
      <c r="C633" s="1457">
        <v>110000</v>
      </c>
      <c r="D633" s="1457">
        <f t="shared" si="182"/>
        <v>107100</v>
      </c>
      <c r="E633" s="1458">
        <v>469500</v>
      </c>
      <c r="F633" s="1459">
        <f t="shared" si="183"/>
        <v>131100</v>
      </c>
      <c r="G633" s="1499">
        <f t="shared" si="175"/>
        <v>119.18181818181819</v>
      </c>
      <c r="H633" s="1499">
        <f t="shared" si="180"/>
        <v>122.40896358543418</v>
      </c>
      <c r="I633" s="1450"/>
      <c r="J633" s="1461"/>
      <c r="K633" s="1457"/>
      <c r="L633" s="1457"/>
      <c r="M633" s="1457"/>
      <c r="N633" s="1457"/>
      <c r="O633" s="1457"/>
      <c r="P633" s="1462"/>
      <c r="Q633" s="1495"/>
      <c r="R633" s="1461">
        <v>107100</v>
      </c>
      <c r="S633" s="1457">
        <v>131100</v>
      </c>
      <c r="T633" s="1457"/>
      <c r="U633" s="1457"/>
      <c r="V633" s="1457"/>
      <c r="W633" s="1462">
        <f t="shared" si="184"/>
        <v>131100</v>
      </c>
      <c r="X633" s="1496">
        <f t="shared" si="185"/>
        <v>122.40896358543418</v>
      </c>
      <c r="Y633" s="1444"/>
    </row>
    <row r="634" spans="1:25" ht="12.75">
      <c r="A634" s="1497">
        <v>4260</v>
      </c>
      <c r="B634" s="1513" t="s">
        <v>575</v>
      </c>
      <c r="C634" s="1457">
        <v>901000</v>
      </c>
      <c r="D634" s="1457">
        <f t="shared" si="182"/>
        <v>824000</v>
      </c>
      <c r="E634" s="1458">
        <v>1014700</v>
      </c>
      <c r="F634" s="1459">
        <f t="shared" si="183"/>
        <v>824000</v>
      </c>
      <c r="G634" s="1499">
        <f t="shared" si="175"/>
        <v>91.45394006659268</v>
      </c>
      <c r="H634" s="1499">
        <f t="shared" si="180"/>
        <v>100</v>
      </c>
      <c r="I634" s="1450"/>
      <c r="J634" s="1461"/>
      <c r="K634" s="1457"/>
      <c r="L634" s="1457"/>
      <c r="M634" s="1457"/>
      <c r="N634" s="1457"/>
      <c r="O634" s="1457"/>
      <c r="P634" s="1462"/>
      <c r="Q634" s="1495"/>
      <c r="R634" s="1461">
        <v>824000</v>
      </c>
      <c r="S634" s="1457">
        <v>824000</v>
      </c>
      <c r="T634" s="1457"/>
      <c r="U634" s="1457"/>
      <c r="V634" s="1457"/>
      <c r="W634" s="1462">
        <f t="shared" si="184"/>
        <v>824000</v>
      </c>
      <c r="X634" s="1496">
        <f t="shared" si="185"/>
        <v>100</v>
      </c>
      <c r="Y634" s="1444"/>
    </row>
    <row r="635" spans="1:25" ht="12.75">
      <c r="A635" s="1497">
        <v>4270</v>
      </c>
      <c r="B635" s="1513" t="s">
        <v>576</v>
      </c>
      <c r="C635" s="1457">
        <v>59000</v>
      </c>
      <c r="D635" s="1457">
        <f t="shared" si="182"/>
        <v>56706</v>
      </c>
      <c r="E635" s="1458">
        <v>71600</v>
      </c>
      <c r="F635" s="1459">
        <f t="shared" si="183"/>
        <v>37600</v>
      </c>
      <c r="G635" s="1499">
        <f t="shared" si="175"/>
        <v>63.72881355932203</v>
      </c>
      <c r="H635" s="1499">
        <f t="shared" si="180"/>
        <v>66.30691637569217</v>
      </c>
      <c r="I635" s="1450"/>
      <c r="J635" s="1461"/>
      <c r="K635" s="1457"/>
      <c r="L635" s="1457"/>
      <c r="M635" s="1457"/>
      <c r="N635" s="1457"/>
      <c r="O635" s="1457"/>
      <c r="P635" s="1462"/>
      <c r="Q635" s="1495"/>
      <c r="R635" s="1461">
        <v>56706</v>
      </c>
      <c r="S635" s="1457"/>
      <c r="T635" s="1457"/>
      <c r="U635" s="1457"/>
      <c r="V635" s="1457">
        <v>37600</v>
      </c>
      <c r="W635" s="1462">
        <f t="shared" si="184"/>
        <v>37600</v>
      </c>
      <c r="X635" s="1496">
        <f t="shared" si="185"/>
        <v>66.30691637569217</v>
      </c>
      <c r="Y635" s="1444"/>
    </row>
    <row r="636" spans="1:25" ht="12.75">
      <c r="A636" s="1497">
        <v>4280</v>
      </c>
      <c r="B636" s="1513" t="s">
        <v>723</v>
      </c>
      <c r="C636" s="1457">
        <v>15600</v>
      </c>
      <c r="D636" s="1457">
        <f t="shared" si="182"/>
        <v>14174</v>
      </c>
      <c r="E636" s="1458">
        <v>16200</v>
      </c>
      <c r="F636" s="1459">
        <f t="shared" si="183"/>
        <v>16200</v>
      </c>
      <c r="G636" s="1499">
        <f t="shared" si="175"/>
        <v>103.84615384615385</v>
      </c>
      <c r="H636" s="1499">
        <f t="shared" si="180"/>
        <v>114.29377733878934</v>
      </c>
      <c r="I636" s="1450"/>
      <c r="J636" s="1461"/>
      <c r="K636" s="1457"/>
      <c r="L636" s="1457"/>
      <c r="M636" s="1457"/>
      <c r="N636" s="1457"/>
      <c r="O636" s="1457"/>
      <c r="P636" s="1462"/>
      <c r="Q636" s="1495"/>
      <c r="R636" s="1461">
        <v>14174</v>
      </c>
      <c r="S636" s="1457">
        <v>16200</v>
      </c>
      <c r="T636" s="1457"/>
      <c r="U636" s="1457"/>
      <c r="V636" s="1457"/>
      <c r="W636" s="1462">
        <f t="shared" si="184"/>
        <v>16200</v>
      </c>
      <c r="X636" s="1496">
        <f t="shared" si="185"/>
        <v>114.29377733878934</v>
      </c>
      <c r="Y636" s="1444"/>
    </row>
    <row r="637" spans="1:25" ht="12.75">
      <c r="A637" s="1497">
        <v>4300</v>
      </c>
      <c r="B637" s="1513" t="s">
        <v>564</v>
      </c>
      <c r="C637" s="1457">
        <v>370000</v>
      </c>
      <c r="D637" s="1457">
        <f t="shared" si="182"/>
        <v>507620</v>
      </c>
      <c r="E637" s="1458">
        <v>401400</v>
      </c>
      <c r="F637" s="1459">
        <f t="shared" si="183"/>
        <v>275000</v>
      </c>
      <c r="G637" s="1499">
        <f t="shared" si="175"/>
        <v>74.32432432432432</v>
      </c>
      <c r="H637" s="1499">
        <f t="shared" si="180"/>
        <v>54.1743824120405</v>
      </c>
      <c r="I637" s="1450"/>
      <c r="J637" s="1461"/>
      <c r="K637" s="1457"/>
      <c r="L637" s="1457"/>
      <c r="M637" s="1457"/>
      <c r="N637" s="1457"/>
      <c r="O637" s="1457"/>
      <c r="P637" s="1462"/>
      <c r="Q637" s="1495"/>
      <c r="R637" s="1461">
        <v>507620</v>
      </c>
      <c r="S637" s="1457">
        <v>275000</v>
      </c>
      <c r="T637" s="1457"/>
      <c r="U637" s="1457"/>
      <c r="V637" s="1457"/>
      <c r="W637" s="1462">
        <f t="shared" si="184"/>
        <v>275000</v>
      </c>
      <c r="X637" s="1496">
        <f t="shared" si="185"/>
        <v>54.1743824120405</v>
      </c>
      <c r="Y637" s="1444"/>
    </row>
    <row r="638" spans="1:25" ht="12.75">
      <c r="A638" s="1497">
        <v>4350</v>
      </c>
      <c r="B638" s="1513" t="s">
        <v>820</v>
      </c>
      <c r="C638" s="1457"/>
      <c r="D638" s="1457">
        <f t="shared" si="182"/>
        <v>7680</v>
      </c>
      <c r="E638" s="1458">
        <v>13600</v>
      </c>
      <c r="F638" s="1459">
        <f t="shared" si="183"/>
        <v>13600</v>
      </c>
      <c r="G638" s="1499"/>
      <c r="H638" s="1499">
        <f t="shared" si="180"/>
        <v>177.08333333333331</v>
      </c>
      <c r="I638" s="1450"/>
      <c r="J638" s="1461"/>
      <c r="K638" s="1457"/>
      <c r="L638" s="1457"/>
      <c r="M638" s="1457"/>
      <c r="N638" s="1457"/>
      <c r="O638" s="1457"/>
      <c r="P638" s="1462"/>
      <c r="Q638" s="1495"/>
      <c r="R638" s="1461">
        <v>7680</v>
      </c>
      <c r="S638" s="1457">
        <v>13600</v>
      </c>
      <c r="T638" s="1457"/>
      <c r="U638" s="1457"/>
      <c r="V638" s="1457"/>
      <c r="W638" s="1462">
        <f t="shared" si="184"/>
        <v>13600</v>
      </c>
      <c r="X638" s="1496">
        <f t="shared" si="185"/>
        <v>177.08333333333331</v>
      </c>
      <c r="Y638" s="1444"/>
    </row>
    <row r="639" spans="1:25" ht="12.75">
      <c r="A639" s="1497">
        <v>4410</v>
      </c>
      <c r="B639" s="1513" t="s">
        <v>618</v>
      </c>
      <c r="C639" s="1457">
        <v>21800</v>
      </c>
      <c r="D639" s="1457">
        <f t="shared" si="182"/>
        <v>22800</v>
      </c>
      <c r="E639" s="1458">
        <v>27600</v>
      </c>
      <c r="F639" s="1459">
        <f t="shared" si="183"/>
        <v>22000</v>
      </c>
      <c r="G639" s="1499">
        <f t="shared" si="175"/>
        <v>100.91743119266054</v>
      </c>
      <c r="H639" s="1499">
        <f t="shared" si="180"/>
        <v>96.49122807017544</v>
      </c>
      <c r="I639" s="1450"/>
      <c r="J639" s="1461"/>
      <c r="K639" s="1457"/>
      <c r="L639" s="1457"/>
      <c r="M639" s="1457"/>
      <c r="N639" s="1457"/>
      <c r="O639" s="1457"/>
      <c r="P639" s="1462"/>
      <c r="Q639" s="1495"/>
      <c r="R639" s="1461">
        <v>22800</v>
      </c>
      <c r="S639" s="1457">
        <v>22000</v>
      </c>
      <c r="T639" s="1457"/>
      <c r="U639" s="1457"/>
      <c r="V639" s="1457"/>
      <c r="W639" s="1462">
        <f t="shared" si="184"/>
        <v>22000</v>
      </c>
      <c r="X639" s="1496">
        <f t="shared" si="185"/>
        <v>96.49122807017544</v>
      </c>
      <c r="Y639" s="1444"/>
    </row>
    <row r="640" spans="1:25" ht="12.75">
      <c r="A640" s="1497">
        <v>4420</v>
      </c>
      <c r="B640" s="1513" t="s">
        <v>736</v>
      </c>
      <c r="C640" s="1457">
        <v>12000</v>
      </c>
      <c r="D640" s="1457">
        <f t="shared" si="182"/>
        <v>15800</v>
      </c>
      <c r="E640" s="1458">
        <v>27800</v>
      </c>
      <c r="F640" s="1459">
        <f t="shared" si="183"/>
        <v>15800</v>
      </c>
      <c r="G640" s="1499">
        <f t="shared" si="175"/>
        <v>131.66666666666666</v>
      </c>
      <c r="H640" s="1499">
        <f t="shared" si="180"/>
        <v>100</v>
      </c>
      <c r="I640" s="1450"/>
      <c r="J640" s="1461"/>
      <c r="K640" s="1457"/>
      <c r="L640" s="1457"/>
      <c r="M640" s="1457"/>
      <c r="N640" s="1457"/>
      <c r="O640" s="1457"/>
      <c r="P640" s="1462"/>
      <c r="Q640" s="1495"/>
      <c r="R640" s="1461">
        <v>15800</v>
      </c>
      <c r="S640" s="1457">
        <v>15800</v>
      </c>
      <c r="T640" s="1457"/>
      <c r="U640" s="1457"/>
      <c r="V640" s="1457"/>
      <c r="W640" s="1462">
        <f t="shared" si="184"/>
        <v>15800</v>
      </c>
      <c r="X640" s="1496">
        <f t="shared" si="185"/>
        <v>100</v>
      </c>
      <c r="Y640" s="1444"/>
    </row>
    <row r="641" spans="1:25" ht="12.75">
      <c r="A641" s="1497">
        <v>4440</v>
      </c>
      <c r="B641" s="1513" t="s">
        <v>641</v>
      </c>
      <c r="C641" s="1457">
        <v>579100</v>
      </c>
      <c r="D641" s="1457">
        <f t="shared" si="182"/>
        <v>560550</v>
      </c>
      <c r="E641" s="1458">
        <v>588300</v>
      </c>
      <c r="F641" s="1459">
        <f t="shared" si="183"/>
        <v>588300</v>
      </c>
      <c r="G641" s="1499">
        <f t="shared" si="175"/>
        <v>101.58867207736142</v>
      </c>
      <c r="H641" s="1499">
        <f t="shared" si="180"/>
        <v>104.95049504950495</v>
      </c>
      <c r="I641" s="1450"/>
      <c r="J641" s="1461"/>
      <c r="K641" s="1457"/>
      <c r="L641" s="1457"/>
      <c r="M641" s="1457"/>
      <c r="N641" s="1457"/>
      <c r="O641" s="1457"/>
      <c r="P641" s="1462"/>
      <c r="Q641" s="1495"/>
      <c r="R641" s="1461">
        <v>560550</v>
      </c>
      <c r="S641" s="1457">
        <v>588300</v>
      </c>
      <c r="T641" s="1457"/>
      <c r="U641" s="1457"/>
      <c r="V641" s="1457"/>
      <c r="W641" s="1462">
        <f t="shared" si="184"/>
        <v>588300</v>
      </c>
      <c r="X641" s="1496">
        <f t="shared" si="185"/>
        <v>104.95049504950495</v>
      </c>
      <c r="Y641" s="1444"/>
    </row>
    <row r="642" spans="1:25" ht="24">
      <c r="A642" s="1497">
        <v>6050</v>
      </c>
      <c r="B642" s="1513" t="s">
        <v>892</v>
      </c>
      <c r="C642" s="1457"/>
      <c r="D642" s="1457">
        <f t="shared" si="182"/>
        <v>65794</v>
      </c>
      <c r="E642" s="1458">
        <v>170900</v>
      </c>
      <c r="F642" s="1459">
        <f t="shared" si="183"/>
        <v>0</v>
      </c>
      <c r="G642" s="1499"/>
      <c r="H642" s="1499">
        <f t="shared" si="180"/>
        <v>0</v>
      </c>
      <c r="I642" s="1450"/>
      <c r="J642" s="1461"/>
      <c r="K642" s="1457"/>
      <c r="L642" s="1457"/>
      <c r="M642" s="1457"/>
      <c r="N642" s="1457"/>
      <c r="O642" s="1457"/>
      <c r="P642" s="1462"/>
      <c r="Q642" s="1495"/>
      <c r="R642" s="1461">
        <v>65794</v>
      </c>
      <c r="S642" s="1457"/>
      <c r="T642" s="1457"/>
      <c r="U642" s="1457"/>
      <c r="V642" s="1457"/>
      <c r="W642" s="1462">
        <f t="shared" si="184"/>
        <v>0</v>
      </c>
      <c r="X642" s="1496">
        <f t="shared" si="185"/>
        <v>0</v>
      </c>
      <c r="Y642" s="1444"/>
    </row>
    <row r="643" spans="1:25" ht="24">
      <c r="A643" s="1497">
        <v>6060</v>
      </c>
      <c r="B643" s="1513" t="s">
        <v>870</v>
      </c>
      <c r="C643" s="1457"/>
      <c r="D643" s="1457">
        <f t="shared" si="182"/>
        <v>20400</v>
      </c>
      <c r="E643" s="1458">
        <v>27400</v>
      </c>
      <c r="F643" s="1459">
        <f t="shared" si="183"/>
        <v>0</v>
      </c>
      <c r="G643" s="1499"/>
      <c r="H643" s="1499">
        <f t="shared" si="180"/>
        <v>0</v>
      </c>
      <c r="I643" s="1450"/>
      <c r="J643" s="1461"/>
      <c r="K643" s="1457"/>
      <c r="L643" s="1457"/>
      <c r="M643" s="1457"/>
      <c r="N643" s="1457"/>
      <c r="O643" s="1457"/>
      <c r="P643" s="1462"/>
      <c r="Q643" s="1495"/>
      <c r="R643" s="1461">
        <v>20400</v>
      </c>
      <c r="S643" s="1457"/>
      <c r="T643" s="1457"/>
      <c r="U643" s="1457"/>
      <c r="V643" s="1457"/>
      <c r="W643" s="1462">
        <f t="shared" si="184"/>
        <v>0</v>
      </c>
      <c r="X643" s="1496">
        <f t="shared" si="185"/>
        <v>0</v>
      </c>
      <c r="Y643" s="1444"/>
    </row>
    <row r="644" spans="1:28" s="581" customFormat="1" ht="24">
      <c r="A644" s="1516">
        <v>80132</v>
      </c>
      <c r="B644" s="1550" t="s">
        <v>912</v>
      </c>
      <c r="C644" s="1467">
        <f>SUM(C645:C657)</f>
        <v>193400</v>
      </c>
      <c r="D644" s="1467">
        <f>SUM(D645:D657)</f>
        <v>205510</v>
      </c>
      <c r="E644" s="1468">
        <f>SUM(E645:E657)</f>
        <v>227600</v>
      </c>
      <c r="F644" s="1469">
        <f>SUM(F645:F657)</f>
        <v>206800</v>
      </c>
      <c r="G644" s="1531">
        <f t="shared" si="175"/>
        <v>106.92864529472597</v>
      </c>
      <c r="H644" s="1532">
        <f t="shared" si="180"/>
        <v>100.6277066809401</v>
      </c>
      <c r="I644" s="1450"/>
      <c r="J644" s="1470"/>
      <c r="K644" s="1467"/>
      <c r="L644" s="1467"/>
      <c r="M644" s="1467"/>
      <c r="N644" s="1467"/>
      <c r="O644" s="1467"/>
      <c r="P644" s="1471"/>
      <c r="Q644" s="1453"/>
      <c r="R644" s="1470">
        <f aca="true" t="shared" si="186" ref="R644:W644">SUM(R645:R657)</f>
        <v>205510</v>
      </c>
      <c r="S644" s="1469">
        <f t="shared" si="186"/>
        <v>206800</v>
      </c>
      <c r="T644" s="1469">
        <f t="shared" si="186"/>
        <v>0</v>
      </c>
      <c r="U644" s="1467">
        <f t="shared" si="186"/>
        <v>0</v>
      </c>
      <c r="V644" s="1467">
        <f t="shared" si="186"/>
        <v>0</v>
      </c>
      <c r="W644" s="1471">
        <f t="shared" si="186"/>
        <v>206800</v>
      </c>
      <c r="X644" s="1454">
        <f t="shared" si="185"/>
        <v>100.6277066809401</v>
      </c>
      <c r="Y644" s="1444"/>
      <c r="AA644" s="1444">
        <f>SUM(S646:S649)</f>
        <v>183400</v>
      </c>
      <c r="AB644" s="1444">
        <f>Z644+AA644</f>
        <v>183400</v>
      </c>
    </row>
    <row r="645" spans="1:28" s="571" customFormat="1" ht="24">
      <c r="A645" s="1497">
        <v>3020</v>
      </c>
      <c r="B645" s="1513" t="s">
        <v>717</v>
      </c>
      <c r="C645" s="1457">
        <v>100</v>
      </c>
      <c r="D645" s="1457">
        <f>J645+R645</f>
        <v>100</v>
      </c>
      <c r="E645" s="1458">
        <v>200</v>
      </c>
      <c r="F645" s="1459">
        <f>P645+W645</f>
        <v>200</v>
      </c>
      <c r="G645" s="1499">
        <f t="shared" si="175"/>
        <v>200</v>
      </c>
      <c r="H645" s="1499">
        <f t="shared" si="180"/>
        <v>200</v>
      </c>
      <c r="I645" s="1581"/>
      <c r="J645" s="1461"/>
      <c r="K645" s="1457"/>
      <c r="L645" s="1457"/>
      <c r="M645" s="1457"/>
      <c r="N645" s="1457"/>
      <c r="O645" s="1457"/>
      <c r="P645" s="1462"/>
      <c r="Q645" s="1495"/>
      <c r="R645" s="1461">
        <v>100</v>
      </c>
      <c r="S645" s="1457">
        <v>200</v>
      </c>
      <c r="T645" s="1457"/>
      <c r="U645" s="1457"/>
      <c r="V645" s="1457"/>
      <c r="W645" s="1462">
        <f>SUM(S645:V645)</f>
        <v>200</v>
      </c>
      <c r="X645" s="1496">
        <f>W645/R645*100</f>
        <v>200</v>
      </c>
      <c r="Y645" s="1300"/>
      <c r="AA645" s="1300"/>
      <c r="AB645" s="1300"/>
    </row>
    <row r="646" spans="1:25" ht="16.5" customHeight="1">
      <c r="A646" s="1497">
        <v>4010</v>
      </c>
      <c r="B646" s="1513" t="s">
        <v>626</v>
      </c>
      <c r="C646" s="1457">
        <v>131000</v>
      </c>
      <c r="D646" s="1457">
        <f>J646+R646</f>
        <v>138700</v>
      </c>
      <c r="E646" s="1458">
        <v>154200</v>
      </c>
      <c r="F646" s="1459">
        <f>P646+W646</f>
        <v>141000</v>
      </c>
      <c r="G646" s="1499">
        <f t="shared" si="175"/>
        <v>107.63358778625954</v>
      </c>
      <c r="H646" s="1499">
        <f t="shared" si="180"/>
        <v>101.65825522710887</v>
      </c>
      <c r="I646" s="1450"/>
      <c r="J646" s="1461"/>
      <c r="K646" s="1457"/>
      <c r="L646" s="1457"/>
      <c r="M646" s="1457"/>
      <c r="N646" s="1457"/>
      <c r="O646" s="1457"/>
      <c r="P646" s="1462"/>
      <c r="Q646" s="1495"/>
      <c r="R646" s="1461">
        <v>138700</v>
      </c>
      <c r="S646" s="1457">
        <v>141000</v>
      </c>
      <c r="T646" s="1457"/>
      <c r="U646" s="1457"/>
      <c r="V646" s="1457"/>
      <c r="W646" s="1462">
        <f>SUM(S646:V646)</f>
        <v>141000</v>
      </c>
      <c r="X646" s="1496">
        <f t="shared" si="185"/>
        <v>101.65825522710887</v>
      </c>
      <c r="Y646" s="1444"/>
    </row>
    <row r="647" spans="1:25" ht="16.5" customHeight="1">
      <c r="A647" s="1497">
        <v>4040</v>
      </c>
      <c r="B647" s="1513" t="s">
        <v>630</v>
      </c>
      <c r="C647" s="1457">
        <v>10500</v>
      </c>
      <c r="D647" s="1457">
        <f aca="true" t="shared" si="187" ref="D647:D657">J647+R647</f>
        <v>13110</v>
      </c>
      <c r="E647" s="1458">
        <v>11700</v>
      </c>
      <c r="F647" s="1459">
        <f aca="true" t="shared" si="188" ref="F647:F659">P647+W647</f>
        <v>11700</v>
      </c>
      <c r="G647" s="1499">
        <f t="shared" si="175"/>
        <v>111.42857142857143</v>
      </c>
      <c r="H647" s="1499">
        <f t="shared" si="180"/>
        <v>89.24485125858124</v>
      </c>
      <c r="I647" s="1450"/>
      <c r="J647" s="1461"/>
      <c r="K647" s="1457"/>
      <c r="L647" s="1457"/>
      <c r="M647" s="1457"/>
      <c r="N647" s="1457"/>
      <c r="O647" s="1457"/>
      <c r="P647" s="1462"/>
      <c r="Q647" s="1495"/>
      <c r="R647" s="1461">
        <v>13110</v>
      </c>
      <c r="S647" s="1457">
        <v>11700</v>
      </c>
      <c r="T647" s="1457"/>
      <c r="U647" s="1457"/>
      <c r="V647" s="1457"/>
      <c r="W647" s="1462">
        <f aca="true" t="shared" si="189" ref="W647:W659">SUM(S647:V647)</f>
        <v>11700</v>
      </c>
      <c r="X647" s="1496">
        <f t="shared" si="185"/>
        <v>89.24485125858124</v>
      </c>
      <c r="Y647" s="1444"/>
    </row>
    <row r="648" spans="1:25" ht="16.5" customHeight="1">
      <c r="A648" s="1497">
        <v>4110</v>
      </c>
      <c r="B648" s="1513" t="s">
        <v>568</v>
      </c>
      <c r="C648" s="1457">
        <v>25500</v>
      </c>
      <c r="D648" s="1457">
        <f t="shared" si="187"/>
        <v>27000</v>
      </c>
      <c r="E648" s="1458">
        <v>28800</v>
      </c>
      <c r="F648" s="1459">
        <f t="shared" si="188"/>
        <v>27000</v>
      </c>
      <c r="G648" s="1499">
        <f t="shared" si="175"/>
        <v>105.88235294117648</v>
      </c>
      <c r="H648" s="1499">
        <f t="shared" si="180"/>
        <v>100</v>
      </c>
      <c r="I648" s="1450"/>
      <c r="J648" s="1461"/>
      <c r="K648" s="1457"/>
      <c r="L648" s="1457"/>
      <c r="M648" s="1457"/>
      <c r="N648" s="1457"/>
      <c r="O648" s="1457"/>
      <c r="P648" s="1462"/>
      <c r="Q648" s="1495"/>
      <c r="R648" s="1461">
        <v>27000</v>
      </c>
      <c r="S648" s="1457">
        <v>27000</v>
      </c>
      <c r="T648" s="1457"/>
      <c r="U648" s="1457"/>
      <c r="V648" s="1457"/>
      <c r="W648" s="1462">
        <f t="shared" si="189"/>
        <v>27000</v>
      </c>
      <c r="X648" s="1496">
        <f t="shared" si="185"/>
        <v>100</v>
      </c>
      <c r="Y648" s="1444"/>
    </row>
    <row r="649" spans="1:25" ht="16.5" customHeight="1">
      <c r="A649" s="1497">
        <v>4120</v>
      </c>
      <c r="B649" s="1513" t="s">
        <v>758</v>
      </c>
      <c r="C649" s="1457">
        <v>3500</v>
      </c>
      <c r="D649" s="1457">
        <f t="shared" si="187"/>
        <v>3700</v>
      </c>
      <c r="E649" s="1458">
        <v>4000</v>
      </c>
      <c r="F649" s="1459">
        <f t="shared" si="188"/>
        <v>3700</v>
      </c>
      <c r="G649" s="1499">
        <f t="shared" si="175"/>
        <v>105.71428571428572</v>
      </c>
      <c r="H649" s="1499">
        <f t="shared" si="180"/>
        <v>100</v>
      </c>
      <c r="I649" s="1450"/>
      <c r="J649" s="1461"/>
      <c r="K649" s="1457"/>
      <c r="L649" s="1457"/>
      <c r="M649" s="1457"/>
      <c r="N649" s="1457"/>
      <c r="O649" s="1457"/>
      <c r="P649" s="1462"/>
      <c r="Q649" s="1495"/>
      <c r="R649" s="1461">
        <v>3700</v>
      </c>
      <c r="S649" s="1457">
        <v>3700</v>
      </c>
      <c r="T649" s="1457"/>
      <c r="U649" s="1457"/>
      <c r="V649" s="1457"/>
      <c r="W649" s="1462">
        <f t="shared" si="189"/>
        <v>3700</v>
      </c>
      <c r="X649" s="1496">
        <f t="shared" si="185"/>
        <v>100</v>
      </c>
      <c r="Y649" s="1444"/>
    </row>
    <row r="650" spans="1:25" ht="20.25" customHeight="1">
      <c r="A650" s="1497">
        <v>4210</v>
      </c>
      <c r="B650" s="1513" t="s">
        <v>560</v>
      </c>
      <c r="C650" s="1457">
        <v>2000</v>
      </c>
      <c r="D650" s="1457">
        <f t="shared" si="187"/>
        <v>2000</v>
      </c>
      <c r="E650" s="1458">
        <v>3800</v>
      </c>
      <c r="F650" s="1459">
        <f t="shared" si="188"/>
        <v>2000</v>
      </c>
      <c r="G650" s="1499">
        <f t="shared" si="175"/>
        <v>100</v>
      </c>
      <c r="H650" s="1499">
        <f t="shared" si="180"/>
        <v>100</v>
      </c>
      <c r="I650" s="1450"/>
      <c r="J650" s="1461"/>
      <c r="K650" s="1457"/>
      <c r="L650" s="1457"/>
      <c r="M650" s="1457"/>
      <c r="N650" s="1457"/>
      <c r="O650" s="1457"/>
      <c r="P650" s="1462"/>
      <c r="Q650" s="1495"/>
      <c r="R650" s="1461">
        <v>2000</v>
      </c>
      <c r="S650" s="1457">
        <v>2000</v>
      </c>
      <c r="T650" s="1457"/>
      <c r="U650" s="1457"/>
      <c r="V650" s="1457"/>
      <c r="W650" s="1462">
        <f t="shared" si="189"/>
        <v>2000</v>
      </c>
      <c r="X650" s="1496">
        <f t="shared" si="185"/>
        <v>100</v>
      </c>
      <c r="Y650" s="1444"/>
    </row>
    <row r="651" spans="1:25" ht="24">
      <c r="A651" s="1497">
        <v>4240</v>
      </c>
      <c r="B651" s="1513" t="s">
        <v>897</v>
      </c>
      <c r="C651" s="1457">
        <v>2300</v>
      </c>
      <c r="D651" s="1457">
        <f t="shared" si="187"/>
        <v>2300</v>
      </c>
      <c r="E651" s="1458">
        <v>2600</v>
      </c>
      <c r="F651" s="1459">
        <f t="shared" si="188"/>
        <v>2000</v>
      </c>
      <c r="G651" s="1499">
        <f t="shared" si="175"/>
        <v>86.95652173913044</v>
      </c>
      <c r="H651" s="1499">
        <f t="shared" si="180"/>
        <v>86.95652173913044</v>
      </c>
      <c r="I651" s="1450"/>
      <c r="J651" s="1461"/>
      <c r="K651" s="1457"/>
      <c r="L651" s="1457"/>
      <c r="M651" s="1457"/>
      <c r="N651" s="1457"/>
      <c r="O651" s="1457"/>
      <c r="P651" s="1462"/>
      <c r="Q651" s="1495"/>
      <c r="R651" s="1461">
        <v>2300</v>
      </c>
      <c r="S651" s="1457">
        <v>2000</v>
      </c>
      <c r="T651" s="1457"/>
      <c r="U651" s="1457"/>
      <c r="V651" s="1457"/>
      <c r="W651" s="1462">
        <f t="shared" si="189"/>
        <v>2000</v>
      </c>
      <c r="X651" s="1496">
        <f t="shared" si="185"/>
        <v>86.95652173913044</v>
      </c>
      <c r="Y651" s="1444"/>
    </row>
    <row r="652" spans="1:25" ht="12.75" hidden="1">
      <c r="A652" s="1497">
        <v>4260</v>
      </c>
      <c r="B652" s="1513" t="s">
        <v>575</v>
      </c>
      <c r="C652" s="1457"/>
      <c r="D652" s="1457">
        <f t="shared" si="187"/>
        <v>0</v>
      </c>
      <c r="E652" s="1458"/>
      <c r="F652" s="1459">
        <f>P652+W652</f>
        <v>0</v>
      </c>
      <c r="G652" s="1499" t="e">
        <f t="shared" si="175"/>
        <v>#DIV/0!</v>
      </c>
      <c r="H652" s="1499" t="e">
        <f t="shared" si="180"/>
        <v>#DIV/0!</v>
      </c>
      <c r="I652" s="1450"/>
      <c r="J652" s="1461"/>
      <c r="K652" s="1457"/>
      <c r="L652" s="1457"/>
      <c r="M652" s="1457"/>
      <c r="N652" s="1457"/>
      <c r="O652" s="1457"/>
      <c r="P652" s="1462"/>
      <c r="Q652" s="1495"/>
      <c r="R652" s="1461"/>
      <c r="S652" s="1457"/>
      <c r="T652" s="1457"/>
      <c r="U652" s="1457"/>
      <c r="V652" s="1457"/>
      <c r="W652" s="1462">
        <f t="shared" si="189"/>
        <v>0</v>
      </c>
      <c r="X652" s="1496" t="e">
        <f>W652/R652*100</f>
        <v>#DIV/0!</v>
      </c>
      <c r="Y652" s="1444"/>
    </row>
    <row r="653" spans="1:25" ht="15.75" customHeight="1">
      <c r="A653" s="1497">
        <v>4280</v>
      </c>
      <c r="B653" s="1513" t="s">
        <v>723</v>
      </c>
      <c r="C653" s="1457">
        <v>300</v>
      </c>
      <c r="D653" s="1457">
        <f t="shared" si="187"/>
        <v>300</v>
      </c>
      <c r="E653" s="1458">
        <v>300</v>
      </c>
      <c r="F653" s="1459">
        <f>P653+W653</f>
        <v>300</v>
      </c>
      <c r="G653" s="1499">
        <f t="shared" si="175"/>
        <v>100</v>
      </c>
      <c r="H653" s="1499">
        <f t="shared" si="180"/>
        <v>100</v>
      </c>
      <c r="I653" s="1450"/>
      <c r="J653" s="1461"/>
      <c r="K653" s="1457"/>
      <c r="L653" s="1457"/>
      <c r="M653" s="1457"/>
      <c r="N653" s="1457"/>
      <c r="O653" s="1457"/>
      <c r="P653" s="1462"/>
      <c r="Q653" s="1495"/>
      <c r="R653" s="1461">
        <v>300</v>
      </c>
      <c r="S653" s="1457">
        <v>300</v>
      </c>
      <c r="T653" s="1457"/>
      <c r="U653" s="1457"/>
      <c r="V653" s="1457"/>
      <c r="W653" s="1462">
        <f t="shared" si="189"/>
        <v>300</v>
      </c>
      <c r="X653" s="1496">
        <f>W653/R653*100</f>
        <v>100</v>
      </c>
      <c r="Y653" s="1444"/>
    </row>
    <row r="654" spans="1:25" ht="15.75" customHeight="1">
      <c r="A654" s="1497">
        <v>4300</v>
      </c>
      <c r="B654" s="1513" t="s">
        <v>564</v>
      </c>
      <c r="C654" s="1457">
        <v>8600</v>
      </c>
      <c r="D654" s="1457">
        <f t="shared" si="187"/>
        <v>6600</v>
      </c>
      <c r="E654" s="1458">
        <v>8700</v>
      </c>
      <c r="F654" s="1459">
        <f t="shared" si="188"/>
        <v>6000</v>
      </c>
      <c r="G654" s="1499">
        <f t="shared" si="175"/>
        <v>69.76744186046511</v>
      </c>
      <c r="H654" s="1499">
        <f t="shared" si="180"/>
        <v>90.9090909090909</v>
      </c>
      <c r="I654" s="1450"/>
      <c r="J654" s="1461"/>
      <c r="K654" s="1457"/>
      <c r="L654" s="1457"/>
      <c r="M654" s="1457"/>
      <c r="N654" s="1457"/>
      <c r="O654" s="1457"/>
      <c r="P654" s="1462"/>
      <c r="Q654" s="1495"/>
      <c r="R654" s="1461">
        <v>6600</v>
      </c>
      <c r="S654" s="1457">
        <v>6000</v>
      </c>
      <c r="T654" s="1457"/>
      <c r="U654" s="1457"/>
      <c r="V654" s="1457"/>
      <c r="W654" s="1462">
        <f t="shared" si="189"/>
        <v>6000</v>
      </c>
      <c r="X654" s="1496">
        <f t="shared" si="185"/>
        <v>90.9090909090909</v>
      </c>
      <c r="Y654" s="1444"/>
    </row>
    <row r="655" spans="1:25" ht="15.75" customHeight="1">
      <c r="A655" s="1497">
        <v>4350</v>
      </c>
      <c r="B655" s="1513" t="s">
        <v>820</v>
      </c>
      <c r="C655" s="1457"/>
      <c r="D655" s="1457">
        <f t="shared" si="187"/>
        <v>2000</v>
      </c>
      <c r="E655" s="1458">
        <v>1600</v>
      </c>
      <c r="F655" s="1459">
        <f t="shared" si="188"/>
        <v>1600</v>
      </c>
      <c r="G655" s="1499"/>
      <c r="H655" s="1499">
        <f t="shared" si="180"/>
        <v>80</v>
      </c>
      <c r="I655" s="1450"/>
      <c r="J655" s="1461"/>
      <c r="K655" s="1457"/>
      <c r="L655" s="1457"/>
      <c r="M655" s="1457"/>
      <c r="N655" s="1457"/>
      <c r="O655" s="1457"/>
      <c r="P655" s="1462"/>
      <c r="Q655" s="1495"/>
      <c r="R655" s="1461">
        <v>2000</v>
      </c>
      <c r="S655" s="1457">
        <v>1600</v>
      </c>
      <c r="T655" s="1457"/>
      <c r="U655" s="1457"/>
      <c r="V655" s="1457"/>
      <c r="W655" s="1462">
        <f t="shared" si="189"/>
        <v>1600</v>
      </c>
      <c r="X655" s="1496">
        <f t="shared" si="185"/>
        <v>80</v>
      </c>
      <c r="Y655" s="1444"/>
    </row>
    <row r="656" spans="1:25" ht="15.75" customHeight="1">
      <c r="A656" s="1497">
        <v>4410</v>
      </c>
      <c r="B656" s="1513" t="s">
        <v>618</v>
      </c>
      <c r="C656" s="1457">
        <v>600</v>
      </c>
      <c r="D656" s="1457">
        <f t="shared" si="187"/>
        <v>600</v>
      </c>
      <c r="E656" s="1458">
        <v>1000</v>
      </c>
      <c r="F656" s="1459">
        <f t="shared" si="188"/>
        <v>600</v>
      </c>
      <c r="G656" s="1499">
        <f aca="true" t="shared" si="190" ref="G656:G671">F656/C656*100</f>
        <v>100</v>
      </c>
      <c r="H656" s="1499">
        <f t="shared" si="180"/>
        <v>100</v>
      </c>
      <c r="I656" s="1450"/>
      <c r="J656" s="1461"/>
      <c r="K656" s="1457"/>
      <c r="L656" s="1457"/>
      <c r="M656" s="1457"/>
      <c r="N656" s="1457"/>
      <c r="O656" s="1457"/>
      <c r="P656" s="1462"/>
      <c r="Q656" s="1495"/>
      <c r="R656" s="1461">
        <v>600</v>
      </c>
      <c r="S656" s="1457">
        <v>600</v>
      </c>
      <c r="T656" s="1457"/>
      <c r="U656" s="1457"/>
      <c r="V656" s="1457"/>
      <c r="W656" s="1462">
        <f t="shared" si="189"/>
        <v>600</v>
      </c>
      <c r="X656" s="1496">
        <f t="shared" si="185"/>
        <v>100</v>
      </c>
      <c r="Y656" s="1444"/>
    </row>
    <row r="657" spans="1:25" ht="15.75" customHeight="1">
      <c r="A657" s="1497">
        <v>4440</v>
      </c>
      <c r="B657" s="1513" t="s">
        <v>641</v>
      </c>
      <c r="C657" s="1457">
        <v>9000</v>
      </c>
      <c r="D657" s="1457">
        <f t="shared" si="187"/>
        <v>9100</v>
      </c>
      <c r="E657" s="1458">
        <v>10700</v>
      </c>
      <c r="F657" s="1459">
        <f t="shared" si="188"/>
        <v>10700</v>
      </c>
      <c r="G657" s="1499">
        <f t="shared" si="190"/>
        <v>118.88888888888889</v>
      </c>
      <c r="H657" s="1499">
        <f t="shared" si="180"/>
        <v>117.58241758241759</v>
      </c>
      <c r="I657" s="1450"/>
      <c r="J657" s="1461"/>
      <c r="K657" s="1457"/>
      <c r="L657" s="1457"/>
      <c r="M657" s="1457"/>
      <c r="N657" s="1457"/>
      <c r="O657" s="1457"/>
      <c r="P657" s="1462"/>
      <c r="Q657" s="1495"/>
      <c r="R657" s="1461">
        <v>9100</v>
      </c>
      <c r="S657" s="1457">
        <v>10700</v>
      </c>
      <c r="T657" s="1457"/>
      <c r="U657" s="1457"/>
      <c r="V657" s="1457"/>
      <c r="W657" s="1462">
        <f t="shared" si="189"/>
        <v>10700</v>
      </c>
      <c r="X657" s="1496">
        <f t="shared" si="185"/>
        <v>117.58241758241759</v>
      </c>
      <c r="Y657" s="1444"/>
    </row>
    <row r="658" spans="1:25" s="581" customFormat="1" ht="13.5" hidden="1" thickBot="1">
      <c r="A658" s="1516">
        <v>80133</v>
      </c>
      <c r="B658" s="1550" t="s">
        <v>913</v>
      </c>
      <c r="C658" s="1467">
        <f>C659</f>
        <v>0</v>
      </c>
      <c r="D658" s="1457">
        <f>J658+R658</f>
        <v>0</v>
      </c>
      <c r="E658" s="1468">
        <f>E659</f>
        <v>0</v>
      </c>
      <c r="F658" s="1459">
        <f t="shared" si="188"/>
        <v>0</v>
      </c>
      <c r="G658" s="1602" t="e">
        <f t="shared" si="190"/>
        <v>#DIV/0!</v>
      </c>
      <c r="H658" s="1603" t="e">
        <f t="shared" si="180"/>
        <v>#DIV/0!</v>
      </c>
      <c r="I658" s="1450"/>
      <c r="J658" s="1470"/>
      <c r="K658" s="1467"/>
      <c r="L658" s="1467"/>
      <c r="M658" s="1467"/>
      <c r="N658" s="1467"/>
      <c r="O658" s="1467"/>
      <c r="P658" s="1471"/>
      <c r="Q658" s="1495" t="e">
        <f>P658/J658*100</f>
        <v>#DIV/0!</v>
      </c>
      <c r="R658" s="1470">
        <f>R659</f>
        <v>0</v>
      </c>
      <c r="S658" s="1467">
        <f>S659</f>
        <v>0</v>
      </c>
      <c r="T658" s="1467">
        <f>T659</f>
        <v>0</v>
      </c>
      <c r="U658" s="1467">
        <f>U659</f>
        <v>0</v>
      </c>
      <c r="V658" s="1467">
        <f>V659</f>
        <v>0</v>
      </c>
      <c r="W658" s="1462">
        <f t="shared" si="189"/>
        <v>0</v>
      </c>
      <c r="X658" s="1496" t="e">
        <f t="shared" si="185"/>
        <v>#DIV/0!</v>
      </c>
      <c r="Y658" s="1444"/>
    </row>
    <row r="659" spans="1:25" ht="36.75" hidden="1" thickTop="1">
      <c r="A659" s="1497">
        <v>2540</v>
      </c>
      <c r="B659" s="1513" t="s">
        <v>914</v>
      </c>
      <c r="C659" s="1457"/>
      <c r="D659" s="1457">
        <f>J659+R659</f>
        <v>0</v>
      </c>
      <c r="E659" s="1458"/>
      <c r="F659" s="1459">
        <f t="shared" si="188"/>
        <v>0</v>
      </c>
      <c r="G659" s="1474" t="e">
        <f t="shared" si="190"/>
        <v>#DIV/0!</v>
      </c>
      <c r="H659" s="1475" t="e">
        <f t="shared" si="180"/>
        <v>#DIV/0!</v>
      </c>
      <c r="I659" s="1450"/>
      <c r="J659" s="1461"/>
      <c r="K659" s="1457"/>
      <c r="L659" s="1457"/>
      <c r="M659" s="1457"/>
      <c r="N659" s="1457"/>
      <c r="O659" s="1457"/>
      <c r="P659" s="1462"/>
      <c r="Q659" s="1495" t="e">
        <f>P659/J659*100</f>
        <v>#DIV/0!</v>
      </c>
      <c r="R659" s="1461"/>
      <c r="S659" s="1457"/>
      <c r="T659" s="1457"/>
      <c r="U659" s="1457"/>
      <c r="V659" s="1457"/>
      <c r="W659" s="1462">
        <f t="shared" si="189"/>
        <v>0</v>
      </c>
      <c r="X659" s="1496" t="e">
        <f t="shared" si="185"/>
        <v>#DIV/0!</v>
      </c>
      <c r="Y659" s="1444"/>
    </row>
    <row r="660" spans="1:28" s="581" customFormat="1" ht="12.75">
      <c r="A660" s="1516">
        <v>80134</v>
      </c>
      <c r="B660" s="1550" t="s">
        <v>915</v>
      </c>
      <c r="C660" s="1467">
        <f>SUM(C661:C675)</f>
        <v>1160800</v>
      </c>
      <c r="D660" s="1467">
        <f>SUM(D661:D675)</f>
        <v>1079660</v>
      </c>
      <c r="E660" s="1468">
        <f>SUM(E661:E675)</f>
        <v>1318600</v>
      </c>
      <c r="F660" s="1469">
        <f>SUM(F661:F675)</f>
        <v>1132600</v>
      </c>
      <c r="G660" s="1519">
        <f t="shared" si="190"/>
        <v>97.57064093728464</v>
      </c>
      <c r="H660" s="1519">
        <f t="shared" si="180"/>
        <v>104.90339551340237</v>
      </c>
      <c r="I660" s="1450"/>
      <c r="J660" s="1470"/>
      <c r="K660" s="1467"/>
      <c r="L660" s="1467"/>
      <c r="M660" s="1467"/>
      <c r="N660" s="1467"/>
      <c r="O660" s="1467"/>
      <c r="P660" s="1471"/>
      <c r="Q660" s="1453"/>
      <c r="R660" s="1470">
        <f aca="true" t="shared" si="191" ref="R660:W660">SUM(R661:R675)</f>
        <v>1079660</v>
      </c>
      <c r="S660" s="1467">
        <f t="shared" si="191"/>
        <v>1130200</v>
      </c>
      <c r="T660" s="1467">
        <f t="shared" si="191"/>
        <v>0</v>
      </c>
      <c r="U660" s="1467">
        <f t="shared" si="191"/>
        <v>0</v>
      </c>
      <c r="V660" s="1467">
        <f t="shared" si="191"/>
        <v>2400</v>
      </c>
      <c r="W660" s="1471">
        <f t="shared" si="191"/>
        <v>1132600</v>
      </c>
      <c r="X660" s="1454">
        <f t="shared" si="185"/>
        <v>104.90339551340237</v>
      </c>
      <c r="Y660" s="1444"/>
      <c r="AA660" s="1444">
        <f>SUM(S662:S665)</f>
        <v>991500</v>
      </c>
      <c r="AB660" s="1444">
        <f>Z660+AA660</f>
        <v>991500</v>
      </c>
    </row>
    <row r="661" spans="1:25" ht="24">
      <c r="A661" s="1497">
        <v>3020</v>
      </c>
      <c r="B661" s="1513" t="s">
        <v>717</v>
      </c>
      <c r="C661" s="1457">
        <v>4800</v>
      </c>
      <c r="D661" s="1457">
        <f>J661+R661</f>
        <v>2800</v>
      </c>
      <c r="E661" s="1458">
        <v>4400</v>
      </c>
      <c r="F661" s="1459">
        <f>P661+W661</f>
        <v>4400</v>
      </c>
      <c r="G661" s="1499">
        <f t="shared" si="190"/>
        <v>91.66666666666666</v>
      </c>
      <c r="H661" s="1499">
        <f t="shared" si="180"/>
        <v>157.14285714285714</v>
      </c>
      <c r="I661" s="1450"/>
      <c r="J661" s="1461"/>
      <c r="K661" s="1457"/>
      <c r="L661" s="1457"/>
      <c r="M661" s="1457"/>
      <c r="N661" s="1457"/>
      <c r="O661" s="1457"/>
      <c r="P661" s="1462"/>
      <c r="Q661" s="1495"/>
      <c r="R661" s="1461">
        <v>2800</v>
      </c>
      <c r="S661" s="1457">
        <v>4400</v>
      </c>
      <c r="T661" s="1457"/>
      <c r="U661" s="1457"/>
      <c r="V661" s="1457"/>
      <c r="W661" s="1462">
        <f>SUM(S661:V661)</f>
        <v>4400</v>
      </c>
      <c r="X661" s="1496">
        <f t="shared" si="185"/>
        <v>157.14285714285714</v>
      </c>
      <c r="Y661" s="1444"/>
    </row>
    <row r="662" spans="1:25" ht="24">
      <c r="A662" s="1497">
        <v>4010</v>
      </c>
      <c r="B662" s="1513" t="s">
        <v>626</v>
      </c>
      <c r="C662" s="1457">
        <v>813400</v>
      </c>
      <c r="D662" s="1457">
        <f aca="true" t="shared" si="192" ref="D662:D675">J662+R662</f>
        <v>743200</v>
      </c>
      <c r="E662" s="1458">
        <v>869800</v>
      </c>
      <c r="F662" s="1459">
        <f aca="true" t="shared" si="193" ref="F662:F675">P662+W662</f>
        <v>764000</v>
      </c>
      <c r="G662" s="1499">
        <f t="shared" si="190"/>
        <v>93.926727317433</v>
      </c>
      <c r="H662" s="1499">
        <f t="shared" si="180"/>
        <v>102.79870828848223</v>
      </c>
      <c r="I662" s="1450"/>
      <c r="J662" s="1461"/>
      <c r="K662" s="1457"/>
      <c r="L662" s="1457"/>
      <c r="M662" s="1457"/>
      <c r="N662" s="1457"/>
      <c r="O662" s="1457"/>
      <c r="P662" s="1462"/>
      <c r="Q662" s="1495"/>
      <c r="R662" s="1461">
        <v>743200</v>
      </c>
      <c r="S662" s="1457">
        <v>764000</v>
      </c>
      <c r="T662" s="1457"/>
      <c r="U662" s="1457"/>
      <c r="V662" s="1457"/>
      <c r="W662" s="1462">
        <f aca="true" t="shared" si="194" ref="W662:W675">SUM(S662:V662)</f>
        <v>764000</v>
      </c>
      <c r="X662" s="1496">
        <f t="shared" si="185"/>
        <v>102.79870828848223</v>
      </c>
      <c r="Y662" s="1444"/>
    </row>
    <row r="663" spans="1:25" ht="12.75">
      <c r="A663" s="1497">
        <v>4040</v>
      </c>
      <c r="B663" s="1513" t="s">
        <v>630</v>
      </c>
      <c r="C663" s="1457">
        <v>44300</v>
      </c>
      <c r="D663" s="1457">
        <f t="shared" si="192"/>
        <v>40280</v>
      </c>
      <c r="E663" s="1458">
        <v>68900</v>
      </c>
      <c r="F663" s="1459">
        <f t="shared" si="193"/>
        <v>61000</v>
      </c>
      <c r="G663" s="1499">
        <f t="shared" si="190"/>
        <v>137.69751693002257</v>
      </c>
      <c r="H663" s="1499">
        <f t="shared" si="180"/>
        <v>151.43992055610724</v>
      </c>
      <c r="I663" s="1450"/>
      <c r="J663" s="1461"/>
      <c r="K663" s="1457"/>
      <c r="L663" s="1457"/>
      <c r="M663" s="1457"/>
      <c r="N663" s="1457"/>
      <c r="O663" s="1457"/>
      <c r="P663" s="1462"/>
      <c r="Q663" s="1495"/>
      <c r="R663" s="1461">
        <v>40280</v>
      </c>
      <c r="S663" s="1457">
        <v>61000</v>
      </c>
      <c r="T663" s="1457"/>
      <c r="U663" s="1457"/>
      <c r="V663" s="1457"/>
      <c r="W663" s="1462">
        <f t="shared" si="194"/>
        <v>61000</v>
      </c>
      <c r="X663" s="1496">
        <f t="shared" si="185"/>
        <v>151.43992055610724</v>
      </c>
      <c r="Y663" s="1444"/>
    </row>
    <row r="664" spans="1:25" ht="12.75">
      <c r="A664" s="1497">
        <v>4110</v>
      </c>
      <c r="B664" s="1513" t="s">
        <v>568</v>
      </c>
      <c r="C664" s="1457">
        <v>150600</v>
      </c>
      <c r="D664" s="1457">
        <f t="shared" si="192"/>
        <v>131600</v>
      </c>
      <c r="E664" s="1458">
        <v>166600</v>
      </c>
      <c r="F664" s="1459">
        <f t="shared" si="193"/>
        <v>147000</v>
      </c>
      <c r="G664" s="1499">
        <f t="shared" si="190"/>
        <v>97.60956175298804</v>
      </c>
      <c r="H664" s="1499">
        <f t="shared" si="180"/>
        <v>111.70212765957446</v>
      </c>
      <c r="I664" s="1450"/>
      <c r="J664" s="1461"/>
      <c r="K664" s="1457"/>
      <c r="L664" s="1457"/>
      <c r="M664" s="1457"/>
      <c r="N664" s="1457"/>
      <c r="O664" s="1457"/>
      <c r="P664" s="1462"/>
      <c r="Q664" s="1495"/>
      <c r="R664" s="1461">
        <v>131600</v>
      </c>
      <c r="S664" s="1457">
        <v>147000</v>
      </c>
      <c r="T664" s="1457"/>
      <c r="U664" s="1457"/>
      <c r="V664" s="1457"/>
      <c r="W664" s="1462">
        <f t="shared" si="194"/>
        <v>147000</v>
      </c>
      <c r="X664" s="1496">
        <f t="shared" si="185"/>
        <v>111.70212765957446</v>
      </c>
      <c r="Y664" s="1444"/>
    </row>
    <row r="665" spans="1:25" ht="12.75">
      <c r="A665" s="1497">
        <v>4120</v>
      </c>
      <c r="B665" s="1513" t="s">
        <v>758</v>
      </c>
      <c r="C665" s="1457">
        <v>21000</v>
      </c>
      <c r="D665" s="1457">
        <f t="shared" si="192"/>
        <v>17400</v>
      </c>
      <c r="E665" s="1458">
        <v>22800</v>
      </c>
      <c r="F665" s="1459">
        <f t="shared" si="193"/>
        <v>19500</v>
      </c>
      <c r="G665" s="1499">
        <f t="shared" si="190"/>
        <v>92.85714285714286</v>
      </c>
      <c r="H665" s="1499">
        <f t="shared" si="180"/>
        <v>112.06896551724137</v>
      </c>
      <c r="I665" s="1450"/>
      <c r="J665" s="1461"/>
      <c r="K665" s="1457"/>
      <c r="L665" s="1457"/>
      <c r="M665" s="1457"/>
      <c r="N665" s="1457"/>
      <c r="O665" s="1457"/>
      <c r="P665" s="1462"/>
      <c r="Q665" s="1495"/>
      <c r="R665" s="1461">
        <v>17400</v>
      </c>
      <c r="S665" s="1457">
        <v>19500</v>
      </c>
      <c r="T665" s="1457"/>
      <c r="U665" s="1457"/>
      <c r="V665" s="1457"/>
      <c r="W665" s="1462">
        <f t="shared" si="194"/>
        <v>19500</v>
      </c>
      <c r="X665" s="1496">
        <f t="shared" si="185"/>
        <v>112.06896551724137</v>
      </c>
      <c r="Y665" s="1444"/>
    </row>
    <row r="666" spans="1:25" ht="12.75">
      <c r="A666" s="1497">
        <v>4210</v>
      </c>
      <c r="B666" s="1513" t="s">
        <v>560</v>
      </c>
      <c r="C666" s="1457">
        <v>8000</v>
      </c>
      <c r="D666" s="1457">
        <f t="shared" si="192"/>
        <v>14500</v>
      </c>
      <c r="E666" s="1458">
        <v>16800</v>
      </c>
      <c r="F666" s="1459">
        <f t="shared" si="193"/>
        <v>9300</v>
      </c>
      <c r="G666" s="1499">
        <f t="shared" si="190"/>
        <v>116.25000000000001</v>
      </c>
      <c r="H666" s="1499">
        <f t="shared" si="180"/>
        <v>64.13793103448275</v>
      </c>
      <c r="I666" s="1450"/>
      <c r="J666" s="1461"/>
      <c r="K666" s="1457"/>
      <c r="L666" s="1457"/>
      <c r="M666" s="1457"/>
      <c r="N666" s="1457"/>
      <c r="O666" s="1457"/>
      <c r="P666" s="1462"/>
      <c r="Q666" s="1495"/>
      <c r="R666" s="1461">
        <v>14500</v>
      </c>
      <c r="S666" s="1457">
        <v>9300</v>
      </c>
      <c r="T666" s="1457"/>
      <c r="U666" s="1457"/>
      <c r="V666" s="1457"/>
      <c r="W666" s="1462">
        <f t="shared" si="194"/>
        <v>9300</v>
      </c>
      <c r="X666" s="1496">
        <f t="shared" si="185"/>
        <v>64.13793103448275</v>
      </c>
      <c r="Y666" s="1444"/>
    </row>
    <row r="667" spans="1:25" ht="24">
      <c r="A667" s="1497">
        <v>4240</v>
      </c>
      <c r="B667" s="1513" t="s">
        <v>897</v>
      </c>
      <c r="C667" s="1457">
        <v>3500</v>
      </c>
      <c r="D667" s="1457">
        <f t="shared" si="192"/>
        <v>3500</v>
      </c>
      <c r="E667" s="1458">
        <v>16100</v>
      </c>
      <c r="F667" s="1459">
        <f t="shared" si="193"/>
        <v>3800</v>
      </c>
      <c r="G667" s="1499">
        <f t="shared" si="190"/>
        <v>108.57142857142857</v>
      </c>
      <c r="H667" s="1499">
        <f t="shared" si="180"/>
        <v>108.57142857142857</v>
      </c>
      <c r="I667" s="1450"/>
      <c r="J667" s="1461"/>
      <c r="K667" s="1457"/>
      <c r="L667" s="1457"/>
      <c r="M667" s="1457"/>
      <c r="N667" s="1457"/>
      <c r="O667" s="1457"/>
      <c r="P667" s="1462"/>
      <c r="Q667" s="1495"/>
      <c r="R667" s="1461">
        <v>3500</v>
      </c>
      <c r="S667" s="1457">
        <v>3800</v>
      </c>
      <c r="T667" s="1457"/>
      <c r="U667" s="1457"/>
      <c r="V667" s="1457"/>
      <c r="W667" s="1462">
        <f t="shared" si="194"/>
        <v>3800</v>
      </c>
      <c r="X667" s="1496">
        <f t="shared" si="185"/>
        <v>108.57142857142857</v>
      </c>
      <c r="Y667" s="1444"/>
    </row>
    <row r="668" spans="1:25" ht="12.75">
      <c r="A668" s="1497">
        <v>4260</v>
      </c>
      <c r="B668" s="1513" t="s">
        <v>575</v>
      </c>
      <c r="C668" s="1457">
        <v>44600</v>
      </c>
      <c r="D668" s="1457">
        <f t="shared" si="192"/>
        <v>46600</v>
      </c>
      <c r="E668" s="1458">
        <v>54100</v>
      </c>
      <c r="F668" s="1459">
        <f t="shared" si="193"/>
        <v>42300</v>
      </c>
      <c r="G668" s="1499">
        <f t="shared" si="190"/>
        <v>94.84304932735425</v>
      </c>
      <c r="H668" s="1499">
        <f t="shared" si="180"/>
        <v>90.77253218884121</v>
      </c>
      <c r="I668" s="1450"/>
      <c r="J668" s="1461"/>
      <c r="K668" s="1457"/>
      <c r="L668" s="1457"/>
      <c r="M668" s="1457"/>
      <c r="N668" s="1457"/>
      <c r="O668" s="1457"/>
      <c r="P668" s="1462"/>
      <c r="Q668" s="1495"/>
      <c r="R668" s="1461">
        <v>46600</v>
      </c>
      <c r="S668" s="1457">
        <v>42300</v>
      </c>
      <c r="T668" s="1457"/>
      <c r="U668" s="1457"/>
      <c r="V668" s="1457"/>
      <c r="W668" s="1462">
        <f t="shared" si="194"/>
        <v>42300</v>
      </c>
      <c r="X668" s="1496">
        <f t="shared" si="185"/>
        <v>90.77253218884121</v>
      </c>
      <c r="Y668" s="1444"/>
    </row>
    <row r="669" spans="1:25" ht="12.75">
      <c r="A669" s="1497">
        <v>4270</v>
      </c>
      <c r="B669" s="1513" t="s">
        <v>576</v>
      </c>
      <c r="C669" s="1457">
        <v>700</v>
      </c>
      <c r="D669" s="1457">
        <f t="shared" si="192"/>
        <v>700</v>
      </c>
      <c r="E669" s="1458">
        <v>3400</v>
      </c>
      <c r="F669" s="1459">
        <f t="shared" si="193"/>
        <v>2400</v>
      </c>
      <c r="G669" s="1499">
        <f t="shared" si="190"/>
        <v>342.85714285714283</v>
      </c>
      <c r="H669" s="1499">
        <f t="shared" si="180"/>
        <v>342.85714285714283</v>
      </c>
      <c r="I669" s="1450"/>
      <c r="J669" s="1461"/>
      <c r="K669" s="1457"/>
      <c r="L669" s="1457"/>
      <c r="M669" s="1457"/>
      <c r="N669" s="1457"/>
      <c r="O669" s="1457"/>
      <c r="P669" s="1462"/>
      <c r="Q669" s="1495"/>
      <c r="R669" s="1461">
        <v>700</v>
      </c>
      <c r="S669" s="1457"/>
      <c r="T669" s="1457"/>
      <c r="U669" s="1457"/>
      <c r="V669" s="1457">
        <v>2400</v>
      </c>
      <c r="W669" s="1462">
        <f t="shared" si="194"/>
        <v>2400</v>
      </c>
      <c r="X669" s="1496">
        <f t="shared" si="185"/>
        <v>342.85714285714283</v>
      </c>
      <c r="Y669" s="1444"/>
    </row>
    <row r="670" spans="1:25" ht="12.75">
      <c r="A670" s="1497">
        <v>4280</v>
      </c>
      <c r="B670" s="1513" t="s">
        <v>723</v>
      </c>
      <c r="C670" s="1457">
        <v>800</v>
      </c>
      <c r="D670" s="1457">
        <f t="shared" si="192"/>
        <v>1200</v>
      </c>
      <c r="E670" s="1458">
        <v>1300</v>
      </c>
      <c r="F670" s="1459">
        <f t="shared" si="193"/>
        <v>1300</v>
      </c>
      <c r="G670" s="1499">
        <f t="shared" si="190"/>
        <v>162.5</v>
      </c>
      <c r="H670" s="1499">
        <f t="shared" si="180"/>
        <v>108.33333333333333</v>
      </c>
      <c r="I670" s="1450"/>
      <c r="J670" s="1461"/>
      <c r="K670" s="1457"/>
      <c r="L670" s="1457"/>
      <c r="M670" s="1457"/>
      <c r="N670" s="1457"/>
      <c r="O670" s="1457"/>
      <c r="P670" s="1462"/>
      <c r="Q670" s="1495"/>
      <c r="R670" s="1461">
        <v>1200</v>
      </c>
      <c r="S670" s="1457">
        <v>1300</v>
      </c>
      <c r="T670" s="1457"/>
      <c r="U670" s="1457"/>
      <c r="V670" s="1457"/>
      <c r="W670" s="1462">
        <f t="shared" si="194"/>
        <v>1300</v>
      </c>
      <c r="X670" s="1496">
        <f t="shared" si="185"/>
        <v>108.33333333333333</v>
      </c>
      <c r="Y670" s="1444"/>
    </row>
    <row r="671" spans="1:25" ht="12.75">
      <c r="A671" s="1497">
        <v>4300</v>
      </c>
      <c r="B671" s="1513" t="s">
        <v>564</v>
      </c>
      <c r="C671" s="1457">
        <v>32000</v>
      </c>
      <c r="D671" s="1457">
        <f t="shared" si="192"/>
        <v>37700</v>
      </c>
      <c r="E671" s="1458">
        <v>43400</v>
      </c>
      <c r="F671" s="1459">
        <f t="shared" si="193"/>
        <v>38000</v>
      </c>
      <c r="G671" s="1499">
        <f t="shared" si="190"/>
        <v>118.75</v>
      </c>
      <c r="H671" s="1499">
        <f t="shared" si="180"/>
        <v>100.79575596816977</v>
      </c>
      <c r="I671" s="1450"/>
      <c r="J671" s="1461"/>
      <c r="K671" s="1457"/>
      <c r="L671" s="1457"/>
      <c r="M671" s="1457"/>
      <c r="N671" s="1457"/>
      <c r="O671" s="1457"/>
      <c r="P671" s="1462"/>
      <c r="Q671" s="1495"/>
      <c r="R671" s="1461">
        <v>37700</v>
      </c>
      <c r="S671" s="1457">
        <v>38000</v>
      </c>
      <c r="T671" s="1457"/>
      <c r="U671" s="1457"/>
      <c r="V671" s="1457"/>
      <c r="W671" s="1462">
        <f t="shared" si="194"/>
        <v>38000</v>
      </c>
      <c r="X671" s="1496">
        <f t="shared" si="185"/>
        <v>100.79575596816977</v>
      </c>
      <c r="Y671" s="1444"/>
    </row>
    <row r="672" spans="1:25" ht="12.75">
      <c r="A672" s="1497">
        <v>4350</v>
      </c>
      <c r="B672" s="1513" t="s">
        <v>820</v>
      </c>
      <c r="C672" s="1457"/>
      <c r="D672" s="1457">
        <f t="shared" si="192"/>
        <v>180</v>
      </c>
      <c r="E672" s="1458">
        <v>1000</v>
      </c>
      <c r="F672" s="1459">
        <f t="shared" si="193"/>
        <v>1000</v>
      </c>
      <c r="G672" s="1499"/>
      <c r="H672" s="1499">
        <f aca="true" t="shared" si="195" ref="H672:H735">F672/D672*100</f>
        <v>555.5555555555555</v>
      </c>
      <c r="I672" s="1450"/>
      <c r="J672" s="1461"/>
      <c r="K672" s="1457"/>
      <c r="L672" s="1457"/>
      <c r="M672" s="1457"/>
      <c r="N672" s="1457"/>
      <c r="O672" s="1457"/>
      <c r="P672" s="1462"/>
      <c r="Q672" s="1495"/>
      <c r="R672" s="1461">
        <v>180</v>
      </c>
      <c r="S672" s="1457">
        <v>1000</v>
      </c>
      <c r="T672" s="1457"/>
      <c r="U672" s="1457"/>
      <c r="V672" s="1457"/>
      <c r="W672" s="1462">
        <f t="shared" si="194"/>
        <v>1000</v>
      </c>
      <c r="X672" s="1496">
        <f t="shared" si="185"/>
        <v>555.5555555555555</v>
      </c>
      <c r="Y672" s="1444"/>
    </row>
    <row r="673" spans="1:25" ht="12.75">
      <c r="A673" s="1497">
        <v>4410</v>
      </c>
      <c r="B673" s="1513" t="s">
        <v>618</v>
      </c>
      <c r="C673" s="1457">
        <v>500</v>
      </c>
      <c r="D673" s="1457">
        <f t="shared" si="192"/>
        <v>500</v>
      </c>
      <c r="E673" s="1458">
        <v>900</v>
      </c>
      <c r="F673" s="1459">
        <f t="shared" si="193"/>
        <v>500</v>
      </c>
      <c r="G673" s="1499">
        <f aca="true" t="shared" si="196" ref="G673:G736">F673/C673*100</f>
        <v>100</v>
      </c>
      <c r="H673" s="1499">
        <f t="shared" si="195"/>
        <v>100</v>
      </c>
      <c r="I673" s="1450"/>
      <c r="J673" s="1461"/>
      <c r="K673" s="1457"/>
      <c r="L673" s="1457"/>
      <c r="M673" s="1457"/>
      <c r="N673" s="1457"/>
      <c r="O673" s="1457"/>
      <c r="P673" s="1462"/>
      <c r="Q673" s="1495"/>
      <c r="R673" s="1461">
        <v>500</v>
      </c>
      <c r="S673" s="1457">
        <v>500</v>
      </c>
      <c r="T673" s="1457"/>
      <c r="U673" s="1457"/>
      <c r="V673" s="1457"/>
      <c r="W673" s="1462">
        <f t="shared" si="194"/>
        <v>500</v>
      </c>
      <c r="X673" s="1496">
        <f t="shared" si="185"/>
        <v>100</v>
      </c>
      <c r="Y673" s="1444"/>
    </row>
    <row r="674" spans="1:25" ht="12.75">
      <c r="A674" s="1497">
        <v>4440</v>
      </c>
      <c r="B674" s="1513" t="s">
        <v>641</v>
      </c>
      <c r="C674" s="1457">
        <v>36600</v>
      </c>
      <c r="D674" s="1457">
        <f t="shared" si="192"/>
        <v>39500</v>
      </c>
      <c r="E674" s="1458">
        <v>38100</v>
      </c>
      <c r="F674" s="1459">
        <f t="shared" si="193"/>
        <v>38100</v>
      </c>
      <c r="G674" s="1499">
        <f t="shared" si="196"/>
        <v>104.0983606557377</v>
      </c>
      <c r="H674" s="1499">
        <f t="shared" si="195"/>
        <v>96.45569620253166</v>
      </c>
      <c r="I674" s="1450"/>
      <c r="J674" s="1461"/>
      <c r="K674" s="1457"/>
      <c r="L674" s="1457"/>
      <c r="M674" s="1457"/>
      <c r="N674" s="1457"/>
      <c r="O674" s="1457"/>
      <c r="P674" s="1462"/>
      <c r="Q674" s="1495"/>
      <c r="R674" s="1461">
        <v>39500</v>
      </c>
      <c r="S674" s="1457">
        <v>38100</v>
      </c>
      <c r="T674" s="1457"/>
      <c r="U674" s="1457"/>
      <c r="V674" s="1457"/>
      <c r="W674" s="1462">
        <f t="shared" si="194"/>
        <v>38100</v>
      </c>
      <c r="X674" s="1496">
        <f t="shared" si="185"/>
        <v>96.45569620253166</v>
      </c>
      <c r="Y674" s="1444"/>
    </row>
    <row r="675" spans="1:25" ht="24" hidden="1">
      <c r="A675" s="1497">
        <v>6060</v>
      </c>
      <c r="B675" s="1513" t="s">
        <v>870</v>
      </c>
      <c r="C675" s="1457"/>
      <c r="D675" s="1457">
        <f t="shared" si="192"/>
        <v>0</v>
      </c>
      <c r="E675" s="1458">
        <v>11000</v>
      </c>
      <c r="F675" s="1514">
        <f t="shared" si="193"/>
        <v>0</v>
      </c>
      <c r="G675" s="1499"/>
      <c r="H675" s="1499"/>
      <c r="I675" s="1450"/>
      <c r="J675" s="1461"/>
      <c r="K675" s="1457"/>
      <c r="L675" s="1457"/>
      <c r="M675" s="1457"/>
      <c r="N675" s="1457"/>
      <c r="O675" s="1457"/>
      <c r="P675" s="1462"/>
      <c r="Q675" s="1495"/>
      <c r="R675" s="1461"/>
      <c r="S675" s="1457"/>
      <c r="T675" s="1457"/>
      <c r="U675" s="1457"/>
      <c r="V675" s="1457"/>
      <c r="W675" s="1462">
        <f t="shared" si="194"/>
        <v>0</v>
      </c>
      <c r="X675" s="1496" t="e">
        <f t="shared" si="185"/>
        <v>#DIV/0!</v>
      </c>
      <c r="Y675" s="1444"/>
    </row>
    <row r="676" spans="1:28" s="581" customFormat="1" ht="48">
      <c r="A676" s="1516">
        <v>80140</v>
      </c>
      <c r="B676" s="1550" t="s">
        <v>916</v>
      </c>
      <c r="C676" s="1467">
        <f>SUM(C677:C691)</f>
        <v>3000000</v>
      </c>
      <c r="D676" s="1467">
        <f>SUM(D677:D691)</f>
        <v>3017600</v>
      </c>
      <c r="E676" s="1468">
        <f>SUM(E677:E691)</f>
        <v>3208900</v>
      </c>
      <c r="F676" s="1556">
        <f>SUM(F677:F691)</f>
        <v>2748500</v>
      </c>
      <c r="G676" s="1519">
        <f t="shared" si="196"/>
        <v>91.61666666666667</v>
      </c>
      <c r="H676" s="1519">
        <f t="shared" si="195"/>
        <v>91.08231707317073</v>
      </c>
      <c r="I676" s="1468"/>
      <c r="J676" s="1470"/>
      <c r="K676" s="1556"/>
      <c r="L676" s="1467"/>
      <c r="M676" s="1467"/>
      <c r="N676" s="1467"/>
      <c r="O676" s="1468"/>
      <c r="P676" s="1468"/>
      <c r="Q676" s="1468">
        <f aca="true" t="shared" si="197" ref="Q676:W676">SUM(Q677:Q691)</f>
        <v>0</v>
      </c>
      <c r="R676" s="1556">
        <f t="shared" si="197"/>
        <v>3017600</v>
      </c>
      <c r="S676" s="1467">
        <f t="shared" si="197"/>
        <v>2741500</v>
      </c>
      <c r="T676" s="1467">
        <f t="shared" si="197"/>
        <v>0</v>
      </c>
      <c r="U676" s="1467">
        <f t="shared" si="197"/>
        <v>0</v>
      </c>
      <c r="V676" s="1467">
        <f t="shared" si="197"/>
        <v>7000</v>
      </c>
      <c r="W676" s="1471">
        <f t="shared" si="197"/>
        <v>2748500</v>
      </c>
      <c r="X676" s="1606" t="e">
        <f>X677+X678+X679+X680+X681+X682+X686+X684+X685+X687+X689+X690+X691+X683</f>
        <v>#DIV/0!</v>
      </c>
      <c r="Y676" s="1444"/>
      <c r="AA676" s="1444">
        <f>SUM(S678:S681)</f>
        <v>2355000</v>
      </c>
      <c r="AB676" s="1444">
        <f>Z676+AA676</f>
        <v>2355000</v>
      </c>
    </row>
    <row r="677" spans="1:25" ht="24">
      <c r="A677" s="1497">
        <v>3020</v>
      </c>
      <c r="B677" s="1513" t="s">
        <v>717</v>
      </c>
      <c r="C677" s="1457">
        <v>8000</v>
      </c>
      <c r="D677" s="1457">
        <f>J677+R677</f>
        <v>40510</v>
      </c>
      <c r="E677" s="1458">
        <v>7800</v>
      </c>
      <c r="F677" s="1514">
        <f>P677+W677</f>
        <v>7800</v>
      </c>
      <c r="G677" s="1499">
        <f t="shared" si="196"/>
        <v>97.5</v>
      </c>
      <c r="H677" s="1499">
        <f t="shared" si="195"/>
        <v>19.254505060478895</v>
      </c>
      <c r="I677" s="1450"/>
      <c r="J677" s="1461"/>
      <c r="K677" s="1457"/>
      <c r="L677" s="1457"/>
      <c r="M677" s="1457"/>
      <c r="N677" s="1457"/>
      <c r="O677" s="1457"/>
      <c r="P677" s="1462"/>
      <c r="Q677" s="1495"/>
      <c r="R677" s="1461">
        <v>40510</v>
      </c>
      <c r="S677" s="1457">
        <v>7800</v>
      </c>
      <c r="T677" s="1457"/>
      <c r="U677" s="1457"/>
      <c r="V677" s="1457"/>
      <c r="W677" s="1462">
        <f>SUM(S677:V677)</f>
        <v>7800</v>
      </c>
      <c r="X677" s="1496">
        <f t="shared" si="185"/>
        <v>19.254505060478895</v>
      </c>
      <c r="Y677" s="1444"/>
    </row>
    <row r="678" spans="1:25" ht="24">
      <c r="A678" s="1497">
        <v>4010</v>
      </c>
      <c r="B678" s="1513" t="s">
        <v>626</v>
      </c>
      <c r="C678" s="1457">
        <v>1990000</v>
      </c>
      <c r="D678" s="1457">
        <f aca="true" t="shared" si="198" ref="D678:D691">J678+R678</f>
        <v>1999800</v>
      </c>
      <c r="E678" s="1458">
        <v>2008700</v>
      </c>
      <c r="F678" s="1459">
        <f aca="true" t="shared" si="199" ref="F678:F691">P678+W678</f>
        <v>1800000</v>
      </c>
      <c r="G678" s="1499">
        <f t="shared" si="196"/>
        <v>90.45226130653266</v>
      </c>
      <c r="H678" s="1499">
        <f t="shared" si="195"/>
        <v>90.00900090009</v>
      </c>
      <c r="I678" s="1450"/>
      <c r="J678" s="1461"/>
      <c r="K678" s="1457"/>
      <c r="L678" s="1457"/>
      <c r="M678" s="1457"/>
      <c r="N678" s="1457"/>
      <c r="O678" s="1457"/>
      <c r="P678" s="1462"/>
      <c r="Q678" s="1495"/>
      <c r="R678" s="1461">
        <v>1999800</v>
      </c>
      <c r="S678" s="1457">
        <v>1800000</v>
      </c>
      <c r="T678" s="1457"/>
      <c r="U678" s="1457"/>
      <c r="V678" s="1457"/>
      <c r="W678" s="1462">
        <f aca="true" t="shared" si="200" ref="W678:W691">SUM(S678:V678)</f>
        <v>1800000</v>
      </c>
      <c r="X678" s="1496">
        <f t="shared" si="185"/>
        <v>90.00900090009</v>
      </c>
      <c r="Y678" s="1444"/>
    </row>
    <row r="679" spans="1:25" ht="12.75">
      <c r="A679" s="1497">
        <v>4040</v>
      </c>
      <c r="B679" s="1513" t="s">
        <v>630</v>
      </c>
      <c r="C679" s="1457">
        <v>176600</v>
      </c>
      <c r="D679" s="1457">
        <f t="shared" si="198"/>
        <v>161710</v>
      </c>
      <c r="E679" s="1458">
        <v>164700</v>
      </c>
      <c r="F679" s="1459">
        <f t="shared" si="199"/>
        <v>160000</v>
      </c>
      <c r="G679" s="1499">
        <f t="shared" si="196"/>
        <v>90.60022650056625</v>
      </c>
      <c r="H679" s="1499">
        <f t="shared" si="195"/>
        <v>98.94255148104631</v>
      </c>
      <c r="I679" s="1450"/>
      <c r="J679" s="1461"/>
      <c r="K679" s="1457"/>
      <c r="L679" s="1457"/>
      <c r="M679" s="1457"/>
      <c r="N679" s="1457"/>
      <c r="O679" s="1457"/>
      <c r="P679" s="1462"/>
      <c r="Q679" s="1495"/>
      <c r="R679" s="1461">
        <v>161710</v>
      </c>
      <c r="S679" s="1457">
        <v>160000</v>
      </c>
      <c r="T679" s="1457"/>
      <c r="U679" s="1457"/>
      <c r="V679" s="1457"/>
      <c r="W679" s="1462">
        <f t="shared" si="200"/>
        <v>160000</v>
      </c>
      <c r="X679" s="1496">
        <f t="shared" si="185"/>
        <v>98.94255148104631</v>
      </c>
      <c r="Y679" s="1444"/>
    </row>
    <row r="680" spans="1:25" ht="12.75">
      <c r="A680" s="1497">
        <v>4110</v>
      </c>
      <c r="B680" s="1513" t="s">
        <v>568</v>
      </c>
      <c r="C680" s="1457">
        <v>380000</v>
      </c>
      <c r="D680" s="1457">
        <f t="shared" si="198"/>
        <v>363300</v>
      </c>
      <c r="E680" s="1458">
        <v>385100</v>
      </c>
      <c r="F680" s="1459">
        <f t="shared" si="199"/>
        <v>350000</v>
      </c>
      <c r="G680" s="1499">
        <f t="shared" si="196"/>
        <v>92.10526315789474</v>
      </c>
      <c r="H680" s="1499">
        <f t="shared" si="195"/>
        <v>96.33911368015414</v>
      </c>
      <c r="I680" s="1450"/>
      <c r="J680" s="1461"/>
      <c r="K680" s="1457"/>
      <c r="L680" s="1457"/>
      <c r="M680" s="1457"/>
      <c r="N680" s="1457"/>
      <c r="O680" s="1457"/>
      <c r="P680" s="1462"/>
      <c r="Q680" s="1495"/>
      <c r="R680" s="1461">
        <v>363300</v>
      </c>
      <c r="S680" s="1457">
        <v>350000</v>
      </c>
      <c r="T680" s="1457"/>
      <c r="U680" s="1457"/>
      <c r="V680" s="1457"/>
      <c r="W680" s="1462">
        <f t="shared" si="200"/>
        <v>350000</v>
      </c>
      <c r="X680" s="1496">
        <f t="shared" si="185"/>
        <v>96.33911368015414</v>
      </c>
      <c r="Y680" s="1444"/>
    </row>
    <row r="681" spans="1:25" ht="12.75">
      <c r="A681" s="1497">
        <v>4120</v>
      </c>
      <c r="B681" s="1513" t="s">
        <v>758</v>
      </c>
      <c r="C681" s="1457">
        <v>50000</v>
      </c>
      <c r="D681" s="1457">
        <f t="shared" si="198"/>
        <v>50900</v>
      </c>
      <c r="E681" s="1458">
        <v>52500</v>
      </c>
      <c r="F681" s="1459">
        <f t="shared" si="199"/>
        <v>45000</v>
      </c>
      <c r="G681" s="1499">
        <f t="shared" si="196"/>
        <v>90</v>
      </c>
      <c r="H681" s="1499">
        <f t="shared" si="195"/>
        <v>88.40864440078585</v>
      </c>
      <c r="I681" s="1450"/>
      <c r="J681" s="1461"/>
      <c r="K681" s="1457"/>
      <c r="L681" s="1457"/>
      <c r="M681" s="1457"/>
      <c r="N681" s="1457"/>
      <c r="O681" s="1457"/>
      <c r="P681" s="1462"/>
      <c r="Q681" s="1495"/>
      <c r="R681" s="1461">
        <v>50900</v>
      </c>
      <c r="S681" s="1457">
        <v>45000</v>
      </c>
      <c r="T681" s="1457"/>
      <c r="U681" s="1457"/>
      <c r="V681" s="1457"/>
      <c r="W681" s="1462">
        <f t="shared" si="200"/>
        <v>45000</v>
      </c>
      <c r="X681" s="1496">
        <f t="shared" si="185"/>
        <v>88.40864440078585</v>
      </c>
      <c r="Y681" s="1444"/>
    </row>
    <row r="682" spans="1:25" ht="12.75">
      <c r="A682" s="1497">
        <v>4210</v>
      </c>
      <c r="B682" s="1513" t="s">
        <v>560</v>
      </c>
      <c r="C682" s="1457">
        <v>30000</v>
      </c>
      <c r="D682" s="1457">
        <f t="shared" si="198"/>
        <v>41600</v>
      </c>
      <c r="E682" s="1458">
        <v>107300</v>
      </c>
      <c r="F682" s="1459">
        <f t="shared" si="199"/>
        <v>35000</v>
      </c>
      <c r="G682" s="1499">
        <f t="shared" si="196"/>
        <v>116.66666666666667</v>
      </c>
      <c r="H682" s="1499">
        <f t="shared" si="195"/>
        <v>84.13461538461539</v>
      </c>
      <c r="I682" s="1450"/>
      <c r="J682" s="1461"/>
      <c r="K682" s="1457"/>
      <c r="L682" s="1457"/>
      <c r="M682" s="1457"/>
      <c r="N682" s="1457"/>
      <c r="O682" s="1457"/>
      <c r="P682" s="1462"/>
      <c r="Q682" s="1495"/>
      <c r="R682" s="1461">
        <v>41600</v>
      </c>
      <c r="S682" s="1457">
        <v>35000</v>
      </c>
      <c r="T682" s="1457"/>
      <c r="U682" s="1457"/>
      <c r="V682" s="1457"/>
      <c r="W682" s="1462">
        <f t="shared" si="200"/>
        <v>35000</v>
      </c>
      <c r="X682" s="1496">
        <f t="shared" si="185"/>
        <v>84.13461538461539</v>
      </c>
      <c r="Y682" s="1444"/>
    </row>
    <row r="683" spans="1:25" ht="24">
      <c r="A683" s="1497">
        <v>4240</v>
      </c>
      <c r="B683" s="1513" t="s">
        <v>897</v>
      </c>
      <c r="C683" s="1457">
        <v>10000</v>
      </c>
      <c r="D683" s="1457">
        <f t="shared" si="198"/>
        <v>10000</v>
      </c>
      <c r="E683" s="1458">
        <v>41100</v>
      </c>
      <c r="F683" s="1459">
        <f t="shared" si="199"/>
        <v>17000</v>
      </c>
      <c r="G683" s="1499">
        <f t="shared" si="196"/>
        <v>170</v>
      </c>
      <c r="H683" s="1499">
        <f t="shared" si="195"/>
        <v>170</v>
      </c>
      <c r="I683" s="1450"/>
      <c r="J683" s="1461"/>
      <c r="K683" s="1457"/>
      <c r="L683" s="1457"/>
      <c r="M683" s="1457"/>
      <c r="N683" s="1457"/>
      <c r="O683" s="1457"/>
      <c r="P683" s="1462"/>
      <c r="Q683" s="1495"/>
      <c r="R683" s="1461">
        <v>10000</v>
      </c>
      <c r="S683" s="1457">
        <v>17000</v>
      </c>
      <c r="T683" s="1457"/>
      <c r="U683" s="1457"/>
      <c r="V683" s="1457"/>
      <c r="W683" s="1462">
        <f t="shared" si="200"/>
        <v>17000</v>
      </c>
      <c r="X683" s="1496">
        <f t="shared" si="185"/>
        <v>170</v>
      </c>
      <c r="Y683" s="1444"/>
    </row>
    <row r="684" spans="1:25" ht="12.75">
      <c r="A684" s="1497">
        <v>4260</v>
      </c>
      <c r="B684" s="1513" t="s">
        <v>575</v>
      </c>
      <c r="C684" s="1457">
        <v>190000</v>
      </c>
      <c r="D684" s="1457">
        <f t="shared" si="198"/>
        <v>159900</v>
      </c>
      <c r="E684" s="1458">
        <v>201300</v>
      </c>
      <c r="F684" s="1459">
        <f t="shared" si="199"/>
        <v>160000</v>
      </c>
      <c r="G684" s="1499">
        <f t="shared" si="196"/>
        <v>84.21052631578947</v>
      </c>
      <c r="H684" s="1499">
        <f t="shared" si="195"/>
        <v>100.06253908692932</v>
      </c>
      <c r="I684" s="1450"/>
      <c r="J684" s="1461"/>
      <c r="K684" s="1457"/>
      <c r="L684" s="1457"/>
      <c r="M684" s="1457"/>
      <c r="N684" s="1457"/>
      <c r="O684" s="1457"/>
      <c r="P684" s="1462"/>
      <c r="Q684" s="1495"/>
      <c r="R684" s="1461">
        <v>159900</v>
      </c>
      <c r="S684" s="1457">
        <v>160000</v>
      </c>
      <c r="T684" s="1457"/>
      <c r="U684" s="1457"/>
      <c r="V684" s="1457"/>
      <c r="W684" s="1462">
        <f t="shared" si="200"/>
        <v>160000</v>
      </c>
      <c r="X684" s="1496">
        <f t="shared" si="185"/>
        <v>100.06253908692932</v>
      </c>
      <c r="Y684" s="1444"/>
    </row>
    <row r="685" spans="1:25" ht="12.75">
      <c r="A685" s="1497">
        <v>4270</v>
      </c>
      <c r="B685" s="1513" t="s">
        <v>576</v>
      </c>
      <c r="C685" s="1457">
        <v>5000</v>
      </c>
      <c r="D685" s="1457">
        <f t="shared" si="198"/>
        <v>7000</v>
      </c>
      <c r="E685" s="1458">
        <v>17900</v>
      </c>
      <c r="F685" s="1459">
        <f t="shared" si="199"/>
        <v>7000</v>
      </c>
      <c r="G685" s="1499">
        <f t="shared" si="196"/>
        <v>140</v>
      </c>
      <c r="H685" s="1499">
        <f t="shared" si="195"/>
        <v>100</v>
      </c>
      <c r="I685" s="1450"/>
      <c r="J685" s="1461"/>
      <c r="K685" s="1457"/>
      <c r="L685" s="1457"/>
      <c r="M685" s="1457"/>
      <c r="N685" s="1457"/>
      <c r="O685" s="1457"/>
      <c r="P685" s="1462"/>
      <c r="Q685" s="1495"/>
      <c r="R685" s="1461">
        <v>7000</v>
      </c>
      <c r="S685" s="1457"/>
      <c r="T685" s="1457"/>
      <c r="U685" s="1457"/>
      <c r="V685" s="1457">
        <v>7000</v>
      </c>
      <c r="W685" s="1462">
        <f t="shared" si="200"/>
        <v>7000</v>
      </c>
      <c r="X685" s="1496">
        <f t="shared" si="185"/>
        <v>100</v>
      </c>
      <c r="Y685" s="1444"/>
    </row>
    <row r="686" spans="1:25" ht="12.75">
      <c r="A686" s="1497">
        <v>4280</v>
      </c>
      <c r="B686" s="1513" t="s">
        <v>723</v>
      </c>
      <c r="C686" s="1457">
        <v>1600</v>
      </c>
      <c r="D686" s="1457">
        <f t="shared" si="198"/>
        <v>1600</v>
      </c>
      <c r="E686" s="1458">
        <v>1600</v>
      </c>
      <c r="F686" s="1459">
        <f t="shared" si="199"/>
        <v>1600</v>
      </c>
      <c r="G686" s="1499">
        <f t="shared" si="196"/>
        <v>100</v>
      </c>
      <c r="H686" s="1499">
        <f t="shared" si="195"/>
        <v>100</v>
      </c>
      <c r="I686" s="1450"/>
      <c r="J686" s="1461"/>
      <c r="K686" s="1457"/>
      <c r="L686" s="1457"/>
      <c r="M686" s="1457"/>
      <c r="N686" s="1457"/>
      <c r="O686" s="1457"/>
      <c r="P686" s="1462"/>
      <c r="Q686" s="1495"/>
      <c r="R686" s="1461">
        <v>1600</v>
      </c>
      <c r="S686" s="1457">
        <v>1600</v>
      </c>
      <c r="T686" s="1457"/>
      <c r="U686" s="1457"/>
      <c r="V686" s="1457"/>
      <c r="W686" s="1462">
        <f t="shared" si="200"/>
        <v>1600</v>
      </c>
      <c r="X686" s="1496">
        <f t="shared" si="185"/>
        <v>100</v>
      </c>
      <c r="Y686" s="1444"/>
    </row>
    <row r="687" spans="1:25" ht="12.75">
      <c r="A687" s="1497">
        <v>4300</v>
      </c>
      <c r="B687" s="1513" t="s">
        <v>564</v>
      </c>
      <c r="C687" s="1457">
        <v>40000</v>
      </c>
      <c r="D687" s="1457">
        <f t="shared" si="198"/>
        <v>37090</v>
      </c>
      <c r="E687" s="1458">
        <v>60000</v>
      </c>
      <c r="F687" s="1459">
        <f t="shared" si="199"/>
        <v>20000</v>
      </c>
      <c r="G687" s="1499">
        <f t="shared" si="196"/>
        <v>50</v>
      </c>
      <c r="H687" s="1499">
        <f t="shared" si="195"/>
        <v>53.92289026691831</v>
      </c>
      <c r="I687" s="1450"/>
      <c r="J687" s="1461"/>
      <c r="K687" s="1457"/>
      <c r="L687" s="1457"/>
      <c r="M687" s="1457"/>
      <c r="N687" s="1457"/>
      <c r="O687" s="1457"/>
      <c r="P687" s="1462"/>
      <c r="Q687" s="1495"/>
      <c r="R687" s="1461">
        <v>37090</v>
      </c>
      <c r="S687" s="1457">
        <v>20000</v>
      </c>
      <c r="T687" s="1457"/>
      <c r="U687" s="1457"/>
      <c r="V687" s="1457"/>
      <c r="W687" s="1462">
        <f t="shared" si="200"/>
        <v>20000</v>
      </c>
      <c r="X687" s="1496">
        <f t="shared" si="185"/>
        <v>53.92289026691831</v>
      </c>
      <c r="Y687" s="1444"/>
    </row>
    <row r="688" spans="1:25" ht="12.75">
      <c r="A688" s="1497">
        <v>4350</v>
      </c>
      <c r="B688" s="1513" t="s">
        <v>820</v>
      </c>
      <c r="C688" s="1457"/>
      <c r="D688" s="1457">
        <f t="shared" si="198"/>
        <v>25390</v>
      </c>
      <c r="E688" s="1458">
        <v>27700</v>
      </c>
      <c r="F688" s="1459">
        <f t="shared" si="199"/>
        <v>27700</v>
      </c>
      <c r="G688" s="1499"/>
      <c r="H688" s="1499">
        <f t="shared" si="195"/>
        <v>109.09807010634107</v>
      </c>
      <c r="I688" s="1450"/>
      <c r="J688" s="1461"/>
      <c r="K688" s="1457"/>
      <c r="L688" s="1457"/>
      <c r="M688" s="1457"/>
      <c r="N688" s="1457"/>
      <c r="O688" s="1457"/>
      <c r="P688" s="1462"/>
      <c r="Q688" s="1495"/>
      <c r="R688" s="1461">
        <v>25390</v>
      </c>
      <c r="S688" s="1457">
        <v>27700</v>
      </c>
      <c r="T688" s="1457"/>
      <c r="U688" s="1457"/>
      <c r="V688" s="1457"/>
      <c r="W688" s="1462">
        <f t="shared" si="200"/>
        <v>27700</v>
      </c>
      <c r="X688" s="1496">
        <f t="shared" si="185"/>
        <v>109.09807010634107</v>
      </c>
      <c r="Y688" s="1444"/>
    </row>
    <row r="689" spans="1:25" ht="12.75">
      <c r="A689" s="1497">
        <v>4410</v>
      </c>
      <c r="B689" s="1513" t="s">
        <v>618</v>
      </c>
      <c r="C689" s="1457">
        <v>1300</v>
      </c>
      <c r="D689" s="1457">
        <f t="shared" si="198"/>
        <v>1300</v>
      </c>
      <c r="E689" s="1458">
        <v>4900</v>
      </c>
      <c r="F689" s="1459">
        <f t="shared" si="199"/>
        <v>1300</v>
      </c>
      <c r="G689" s="1499">
        <f t="shared" si="196"/>
        <v>100</v>
      </c>
      <c r="H689" s="1499">
        <f t="shared" si="195"/>
        <v>100</v>
      </c>
      <c r="I689" s="1450"/>
      <c r="J689" s="1461"/>
      <c r="K689" s="1457"/>
      <c r="L689" s="1457"/>
      <c r="M689" s="1457"/>
      <c r="N689" s="1457"/>
      <c r="O689" s="1457"/>
      <c r="P689" s="1462"/>
      <c r="Q689" s="1495"/>
      <c r="R689" s="1461">
        <v>1300</v>
      </c>
      <c r="S689" s="1457">
        <v>1300</v>
      </c>
      <c r="T689" s="1457"/>
      <c r="U689" s="1457"/>
      <c r="V689" s="1457"/>
      <c r="W689" s="1462">
        <f t="shared" si="200"/>
        <v>1300</v>
      </c>
      <c r="X689" s="1496">
        <f aca="true" t="shared" si="201" ref="X689:X706">W689/R689*100</f>
        <v>100</v>
      </c>
      <c r="Y689" s="1444"/>
    </row>
    <row r="690" spans="1:25" ht="12.75">
      <c r="A690" s="1497">
        <v>4440</v>
      </c>
      <c r="B690" s="1513" t="s">
        <v>641</v>
      </c>
      <c r="C690" s="1457">
        <v>117500</v>
      </c>
      <c r="D690" s="1457">
        <f t="shared" si="198"/>
        <v>117500</v>
      </c>
      <c r="E690" s="1458">
        <v>116100</v>
      </c>
      <c r="F690" s="1459">
        <f t="shared" si="199"/>
        <v>116100</v>
      </c>
      <c r="G690" s="1499">
        <f t="shared" si="196"/>
        <v>98.80851063829788</v>
      </c>
      <c r="H690" s="1499">
        <f t="shared" si="195"/>
        <v>98.80851063829788</v>
      </c>
      <c r="I690" s="1450"/>
      <c r="J690" s="1461"/>
      <c r="K690" s="1457"/>
      <c r="L690" s="1457"/>
      <c r="M690" s="1457"/>
      <c r="N690" s="1457"/>
      <c r="O690" s="1457"/>
      <c r="P690" s="1462"/>
      <c r="Q690" s="1495"/>
      <c r="R690" s="1461">
        <v>117500</v>
      </c>
      <c r="S690" s="1457">
        <v>116100</v>
      </c>
      <c r="T690" s="1457"/>
      <c r="U690" s="1457"/>
      <c r="V690" s="1457"/>
      <c r="W690" s="1462">
        <f t="shared" si="200"/>
        <v>116100</v>
      </c>
      <c r="X690" s="1496">
        <f t="shared" si="201"/>
        <v>98.80851063829788</v>
      </c>
      <c r="Y690" s="1444"/>
    </row>
    <row r="691" spans="1:25" ht="24" customHeight="1" hidden="1">
      <c r="A691" s="1497">
        <v>6060</v>
      </c>
      <c r="B691" s="1513" t="s">
        <v>870</v>
      </c>
      <c r="C691" s="1457"/>
      <c r="D691" s="1457">
        <f t="shared" si="198"/>
        <v>0</v>
      </c>
      <c r="E691" s="1458">
        <v>12200</v>
      </c>
      <c r="F691" s="1459">
        <f t="shared" si="199"/>
        <v>0</v>
      </c>
      <c r="G691" s="1499"/>
      <c r="H691" s="1499"/>
      <c r="I691" s="1450"/>
      <c r="J691" s="1461"/>
      <c r="K691" s="1457"/>
      <c r="L691" s="1457"/>
      <c r="M691" s="1457"/>
      <c r="N691" s="1457"/>
      <c r="O691" s="1457"/>
      <c r="P691" s="1462"/>
      <c r="Q691" s="1495"/>
      <c r="R691" s="1461"/>
      <c r="S691" s="1457"/>
      <c r="T691" s="1457"/>
      <c r="U691" s="1457"/>
      <c r="V691" s="1457"/>
      <c r="W691" s="1462">
        <f t="shared" si="200"/>
        <v>0</v>
      </c>
      <c r="X691" s="1496" t="e">
        <f t="shared" si="201"/>
        <v>#DIV/0!</v>
      </c>
      <c r="Y691" s="1444"/>
    </row>
    <row r="692" spans="1:25" s="581" customFormat="1" ht="12.75">
      <c r="A692" s="1516">
        <v>80145</v>
      </c>
      <c r="B692" s="1550" t="s">
        <v>917</v>
      </c>
      <c r="C692" s="1467">
        <f>SUM(C693:C694)</f>
        <v>14000</v>
      </c>
      <c r="D692" s="1467">
        <f>SUM(D693:D694)</f>
        <v>14000</v>
      </c>
      <c r="E692" s="1468">
        <f>SUM(E693:E694)</f>
        <v>14000</v>
      </c>
      <c r="F692" s="1469">
        <f>SUM(F693:F694)</f>
        <v>12000</v>
      </c>
      <c r="G692" s="1531">
        <f t="shared" si="196"/>
        <v>85.71428571428571</v>
      </c>
      <c r="H692" s="1532">
        <f t="shared" si="195"/>
        <v>85.71428571428571</v>
      </c>
      <c r="I692" s="1450"/>
      <c r="J692" s="1470">
        <f>SUM(J693:J694)</f>
        <v>7000</v>
      </c>
      <c r="K692" s="1467">
        <f>K694</f>
        <v>7000</v>
      </c>
      <c r="L692" s="1467">
        <f>L694</f>
        <v>0</v>
      </c>
      <c r="M692" s="1467">
        <f>M694</f>
        <v>0</v>
      </c>
      <c r="N692" s="1467">
        <f>N694</f>
        <v>0</v>
      </c>
      <c r="O692" s="1467"/>
      <c r="P692" s="1471">
        <f>P694</f>
        <v>7000</v>
      </c>
      <c r="Q692" s="1453">
        <f>P692/J692*100</f>
        <v>100</v>
      </c>
      <c r="R692" s="1470">
        <f aca="true" t="shared" si="202" ref="R692:W692">SUM(R693:R694)</f>
        <v>7000</v>
      </c>
      <c r="S692" s="1467">
        <f t="shared" si="202"/>
        <v>5000</v>
      </c>
      <c r="T692" s="1467">
        <f t="shared" si="202"/>
        <v>0</v>
      </c>
      <c r="U692" s="1467">
        <f t="shared" si="202"/>
        <v>0</v>
      </c>
      <c r="V692" s="1467">
        <f t="shared" si="202"/>
        <v>0</v>
      </c>
      <c r="W692" s="1471">
        <f t="shared" si="202"/>
        <v>5000</v>
      </c>
      <c r="X692" s="1454">
        <f t="shared" si="201"/>
        <v>71.42857142857143</v>
      </c>
      <c r="Y692" s="1444"/>
    </row>
    <row r="693" spans="1:25" s="571" customFormat="1" ht="12.75">
      <c r="A693" s="1497">
        <v>4170</v>
      </c>
      <c r="B693" s="1513" t="s">
        <v>572</v>
      </c>
      <c r="C693" s="1457"/>
      <c r="D693" s="1457">
        <f>J693+R693</f>
        <v>14000</v>
      </c>
      <c r="E693" s="1458"/>
      <c r="F693" s="1459">
        <f>P693+W693</f>
        <v>0</v>
      </c>
      <c r="G693" s="1499"/>
      <c r="H693" s="1499">
        <f t="shared" si="195"/>
        <v>0</v>
      </c>
      <c r="I693" s="1581"/>
      <c r="J693" s="1461">
        <v>7000</v>
      </c>
      <c r="K693" s="1457"/>
      <c r="L693" s="1457"/>
      <c r="M693" s="1457"/>
      <c r="N693" s="1457"/>
      <c r="O693" s="1457"/>
      <c r="P693" s="1462"/>
      <c r="Q693" s="1495"/>
      <c r="R693" s="1461">
        <v>7000</v>
      </c>
      <c r="S693" s="1457"/>
      <c r="T693" s="1457"/>
      <c r="U693" s="1457"/>
      <c r="V693" s="1457"/>
      <c r="W693" s="1462"/>
      <c r="X693" s="1496"/>
      <c r="Y693" s="1300"/>
    </row>
    <row r="694" spans="1:25" ht="12.75">
      <c r="A694" s="1497">
        <v>4300</v>
      </c>
      <c r="B694" s="1513" t="s">
        <v>564</v>
      </c>
      <c r="C694" s="1457">
        <v>14000</v>
      </c>
      <c r="D694" s="1457">
        <f>J694+R694</f>
        <v>0</v>
      </c>
      <c r="E694" s="1458">
        <f>7000+7000</f>
        <v>14000</v>
      </c>
      <c r="F694" s="1459">
        <f>P694+W694</f>
        <v>12000</v>
      </c>
      <c r="G694" s="1499">
        <f t="shared" si="196"/>
        <v>85.71428571428571</v>
      </c>
      <c r="H694" s="1499"/>
      <c r="I694" s="1450"/>
      <c r="J694" s="1461"/>
      <c r="K694" s="1457">
        <v>7000</v>
      </c>
      <c r="L694" s="1457"/>
      <c r="M694" s="1457"/>
      <c r="N694" s="1457"/>
      <c r="O694" s="1457"/>
      <c r="P694" s="1462">
        <f>SUM(K694:N694)</f>
        <v>7000</v>
      </c>
      <c r="Q694" s="1495" t="e">
        <f aca="true" t="shared" si="203" ref="Q694:Q701">P694/J694*100</f>
        <v>#DIV/0!</v>
      </c>
      <c r="R694" s="1461"/>
      <c r="S694" s="1457">
        <v>5000</v>
      </c>
      <c r="T694" s="1457"/>
      <c r="U694" s="1457"/>
      <c r="V694" s="1457"/>
      <c r="W694" s="1462">
        <f>SUM(S694:V694)</f>
        <v>5000</v>
      </c>
      <c r="X694" s="1496" t="e">
        <f t="shared" si="201"/>
        <v>#DIV/0!</v>
      </c>
      <c r="Y694" s="1444"/>
    </row>
    <row r="695" spans="1:28" s="581" customFormat="1" ht="24">
      <c r="A695" s="1516">
        <v>80146</v>
      </c>
      <c r="B695" s="1550" t="s">
        <v>504</v>
      </c>
      <c r="C695" s="1467">
        <f>SUM(C696:C705)</f>
        <v>497100</v>
      </c>
      <c r="D695" s="1467">
        <f>SUM(D696:D705)</f>
        <v>488925</v>
      </c>
      <c r="E695" s="1468">
        <f>SUM(E696:E705)</f>
        <v>537000</v>
      </c>
      <c r="F695" s="1469">
        <f>SUM(F696:F705)</f>
        <v>471800</v>
      </c>
      <c r="G695" s="1531">
        <f t="shared" si="196"/>
        <v>94.91048078857372</v>
      </c>
      <c r="H695" s="1532">
        <f t="shared" si="195"/>
        <v>96.49741780436672</v>
      </c>
      <c r="I695" s="1450"/>
      <c r="J695" s="1470">
        <f aca="true" t="shared" si="204" ref="J695:P695">SUM(J696:J705)</f>
        <v>264700</v>
      </c>
      <c r="K695" s="1467">
        <f t="shared" si="204"/>
        <v>274800</v>
      </c>
      <c r="L695" s="1467">
        <f t="shared" si="204"/>
        <v>0</v>
      </c>
      <c r="M695" s="1467">
        <f t="shared" si="204"/>
        <v>0</v>
      </c>
      <c r="N695" s="1467">
        <f t="shared" si="204"/>
        <v>0</v>
      </c>
      <c r="O695" s="1467"/>
      <c r="P695" s="1471">
        <f t="shared" si="204"/>
        <v>274800</v>
      </c>
      <c r="Q695" s="1453">
        <f t="shared" si="203"/>
        <v>103.81564034756327</v>
      </c>
      <c r="R695" s="1470">
        <f aca="true" t="shared" si="205" ref="R695:W695">SUM(R696:R705)</f>
        <v>224225</v>
      </c>
      <c r="S695" s="1467">
        <f t="shared" si="205"/>
        <v>197000</v>
      </c>
      <c r="T695" s="1467">
        <f t="shared" si="205"/>
        <v>0</v>
      </c>
      <c r="U695" s="1467">
        <f t="shared" si="205"/>
        <v>0</v>
      </c>
      <c r="V695" s="1467">
        <f t="shared" si="205"/>
        <v>0</v>
      </c>
      <c r="W695" s="1471">
        <f t="shared" si="205"/>
        <v>197000</v>
      </c>
      <c r="X695" s="1454">
        <f t="shared" si="201"/>
        <v>87.85817816924964</v>
      </c>
      <c r="Y695" s="1444"/>
      <c r="Z695" s="1444">
        <f>SUM(K697:K700)</f>
        <v>84800</v>
      </c>
      <c r="AA695" s="1444">
        <f>SUM(S697:S700)</f>
        <v>81200</v>
      </c>
      <c r="AB695" s="1444">
        <f>Z695+AA695</f>
        <v>166000</v>
      </c>
    </row>
    <row r="696" spans="1:28" s="581" customFormat="1" ht="24">
      <c r="A696" s="1497">
        <v>2510</v>
      </c>
      <c r="B696" s="1513" t="s">
        <v>918</v>
      </c>
      <c r="C696" s="1457">
        <v>44000</v>
      </c>
      <c r="D696" s="1457">
        <f>J696+R696</f>
        <v>44000</v>
      </c>
      <c r="E696" s="1458">
        <v>52200</v>
      </c>
      <c r="F696" s="1459">
        <f>P696+W696</f>
        <v>50700</v>
      </c>
      <c r="G696" s="1499">
        <f t="shared" si="196"/>
        <v>115.22727272727273</v>
      </c>
      <c r="H696" s="1499">
        <f t="shared" si="195"/>
        <v>115.22727272727273</v>
      </c>
      <c r="I696" s="1450"/>
      <c r="J696" s="1461">
        <v>44000</v>
      </c>
      <c r="K696" s="1457">
        <f>52200-1500</f>
        <v>50700</v>
      </c>
      <c r="L696" s="1467"/>
      <c r="M696" s="1467"/>
      <c r="N696" s="1467"/>
      <c r="O696" s="1467"/>
      <c r="P696" s="1462">
        <f>SUM(K696:N696)</f>
        <v>50700</v>
      </c>
      <c r="Q696" s="1453">
        <f t="shared" si="203"/>
        <v>115.22727272727273</v>
      </c>
      <c r="R696" s="1470"/>
      <c r="S696" s="1457"/>
      <c r="T696" s="1467"/>
      <c r="U696" s="1467"/>
      <c r="V696" s="1467"/>
      <c r="W696" s="1471"/>
      <c r="X696" s="1454"/>
      <c r="Y696" s="1444"/>
      <c r="Z696" s="1444"/>
      <c r="AA696" s="1444"/>
      <c r="AB696" s="1444"/>
    </row>
    <row r="697" spans="1:25" ht="24">
      <c r="A697" s="1497">
        <v>4010</v>
      </c>
      <c r="B697" s="1513" t="s">
        <v>626</v>
      </c>
      <c r="C697" s="1457">
        <v>172100</v>
      </c>
      <c r="D697" s="1457">
        <f aca="true" t="shared" si="206" ref="D697:D705">J697+R697</f>
        <v>167320</v>
      </c>
      <c r="E697" s="1458">
        <f>71000+63700</f>
        <v>134700</v>
      </c>
      <c r="F697" s="1459">
        <f aca="true" t="shared" si="207" ref="F697:F705">P697+W697</f>
        <v>125800</v>
      </c>
      <c r="G697" s="1499">
        <f t="shared" si="196"/>
        <v>73.09703660662406</v>
      </c>
      <c r="H697" s="1499">
        <f t="shared" si="195"/>
        <v>75.1852737269902</v>
      </c>
      <c r="I697" s="1450"/>
      <c r="J697" s="1461">
        <v>81270</v>
      </c>
      <c r="K697" s="1457">
        <v>63700</v>
      </c>
      <c r="L697" s="1457"/>
      <c r="M697" s="1457"/>
      <c r="N697" s="1457"/>
      <c r="O697" s="1457"/>
      <c r="P697" s="1462">
        <f aca="true" t="shared" si="208" ref="P697:P705">SUM(K697:N697)</f>
        <v>63700</v>
      </c>
      <c r="Q697" s="1495">
        <f t="shared" si="203"/>
        <v>78.38070628768304</v>
      </c>
      <c r="R697" s="1461">
        <v>86050</v>
      </c>
      <c r="S697" s="1457">
        <v>62100</v>
      </c>
      <c r="T697" s="1457"/>
      <c r="U697" s="1457"/>
      <c r="V697" s="1457"/>
      <c r="W697" s="1462">
        <f aca="true" t="shared" si="209" ref="W697:W705">SUM(S697:V697)</f>
        <v>62100</v>
      </c>
      <c r="X697" s="1496">
        <f t="shared" si="201"/>
        <v>72.16734456711215</v>
      </c>
      <c r="Y697" s="1444"/>
    </row>
    <row r="698" spans="1:25" ht="12.75">
      <c r="A698" s="1497">
        <v>4040</v>
      </c>
      <c r="B698" s="1513" t="s">
        <v>630</v>
      </c>
      <c r="C698" s="1457">
        <v>12600</v>
      </c>
      <c r="D698" s="1457">
        <f t="shared" si="206"/>
        <v>12315</v>
      </c>
      <c r="E698" s="1458">
        <f>7100+6600</f>
        <v>13700</v>
      </c>
      <c r="F698" s="1459">
        <f t="shared" si="207"/>
        <v>12200</v>
      </c>
      <c r="G698" s="1499">
        <f t="shared" si="196"/>
        <v>96.82539682539682</v>
      </c>
      <c r="H698" s="1499">
        <f t="shared" si="195"/>
        <v>99.06617945594803</v>
      </c>
      <c r="I698" s="1450"/>
      <c r="J698" s="1461">
        <v>5520</v>
      </c>
      <c r="K698" s="1457">
        <v>6600</v>
      </c>
      <c r="L698" s="1457"/>
      <c r="M698" s="1457"/>
      <c r="N698" s="1457"/>
      <c r="O698" s="1457"/>
      <c r="P698" s="1462">
        <f t="shared" si="208"/>
        <v>6600</v>
      </c>
      <c r="Q698" s="1495">
        <f t="shared" si="203"/>
        <v>119.56521739130434</v>
      </c>
      <c r="R698" s="1461">
        <v>6795</v>
      </c>
      <c r="S698" s="1457">
        <v>5600</v>
      </c>
      <c r="T698" s="1457"/>
      <c r="U698" s="1457"/>
      <c r="V698" s="1457"/>
      <c r="W698" s="1462">
        <f t="shared" si="209"/>
        <v>5600</v>
      </c>
      <c r="X698" s="1496">
        <f t="shared" si="201"/>
        <v>82.41353936718176</v>
      </c>
      <c r="Y698" s="1444"/>
    </row>
    <row r="699" spans="1:25" ht="12.75">
      <c r="A699" s="1497">
        <v>4110</v>
      </c>
      <c r="B699" s="1513" t="s">
        <v>568</v>
      </c>
      <c r="C699" s="1457">
        <v>32700</v>
      </c>
      <c r="D699" s="1457">
        <f t="shared" si="206"/>
        <v>30160</v>
      </c>
      <c r="E699" s="1458">
        <f>14200+15200</f>
        <v>29400</v>
      </c>
      <c r="F699" s="1459">
        <f t="shared" si="207"/>
        <v>24400</v>
      </c>
      <c r="G699" s="1499">
        <f t="shared" si="196"/>
        <v>74.61773700305811</v>
      </c>
      <c r="H699" s="1499">
        <f t="shared" si="195"/>
        <v>80.90185676392572</v>
      </c>
      <c r="I699" s="1450"/>
      <c r="J699" s="1461">
        <v>14670</v>
      </c>
      <c r="K699" s="1457">
        <v>12500</v>
      </c>
      <c r="L699" s="1457"/>
      <c r="M699" s="1457"/>
      <c r="N699" s="1457"/>
      <c r="O699" s="1457"/>
      <c r="P699" s="1462">
        <f t="shared" si="208"/>
        <v>12500</v>
      </c>
      <c r="Q699" s="1495">
        <f t="shared" si="203"/>
        <v>85.20790729379686</v>
      </c>
      <c r="R699" s="1461">
        <v>15490</v>
      </c>
      <c r="S699" s="1457">
        <v>11900</v>
      </c>
      <c r="T699" s="1457"/>
      <c r="U699" s="1457"/>
      <c r="V699" s="1457"/>
      <c r="W699" s="1462">
        <f t="shared" si="209"/>
        <v>11900</v>
      </c>
      <c r="X699" s="1496">
        <f t="shared" si="201"/>
        <v>76.82375726275016</v>
      </c>
      <c r="Y699" s="1444"/>
    </row>
    <row r="700" spans="1:25" ht="12.75">
      <c r="A700" s="1497">
        <v>4120</v>
      </c>
      <c r="B700" s="1513" t="s">
        <v>758</v>
      </c>
      <c r="C700" s="1457">
        <v>4900</v>
      </c>
      <c r="D700" s="1457">
        <f t="shared" si="206"/>
        <v>4310</v>
      </c>
      <c r="E700" s="1458">
        <f>2100+2300</f>
        <v>4400</v>
      </c>
      <c r="F700" s="1459">
        <f t="shared" si="207"/>
        <v>3600</v>
      </c>
      <c r="G700" s="1499">
        <f t="shared" si="196"/>
        <v>73.46938775510205</v>
      </c>
      <c r="H700" s="1499">
        <f t="shared" si="195"/>
        <v>83.52668213457076</v>
      </c>
      <c r="I700" s="1450"/>
      <c r="J700" s="1461">
        <v>2020</v>
      </c>
      <c r="K700" s="1457">
        <v>2000</v>
      </c>
      <c r="L700" s="1457"/>
      <c r="M700" s="1457"/>
      <c r="N700" s="1457"/>
      <c r="O700" s="1457"/>
      <c r="P700" s="1462">
        <f t="shared" si="208"/>
        <v>2000</v>
      </c>
      <c r="Q700" s="1495">
        <f t="shared" si="203"/>
        <v>99.00990099009901</v>
      </c>
      <c r="R700" s="1461">
        <v>2290</v>
      </c>
      <c r="S700" s="1457">
        <v>1600</v>
      </c>
      <c r="T700" s="1457"/>
      <c r="U700" s="1457"/>
      <c r="V700" s="1457"/>
      <c r="W700" s="1462">
        <f t="shared" si="209"/>
        <v>1600</v>
      </c>
      <c r="X700" s="1496">
        <f t="shared" si="201"/>
        <v>69.86899563318777</v>
      </c>
      <c r="Y700" s="1444"/>
    </row>
    <row r="701" spans="1:25" ht="12.75">
      <c r="A701" s="1497">
        <v>4140</v>
      </c>
      <c r="B701" s="1513" t="s">
        <v>722</v>
      </c>
      <c r="C701" s="1457">
        <v>200</v>
      </c>
      <c r="D701" s="1457">
        <f t="shared" si="206"/>
        <v>100</v>
      </c>
      <c r="E701" s="1458">
        <v>100</v>
      </c>
      <c r="F701" s="1459">
        <f t="shared" si="207"/>
        <v>100</v>
      </c>
      <c r="G701" s="1499">
        <f t="shared" si="196"/>
        <v>50</v>
      </c>
      <c r="H701" s="1499">
        <f t="shared" si="195"/>
        <v>100</v>
      </c>
      <c r="I701" s="1450"/>
      <c r="J701" s="1461">
        <v>100</v>
      </c>
      <c r="K701" s="1457">
        <v>100</v>
      </c>
      <c r="L701" s="1457"/>
      <c r="M701" s="1457"/>
      <c r="N701" s="1457"/>
      <c r="O701" s="1457"/>
      <c r="P701" s="1462">
        <f t="shared" si="208"/>
        <v>100</v>
      </c>
      <c r="Q701" s="1495">
        <f t="shared" si="203"/>
        <v>100</v>
      </c>
      <c r="R701" s="1461"/>
      <c r="S701" s="1457"/>
      <c r="T701" s="1457"/>
      <c r="U701" s="1457"/>
      <c r="V701" s="1457"/>
      <c r="W701" s="1462">
        <f t="shared" si="209"/>
        <v>0</v>
      </c>
      <c r="X701" s="1496"/>
      <c r="Y701" s="1444"/>
    </row>
    <row r="702" spans="1:25" ht="12.75">
      <c r="A702" s="1497">
        <v>4170</v>
      </c>
      <c r="B702" s="1513" t="s">
        <v>572</v>
      </c>
      <c r="C702" s="1457"/>
      <c r="D702" s="1457">
        <f t="shared" si="206"/>
        <v>1400</v>
      </c>
      <c r="E702" s="1458"/>
      <c r="F702" s="1459">
        <f t="shared" si="207"/>
        <v>0</v>
      </c>
      <c r="G702" s="1499"/>
      <c r="H702" s="1499">
        <f t="shared" si="195"/>
        <v>0</v>
      </c>
      <c r="I702" s="1450"/>
      <c r="J702" s="1461">
        <v>1400</v>
      </c>
      <c r="K702" s="1457"/>
      <c r="L702" s="1457"/>
      <c r="M702" s="1457"/>
      <c r="N702" s="1457"/>
      <c r="O702" s="1457"/>
      <c r="P702" s="1462"/>
      <c r="Q702" s="1495"/>
      <c r="R702" s="1461"/>
      <c r="S702" s="1457"/>
      <c r="T702" s="1457"/>
      <c r="U702" s="1457"/>
      <c r="V702" s="1457"/>
      <c r="W702" s="1462"/>
      <c r="X702" s="1496"/>
      <c r="Y702" s="1444"/>
    </row>
    <row r="703" spans="1:25" ht="12.75">
      <c r="A703" s="1497">
        <v>4440</v>
      </c>
      <c r="B703" s="1513" t="s">
        <v>641</v>
      </c>
      <c r="C703" s="1457">
        <v>9700</v>
      </c>
      <c r="D703" s="1457">
        <f t="shared" si="206"/>
        <v>9820</v>
      </c>
      <c r="E703" s="1458">
        <f>4500+4200</f>
        <v>8700</v>
      </c>
      <c r="F703" s="1459">
        <f t="shared" si="207"/>
        <v>8200</v>
      </c>
      <c r="G703" s="1499">
        <f t="shared" si="196"/>
        <v>84.5360824742268</v>
      </c>
      <c r="H703" s="1499">
        <f t="shared" si="195"/>
        <v>83.5030549898167</v>
      </c>
      <c r="I703" s="1450"/>
      <c r="J703" s="1461">
        <v>4820</v>
      </c>
      <c r="K703" s="1457">
        <v>4200</v>
      </c>
      <c r="L703" s="1457"/>
      <c r="M703" s="1457"/>
      <c r="N703" s="1457"/>
      <c r="O703" s="1457"/>
      <c r="P703" s="1462">
        <f t="shared" si="208"/>
        <v>4200</v>
      </c>
      <c r="Q703" s="1495">
        <f>P703/J703*100</f>
        <v>87.13692946058092</v>
      </c>
      <c r="R703" s="1461">
        <v>5000</v>
      </c>
      <c r="S703" s="1457">
        <v>4000</v>
      </c>
      <c r="T703" s="1457"/>
      <c r="U703" s="1457"/>
      <c r="V703" s="1457"/>
      <c r="W703" s="1462">
        <f t="shared" si="209"/>
        <v>4000</v>
      </c>
      <c r="X703" s="1496">
        <f t="shared" si="201"/>
        <v>80</v>
      </c>
      <c r="Y703" s="1444"/>
    </row>
    <row r="704" spans="1:25" ht="12.75">
      <c r="A704" s="1497">
        <v>4210</v>
      </c>
      <c r="B704" s="1513" t="s">
        <v>560</v>
      </c>
      <c r="C704" s="1457">
        <v>220900</v>
      </c>
      <c r="D704" s="1457">
        <f t="shared" si="206"/>
        <v>1600</v>
      </c>
      <c r="E704" s="1458"/>
      <c r="F704" s="1459">
        <f t="shared" si="207"/>
        <v>0</v>
      </c>
      <c r="G704" s="1499">
        <f t="shared" si="196"/>
        <v>0</v>
      </c>
      <c r="H704" s="1499">
        <f t="shared" si="195"/>
        <v>0</v>
      </c>
      <c r="I704" s="1450"/>
      <c r="J704" s="1461">
        <v>1600</v>
      </c>
      <c r="K704" s="1457"/>
      <c r="L704" s="1457"/>
      <c r="M704" s="1457"/>
      <c r="N704" s="1457"/>
      <c r="O704" s="1457"/>
      <c r="P704" s="1462"/>
      <c r="Q704" s="1495"/>
      <c r="R704" s="1461"/>
      <c r="S704" s="1457"/>
      <c r="T704" s="1457"/>
      <c r="U704" s="1457"/>
      <c r="V704" s="1457"/>
      <c r="W704" s="1462">
        <f t="shared" si="209"/>
        <v>0</v>
      </c>
      <c r="X704" s="1496" t="e">
        <f t="shared" si="201"/>
        <v>#DIV/0!</v>
      </c>
      <c r="Y704" s="1444"/>
    </row>
    <row r="705" spans="1:25" ht="36">
      <c r="A705" s="1497">
        <v>4300</v>
      </c>
      <c r="B705" s="1513" t="s">
        <v>919</v>
      </c>
      <c r="C705" s="1457"/>
      <c r="D705" s="1457">
        <f t="shared" si="206"/>
        <v>217900</v>
      </c>
      <c r="E705" s="1514">
        <f>146300+147500</f>
        <v>293800</v>
      </c>
      <c r="F705" s="1457">
        <f t="shared" si="207"/>
        <v>246800</v>
      </c>
      <c r="G705" s="1499"/>
      <c r="H705" s="1499">
        <f t="shared" si="195"/>
        <v>113.2629646626893</v>
      </c>
      <c r="I705" s="1450"/>
      <c r="J705" s="1461">
        <v>109300</v>
      </c>
      <c r="K705" s="1457">
        <f>147500-12500</f>
        <v>135000</v>
      </c>
      <c r="L705" s="1457"/>
      <c r="M705" s="1457"/>
      <c r="N705" s="1457"/>
      <c r="O705" s="1457"/>
      <c r="P705" s="1462">
        <f t="shared" si="208"/>
        <v>135000</v>
      </c>
      <c r="Q705" s="1495">
        <f>P705/J705*100</f>
        <v>123.51326623970722</v>
      </c>
      <c r="R705" s="1461">
        <v>108600</v>
      </c>
      <c r="S705" s="1457">
        <f>137500-25700</f>
        <v>111800</v>
      </c>
      <c r="T705" s="1457"/>
      <c r="U705" s="1457"/>
      <c r="V705" s="1457"/>
      <c r="W705" s="1462">
        <f t="shared" si="209"/>
        <v>111800</v>
      </c>
      <c r="X705" s="1496">
        <f t="shared" si="201"/>
        <v>102.94659300184162</v>
      </c>
      <c r="Y705" s="1444"/>
    </row>
    <row r="706" spans="1:28" s="581" customFormat="1" ht="12.75">
      <c r="A706" s="1516">
        <v>80195</v>
      </c>
      <c r="B706" s="1550" t="s">
        <v>209</v>
      </c>
      <c r="C706" s="1467">
        <f>SUM(C735:C742)+SUM(C745:C749)+SUM(C804:C816)+C707+C786+C725+C730</f>
        <v>5344317</v>
      </c>
      <c r="D706" s="1467">
        <f>SUM(D735:D742)+SUM(D745:D749)+SUM(D804:D816)+D707+D786+D725+D730</f>
        <v>5342833</v>
      </c>
      <c r="E706" s="1518">
        <f>SUM(E735:E742)+SUM(E745:E749)+SUM(E804:E816)+E707+E786+E725+E730</f>
        <v>25281120</v>
      </c>
      <c r="F706" s="1467">
        <f>SUM(F735:F742)+SUM(F745:F749)+SUM(F804:F816)+F707+F786+F725+F730</f>
        <v>6087023</v>
      </c>
      <c r="G706" s="1519">
        <f t="shared" si="196"/>
        <v>113.89711725558196</v>
      </c>
      <c r="H706" s="1519">
        <f t="shared" si="195"/>
        <v>113.92875277965828</v>
      </c>
      <c r="I706" s="1471"/>
      <c r="J706" s="1470">
        <f aca="true" t="shared" si="210" ref="J706:W706">SUM(J735:J742)+SUM(J745:J749)+SUM(J804:J816)+J707+J786+J725+J730</f>
        <v>3252540</v>
      </c>
      <c r="K706" s="1467">
        <f t="shared" si="210"/>
        <v>2851223</v>
      </c>
      <c r="L706" s="1467">
        <f t="shared" si="210"/>
        <v>810000</v>
      </c>
      <c r="M706" s="1467">
        <f t="shared" si="210"/>
        <v>7000</v>
      </c>
      <c r="N706" s="1467">
        <f t="shared" si="210"/>
        <v>248000</v>
      </c>
      <c r="O706" s="1467">
        <f t="shared" si="210"/>
        <v>0</v>
      </c>
      <c r="P706" s="1471">
        <f t="shared" si="210"/>
        <v>3916223</v>
      </c>
      <c r="Q706" s="1580" t="e">
        <f t="shared" si="210"/>
        <v>#DIV/0!</v>
      </c>
      <c r="R706" s="1470">
        <f t="shared" si="210"/>
        <v>2090293</v>
      </c>
      <c r="S706" s="1467">
        <f t="shared" si="210"/>
        <v>1458300</v>
      </c>
      <c r="T706" s="1467">
        <f t="shared" si="210"/>
        <v>702500</v>
      </c>
      <c r="U706" s="1467">
        <f t="shared" si="210"/>
        <v>10000</v>
      </c>
      <c r="V706" s="1467">
        <f t="shared" si="210"/>
        <v>0</v>
      </c>
      <c r="W706" s="1471">
        <f t="shared" si="210"/>
        <v>2170800</v>
      </c>
      <c r="X706" s="1454">
        <f t="shared" si="201"/>
        <v>103.85146962650691</v>
      </c>
      <c r="Y706" s="1444"/>
      <c r="Z706" s="581">
        <f>Z707+Z734</f>
        <v>1086723</v>
      </c>
      <c r="AA706" s="581">
        <f>AA707+AA734</f>
        <v>270600</v>
      </c>
      <c r="AB706" s="581">
        <f>Z706+AA706</f>
        <v>1357323</v>
      </c>
    </row>
    <row r="707" spans="1:28" s="581" customFormat="1" ht="36">
      <c r="A707" s="1516"/>
      <c r="B707" s="1550" t="s">
        <v>384</v>
      </c>
      <c r="C707" s="1467">
        <f>SUM(C708:C724)</f>
        <v>1047817</v>
      </c>
      <c r="D707" s="1467">
        <f>SUM(D708:D724)</f>
        <v>1096817</v>
      </c>
      <c r="E707" s="1556">
        <f>SUM(E708:E724)</f>
        <v>1246000</v>
      </c>
      <c r="F707" s="1467">
        <f>SUM(F708:F724)</f>
        <v>1314523</v>
      </c>
      <c r="G707" s="1519">
        <f t="shared" si="196"/>
        <v>125.4534904472823</v>
      </c>
      <c r="H707" s="1519">
        <f t="shared" si="195"/>
        <v>119.84889001538086</v>
      </c>
      <c r="I707" s="1534"/>
      <c r="J707" s="1470">
        <f aca="true" t="shared" si="211" ref="J707:P707">SUM(J708:J724)</f>
        <v>1096817</v>
      </c>
      <c r="K707" s="1467">
        <f t="shared" si="211"/>
        <v>849523</v>
      </c>
      <c r="L707" s="1467">
        <f t="shared" si="211"/>
        <v>210000</v>
      </c>
      <c r="M707" s="1467">
        <f t="shared" si="211"/>
        <v>7000</v>
      </c>
      <c r="N707" s="1467">
        <f t="shared" si="211"/>
        <v>248000</v>
      </c>
      <c r="O707" s="1467"/>
      <c r="P707" s="1471">
        <f t="shared" si="211"/>
        <v>1314523</v>
      </c>
      <c r="Q707" s="1453">
        <f aca="true" t="shared" si="212" ref="Q707:Q712">P707/J707*100</f>
        <v>119.84889001538086</v>
      </c>
      <c r="R707" s="1470"/>
      <c r="S707" s="1467"/>
      <c r="T707" s="1467"/>
      <c r="U707" s="1467"/>
      <c r="V707" s="1467"/>
      <c r="W707" s="1471"/>
      <c r="X707" s="1454"/>
      <c r="Y707" s="1444"/>
      <c r="Z707" s="1444">
        <f>SUM(K709:K712)</f>
        <v>736523</v>
      </c>
      <c r="AB707" s="581">
        <f>Z707+AA707</f>
        <v>736523</v>
      </c>
    </row>
    <row r="708" spans="1:26" s="581" customFormat="1" ht="24">
      <c r="A708" s="1497">
        <v>3020</v>
      </c>
      <c r="B708" s="1513" t="s">
        <v>717</v>
      </c>
      <c r="C708" s="1457">
        <v>600</v>
      </c>
      <c r="D708" s="1457">
        <f aca="true" t="shared" si="213" ref="D708:D744">J708+R708</f>
        <v>600</v>
      </c>
      <c r="E708" s="1458">
        <v>300</v>
      </c>
      <c r="F708" s="1459">
        <f>P708+W708</f>
        <v>300</v>
      </c>
      <c r="G708" s="1499">
        <f t="shared" si="196"/>
        <v>50</v>
      </c>
      <c r="H708" s="1499">
        <f t="shared" si="195"/>
        <v>50</v>
      </c>
      <c r="I708" s="1450"/>
      <c r="J708" s="1461">
        <v>600</v>
      </c>
      <c r="K708" s="1457">
        <v>300</v>
      </c>
      <c r="L708" s="1457"/>
      <c r="M708" s="1457"/>
      <c r="N708" s="1457"/>
      <c r="O708" s="1457"/>
      <c r="P708" s="1462">
        <f>SUM(K708:N708)</f>
        <v>300</v>
      </c>
      <c r="Q708" s="1495">
        <f t="shared" si="212"/>
        <v>50</v>
      </c>
      <c r="R708" s="1470"/>
      <c r="S708" s="1467"/>
      <c r="T708" s="1467"/>
      <c r="U708" s="1467"/>
      <c r="V708" s="1467"/>
      <c r="W708" s="1471"/>
      <c r="X708" s="1454"/>
      <c r="Y708" s="1444"/>
      <c r="Z708" s="1444"/>
    </row>
    <row r="709" spans="1:25" ht="24">
      <c r="A709" s="1497">
        <v>4010</v>
      </c>
      <c r="B709" s="1513" t="s">
        <v>626</v>
      </c>
      <c r="C709" s="1457">
        <v>560217</v>
      </c>
      <c r="D709" s="1457">
        <f t="shared" si="213"/>
        <v>560217</v>
      </c>
      <c r="E709" s="1458">
        <v>569100</v>
      </c>
      <c r="F709" s="1459">
        <f>P709+W709</f>
        <v>568623</v>
      </c>
      <c r="G709" s="1499">
        <f t="shared" si="196"/>
        <v>101.5004899887008</v>
      </c>
      <c r="H709" s="1499">
        <f t="shared" si="195"/>
        <v>101.5004899887008</v>
      </c>
      <c r="I709" s="1450"/>
      <c r="J709" s="1461">
        <v>560217</v>
      </c>
      <c r="K709" s="1457">
        <f>569100-477</f>
        <v>568623</v>
      </c>
      <c r="L709" s="1457"/>
      <c r="M709" s="1457"/>
      <c r="N709" s="1457"/>
      <c r="O709" s="1457"/>
      <c r="P709" s="1462">
        <f>SUM(K709:N709)</f>
        <v>568623</v>
      </c>
      <c r="Q709" s="1495">
        <f t="shared" si="212"/>
        <v>101.5004899887008</v>
      </c>
      <c r="R709" s="1461"/>
      <c r="S709" s="1457"/>
      <c r="T709" s="1457"/>
      <c r="U709" s="1457"/>
      <c r="V709" s="1457"/>
      <c r="W709" s="1462"/>
      <c r="X709" s="1496"/>
      <c r="Y709" s="1444"/>
    </row>
    <row r="710" spans="1:25" ht="12.75">
      <c r="A710" s="1497">
        <v>4040</v>
      </c>
      <c r="B710" s="1513" t="s">
        <v>630</v>
      </c>
      <c r="C710" s="1457">
        <v>44700</v>
      </c>
      <c r="D710" s="1457">
        <f t="shared" si="213"/>
        <v>42012</v>
      </c>
      <c r="E710" s="1458">
        <v>46700</v>
      </c>
      <c r="F710" s="1459">
        <f aca="true" t="shared" si="214" ref="F710:F721">P710+W710</f>
        <v>46700</v>
      </c>
      <c r="G710" s="1499">
        <f t="shared" si="196"/>
        <v>104.47427293064877</v>
      </c>
      <c r="H710" s="1499">
        <f t="shared" si="195"/>
        <v>111.15871655717413</v>
      </c>
      <c r="I710" s="1450"/>
      <c r="J710" s="1461">
        <v>42012</v>
      </c>
      <c r="K710" s="1457">
        <v>46700</v>
      </c>
      <c r="L710" s="1457"/>
      <c r="M710" s="1457"/>
      <c r="N710" s="1457"/>
      <c r="O710" s="1457"/>
      <c r="P710" s="1462">
        <f aca="true" t="shared" si="215" ref="P710:P724">SUM(K710:N710)</f>
        <v>46700</v>
      </c>
      <c r="Q710" s="1495">
        <f t="shared" si="212"/>
        <v>111.15871655717413</v>
      </c>
      <c r="R710" s="1461"/>
      <c r="S710" s="1457"/>
      <c r="T710" s="1457"/>
      <c r="U710" s="1457"/>
      <c r="V710" s="1457"/>
      <c r="W710" s="1462"/>
      <c r="X710" s="1496"/>
      <c r="Y710" s="1444"/>
    </row>
    <row r="711" spans="1:25" ht="12.75">
      <c r="A711" s="1497">
        <v>4110</v>
      </c>
      <c r="B711" s="1513" t="s">
        <v>568</v>
      </c>
      <c r="C711" s="1457">
        <v>102700</v>
      </c>
      <c r="D711" s="1457">
        <f t="shared" si="213"/>
        <v>102700</v>
      </c>
      <c r="E711" s="1458">
        <v>106500</v>
      </c>
      <c r="F711" s="1459">
        <f t="shared" si="214"/>
        <v>106500</v>
      </c>
      <c r="G711" s="1499">
        <f t="shared" si="196"/>
        <v>103.70009737098344</v>
      </c>
      <c r="H711" s="1499">
        <f t="shared" si="195"/>
        <v>103.70009737098344</v>
      </c>
      <c r="I711" s="1450"/>
      <c r="J711" s="1461">
        <v>102700</v>
      </c>
      <c r="K711" s="1457">
        <v>106500</v>
      </c>
      <c r="L711" s="1457"/>
      <c r="M711" s="1457"/>
      <c r="N711" s="1457"/>
      <c r="O711" s="1457"/>
      <c r="P711" s="1462">
        <f t="shared" si="215"/>
        <v>106500</v>
      </c>
      <c r="Q711" s="1495">
        <f t="shared" si="212"/>
        <v>103.70009737098344</v>
      </c>
      <c r="R711" s="1461"/>
      <c r="S711" s="1457"/>
      <c r="T711" s="1457"/>
      <c r="U711" s="1457"/>
      <c r="V711" s="1457"/>
      <c r="W711" s="1462"/>
      <c r="X711" s="1496"/>
      <c r="Y711" s="1444"/>
    </row>
    <row r="712" spans="1:25" ht="12.75">
      <c r="A712" s="1497">
        <v>4120</v>
      </c>
      <c r="B712" s="1513" t="s">
        <v>758</v>
      </c>
      <c r="C712" s="1457">
        <v>14200</v>
      </c>
      <c r="D712" s="1457">
        <f t="shared" si="213"/>
        <v>14200</v>
      </c>
      <c r="E712" s="1458">
        <v>14700</v>
      </c>
      <c r="F712" s="1459">
        <f t="shared" si="214"/>
        <v>14700</v>
      </c>
      <c r="G712" s="1499">
        <f t="shared" si="196"/>
        <v>103.52112676056338</v>
      </c>
      <c r="H712" s="1499">
        <f t="shared" si="195"/>
        <v>103.52112676056338</v>
      </c>
      <c r="I712" s="1450"/>
      <c r="J712" s="1461">
        <v>14200</v>
      </c>
      <c r="K712" s="1457">
        <v>14700</v>
      </c>
      <c r="L712" s="1457"/>
      <c r="M712" s="1457"/>
      <c r="N712" s="1457"/>
      <c r="O712" s="1457"/>
      <c r="P712" s="1462">
        <f t="shared" si="215"/>
        <v>14700</v>
      </c>
      <c r="Q712" s="1495">
        <f t="shared" si="212"/>
        <v>103.52112676056338</v>
      </c>
      <c r="R712" s="1461"/>
      <c r="S712" s="1457"/>
      <c r="T712" s="1457"/>
      <c r="U712" s="1457"/>
      <c r="V712" s="1457"/>
      <c r="W712" s="1462"/>
      <c r="X712" s="1496"/>
      <c r="Y712" s="1444"/>
    </row>
    <row r="713" spans="1:25" ht="12.75">
      <c r="A713" s="1497">
        <v>4170</v>
      </c>
      <c r="B713" s="1513" t="s">
        <v>572</v>
      </c>
      <c r="C713" s="1457"/>
      <c r="D713" s="1457">
        <f t="shared" si="213"/>
        <v>660</v>
      </c>
      <c r="E713" s="1458"/>
      <c r="F713" s="1459">
        <f t="shared" si="214"/>
        <v>0</v>
      </c>
      <c r="G713" s="1499"/>
      <c r="H713" s="1499">
        <f t="shared" si="195"/>
        <v>0</v>
      </c>
      <c r="I713" s="1450"/>
      <c r="J713" s="1461">
        <v>660</v>
      </c>
      <c r="K713" s="1457"/>
      <c r="L713" s="1457"/>
      <c r="M713" s="1457"/>
      <c r="N713" s="1457"/>
      <c r="O713" s="1457"/>
      <c r="P713" s="1462"/>
      <c r="Q713" s="1495"/>
      <c r="R713" s="1461"/>
      <c r="S713" s="1457"/>
      <c r="T713" s="1457"/>
      <c r="U713" s="1457"/>
      <c r="V713" s="1457"/>
      <c r="W713" s="1462"/>
      <c r="X713" s="1496"/>
      <c r="Y713" s="1444"/>
    </row>
    <row r="714" spans="1:25" ht="12.75">
      <c r="A714" s="1497">
        <v>4210</v>
      </c>
      <c r="B714" s="1513" t="s">
        <v>560</v>
      </c>
      <c r="C714" s="1457">
        <v>34100</v>
      </c>
      <c r="D714" s="1457">
        <f t="shared" si="213"/>
        <v>34100</v>
      </c>
      <c r="E714" s="1458">
        <v>27100</v>
      </c>
      <c r="F714" s="1459">
        <f t="shared" si="214"/>
        <v>27100</v>
      </c>
      <c r="G714" s="1499">
        <f t="shared" si="196"/>
        <v>79.47214076246334</v>
      </c>
      <c r="H714" s="1499">
        <f t="shared" si="195"/>
        <v>79.47214076246334</v>
      </c>
      <c r="I714" s="1450"/>
      <c r="J714" s="1461">
        <v>34100</v>
      </c>
      <c r="K714" s="1457">
        <v>27100</v>
      </c>
      <c r="L714" s="1457"/>
      <c r="M714" s="1457"/>
      <c r="N714" s="1457"/>
      <c r="O714" s="1457"/>
      <c r="P714" s="1462">
        <f t="shared" si="215"/>
        <v>27100</v>
      </c>
      <c r="Q714" s="1495">
        <f aca="true" t="shared" si="216" ref="Q714:Q722">P714/J714*100</f>
        <v>79.47214076246334</v>
      </c>
      <c r="R714" s="1461"/>
      <c r="S714" s="1457"/>
      <c r="T714" s="1457"/>
      <c r="U714" s="1457"/>
      <c r="V714" s="1457"/>
      <c r="W714" s="1462"/>
      <c r="X714" s="1496"/>
      <c r="Y714" s="1444"/>
    </row>
    <row r="715" spans="1:25" ht="12.75">
      <c r="A715" s="1497">
        <v>4260</v>
      </c>
      <c r="B715" s="1513" t="s">
        <v>575</v>
      </c>
      <c r="C715" s="1457">
        <v>13600</v>
      </c>
      <c r="D715" s="1457">
        <f t="shared" si="213"/>
        <v>13600</v>
      </c>
      <c r="E715" s="1458">
        <v>13500</v>
      </c>
      <c r="F715" s="1459">
        <f t="shared" si="214"/>
        <v>13500</v>
      </c>
      <c r="G715" s="1499">
        <f t="shared" si="196"/>
        <v>99.26470588235294</v>
      </c>
      <c r="H715" s="1499">
        <f t="shared" si="195"/>
        <v>99.26470588235294</v>
      </c>
      <c r="I715" s="1450"/>
      <c r="J715" s="1461">
        <v>13600</v>
      </c>
      <c r="K715" s="1457">
        <v>13500</v>
      </c>
      <c r="L715" s="1457"/>
      <c r="M715" s="1457"/>
      <c r="N715" s="1457"/>
      <c r="O715" s="1457"/>
      <c r="P715" s="1462">
        <f t="shared" si="215"/>
        <v>13500</v>
      </c>
      <c r="Q715" s="1495">
        <f t="shared" si="216"/>
        <v>99.26470588235294</v>
      </c>
      <c r="R715" s="1461"/>
      <c r="S715" s="1457"/>
      <c r="T715" s="1457"/>
      <c r="U715" s="1457"/>
      <c r="V715" s="1457"/>
      <c r="W715" s="1462"/>
      <c r="X715" s="1496"/>
      <c r="Y715" s="1444"/>
    </row>
    <row r="716" spans="1:25" ht="15.75" customHeight="1">
      <c r="A716" s="1497">
        <v>4270</v>
      </c>
      <c r="B716" s="1513" t="s">
        <v>576</v>
      </c>
      <c r="C716" s="1457">
        <v>210000</v>
      </c>
      <c r="D716" s="1457">
        <f t="shared" si="213"/>
        <v>210000</v>
      </c>
      <c r="E716" s="1458">
        <v>389000</v>
      </c>
      <c r="F716" s="1459">
        <f t="shared" si="214"/>
        <v>248000</v>
      </c>
      <c r="G716" s="1499">
        <f t="shared" si="196"/>
        <v>118.0952380952381</v>
      </c>
      <c r="H716" s="1499">
        <f t="shared" si="195"/>
        <v>118.0952380952381</v>
      </c>
      <c r="I716" s="1450"/>
      <c r="J716" s="1461">
        <v>210000</v>
      </c>
      <c r="K716" s="1457"/>
      <c r="L716" s="1457"/>
      <c r="M716" s="1457"/>
      <c r="N716" s="1457">
        <v>248000</v>
      </c>
      <c r="O716" s="1457"/>
      <c r="P716" s="1462">
        <f t="shared" si="215"/>
        <v>248000</v>
      </c>
      <c r="Q716" s="1495">
        <f t="shared" si="216"/>
        <v>118.0952380952381</v>
      </c>
      <c r="R716" s="1461"/>
      <c r="S716" s="1457"/>
      <c r="T716" s="1457"/>
      <c r="U716" s="1457"/>
      <c r="V716" s="1457"/>
      <c r="W716" s="1462"/>
      <c r="X716" s="1496"/>
      <c r="Y716" s="1444"/>
    </row>
    <row r="717" spans="1:25" ht="15.75" customHeight="1">
      <c r="A717" s="1497">
        <v>4280</v>
      </c>
      <c r="B717" s="1513" t="s">
        <v>723</v>
      </c>
      <c r="C717" s="1457">
        <v>200</v>
      </c>
      <c r="D717" s="1457">
        <f t="shared" si="213"/>
        <v>200</v>
      </c>
      <c r="E717" s="1458">
        <v>500</v>
      </c>
      <c r="F717" s="1459">
        <f t="shared" si="214"/>
        <v>500</v>
      </c>
      <c r="G717" s="1499">
        <f t="shared" si="196"/>
        <v>250</v>
      </c>
      <c r="H717" s="1499">
        <f t="shared" si="195"/>
        <v>250</v>
      </c>
      <c r="I717" s="1450"/>
      <c r="J717" s="1461">
        <v>200</v>
      </c>
      <c r="K717" s="1457">
        <v>500</v>
      </c>
      <c r="L717" s="1457"/>
      <c r="M717" s="1457"/>
      <c r="N717" s="1457"/>
      <c r="O717" s="1457"/>
      <c r="P717" s="1462">
        <f t="shared" si="215"/>
        <v>500</v>
      </c>
      <c r="Q717" s="1495">
        <f t="shared" si="216"/>
        <v>250</v>
      </c>
      <c r="R717" s="1461"/>
      <c r="S717" s="1457"/>
      <c r="T717" s="1457"/>
      <c r="U717" s="1457"/>
      <c r="V717" s="1457"/>
      <c r="W717" s="1462"/>
      <c r="X717" s="1496"/>
      <c r="Y717" s="1444"/>
    </row>
    <row r="718" spans="1:25" ht="15.75" customHeight="1">
      <c r="A718" s="1497">
        <v>4300</v>
      </c>
      <c r="B718" s="1513" t="s">
        <v>653</v>
      </c>
      <c r="C718" s="1457">
        <v>50200</v>
      </c>
      <c r="D718" s="1457">
        <f t="shared" si="213"/>
        <v>50728</v>
      </c>
      <c r="E718" s="1458">
        <v>52100</v>
      </c>
      <c r="F718" s="1459">
        <f t="shared" si="214"/>
        <v>52100</v>
      </c>
      <c r="G718" s="1499">
        <f t="shared" si="196"/>
        <v>103.78486055776892</v>
      </c>
      <c r="H718" s="1499">
        <f t="shared" si="195"/>
        <v>102.70462072228355</v>
      </c>
      <c r="I718" s="1450"/>
      <c r="J718" s="1461">
        <v>50728</v>
      </c>
      <c r="K718" s="1457">
        <v>52100</v>
      </c>
      <c r="L718" s="1457"/>
      <c r="M718" s="1457"/>
      <c r="N718" s="1457"/>
      <c r="O718" s="1457"/>
      <c r="P718" s="1462">
        <f t="shared" si="215"/>
        <v>52100</v>
      </c>
      <c r="Q718" s="1495">
        <f t="shared" si="216"/>
        <v>102.70462072228355</v>
      </c>
      <c r="R718" s="1461"/>
      <c r="S718" s="1457"/>
      <c r="T718" s="1457"/>
      <c r="U718" s="1457"/>
      <c r="V718" s="1457"/>
      <c r="W718" s="1462"/>
      <c r="X718" s="1496"/>
      <c r="Y718" s="1444"/>
    </row>
    <row r="719" spans="1:25" ht="15.75" customHeight="1">
      <c r="A719" s="1497">
        <v>4350</v>
      </c>
      <c r="B719" s="1513" t="s">
        <v>820</v>
      </c>
      <c r="C719" s="1457"/>
      <c r="D719" s="1457">
        <f t="shared" si="213"/>
        <v>1500</v>
      </c>
      <c r="E719" s="1458">
        <v>1400</v>
      </c>
      <c r="F719" s="1459">
        <f t="shared" si="214"/>
        <v>1400</v>
      </c>
      <c r="G719" s="1499"/>
      <c r="H719" s="1499">
        <f t="shared" si="195"/>
        <v>93.33333333333333</v>
      </c>
      <c r="I719" s="1450"/>
      <c r="J719" s="1461">
        <v>1500</v>
      </c>
      <c r="K719" s="1457">
        <v>1400</v>
      </c>
      <c r="L719" s="1457"/>
      <c r="M719" s="1457"/>
      <c r="N719" s="1457"/>
      <c r="O719" s="1457"/>
      <c r="P719" s="1462">
        <f t="shared" si="215"/>
        <v>1400</v>
      </c>
      <c r="Q719" s="1495">
        <f t="shared" si="216"/>
        <v>93.33333333333333</v>
      </c>
      <c r="R719" s="1461"/>
      <c r="S719" s="1457"/>
      <c r="T719" s="1457"/>
      <c r="U719" s="1457"/>
      <c r="V719" s="1457"/>
      <c r="W719" s="1462"/>
      <c r="X719" s="1496"/>
      <c r="Y719" s="1444"/>
    </row>
    <row r="720" spans="1:25" ht="15.75" customHeight="1">
      <c r="A720" s="1497">
        <v>4410</v>
      </c>
      <c r="B720" s="1513" t="s">
        <v>618</v>
      </c>
      <c r="C720" s="1457">
        <v>3300</v>
      </c>
      <c r="D720" s="1457">
        <f t="shared" si="213"/>
        <v>3300</v>
      </c>
      <c r="E720" s="1458">
        <v>3300</v>
      </c>
      <c r="F720" s="1459">
        <f t="shared" si="214"/>
        <v>3300</v>
      </c>
      <c r="G720" s="1499">
        <f t="shared" si="196"/>
        <v>100</v>
      </c>
      <c r="H720" s="1499">
        <f t="shared" si="195"/>
        <v>100</v>
      </c>
      <c r="I720" s="1450"/>
      <c r="J720" s="1461">
        <v>3300</v>
      </c>
      <c r="K720" s="1457">
        <v>3300</v>
      </c>
      <c r="L720" s="1457"/>
      <c r="M720" s="1457"/>
      <c r="N720" s="1457"/>
      <c r="O720" s="1457"/>
      <c r="P720" s="1462">
        <f t="shared" si="215"/>
        <v>3300</v>
      </c>
      <c r="Q720" s="1495">
        <f t="shared" si="216"/>
        <v>100</v>
      </c>
      <c r="R720" s="1461"/>
      <c r="S720" s="1457"/>
      <c r="T720" s="1457"/>
      <c r="U720" s="1457"/>
      <c r="V720" s="1457"/>
      <c r="W720" s="1462"/>
      <c r="X720" s="1496"/>
      <c r="Y720" s="1444"/>
    </row>
    <row r="721" spans="1:25" ht="15.75" customHeight="1">
      <c r="A721" s="1497">
        <v>4430</v>
      </c>
      <c r="B721" s="1513" t="s">
        <v>582</v>
      </c>
      <c r="C721" s="1457">
        <v>500</v>
      </c>
      <c r="D721" s="1457">
        <f t="shared" si="213"/>
        <v>500</v>
      </c>
      <c r="E721" s="1458">
        <v>900</v>
      </c>
      <c r="F721" s="1459">
        <f t="shared" si="214"/>
        <v>900</v>
      </c>
      <c r="G721" s="1499">
        <f t="shared" si="196"/>
        <v>180</v>
      </c>
      <c r="H721" s="1499">
        <f t="shared" si="195"/>
        <v>180</v>
      </c>
      <c r="I721" s="1450"/>
      <c r="J721" s="1461">
        <v>500</v>
      </c>
      <c r="K721" s="1457">
        <v>900</v>
      </c>
      <c r="L721" s="1457"/>
      <c r="M721" s="1457"/>
      <c r="N721" s="1457"/>
      <c r="O721" s="1457"/>
      <c r="P721" s="1462">
        <f t="shared" si="215"/>
        <v>900</v>
      </c>
      <c r="Q721" s="1495">
        <f t="shared" si="216"/>
        <v>180</v>
      </c>
      <c r="R721" s="1461"/>
      <c r="S721" s="1457"/>
      <c r="T721" s="1457"/>
      <c r="U721" s="1457"/>
      <c r="V721" s="1457"/>
      <c r="W721" s="1462"/>
      <c r="X721" s="1496"/>
      <c r="Y721" s="1444"/>
    </row>
    <row r="722" spans="1:25" ht="16.5" customHeight="1">
      <c r="A722" s="1497">
        <v>4440</v>
      </c>
      <c r="B722" s="1513" t="s">
        <v>641</v>
      </c>
      <c r="C722" s="1457">
        <v>13500</v>
      </c>
      <c r="D722" s="1457">
        <f t="shared" si="213"/>
        <v>13500</v>
      </c>
      <c r="E722" s="1458">
        <v>13900</v>
      </c>
      <c r="F722" s="1459">
        <f>P722+W722</f>
        <v>13900</v>
      </c>
      <c r="G722" s="1499">
        <f t="shared" si="196"/>
        <v>102.96296296296296</v>
      </c>
      <c r="H722" s="1499">
        <f t="shared" si="195"/>
        <v>102.96296296296296</v>
      </c>
      <c r="I722" s="1450"/>
      <c r="J722" s="1461">
        <v>13500</v>
      </c>
      <c r="K722" s="1457">
        <v>13900</v>
      </c>
      <c r="L722" s="1457"/>
      <c r="M722" s="1457"/>
      <c r="N722" s="1457"/>
      <c r="O722" s="1457"/>
      <c r="P722" s="1462">
        <f t="shared" si="215"/>
        <v>13900</v>
      </c>
      <c r="Q722" s="1495">
        <f t="shared" si="216"/>
        <v>102.96296296296296</v>
      </c>
      <c r="R722" s="1461"/>
      <c r="S722" s="1457"/>
      <c r="T722" s="1457"/>
      <c r="U722" s="1457"/>
      <c r="V722" s="1457"/>
      <c r="W722" s="1462"/>
      <c r="X722" s="1496"/>
      <c r="Y722" s="1444"/>
    </row>
    <row r="723" spans="1:25" ht="24">
      <c r="A723" s="1497">
        <v>6050</v>
      </c>
      <c r="B723" s="1513" t="s">
        <v>892</v>
      </c>
      <c r="C723" s="1457"/>
      <c r="D723" s="1457">
        <f t="shared" si="213"/>
        <v>49000</v>
      </c>
      <c r="E723" s="1458"/>
      <c r="F723" s="1459">
        <f>P723+W723</f>
        <v>210000</v>
      </c>
      <c r="G723" s="1499"/>
      <c r="H723" s="1499">
        <f t="shared" si="195"/>
        <v>428.57142857142856</v>
      </c>
      <c r="I723" s="1450"/>
      <c r="J723" s="1461">
        <v>49000</v>
      </c>
      <c r="K723" s="1457"/>
      <c r="L723" s="1457">
        <v>210000</v>
      </c>
      <c r="M723" s="1457"/>
      <c r="N723" s="1457"/>
      <c r="O723" s="1457"/>
      <c r="P723" s="1462">
        <f t="shared" si="215"/>
        <v>210000</v>
      </c>
      <c r="Q723" s="1495"/>
      <c r="R723" s="1461"/>
      <c r="S723" s="1457"/>
      <c r="T723" s="1457"/>
      <c r="U723" s="1457"/>
      <c r="V723" s="1457"/>
      <c r="W723" s="1462"/>
      <c r="X723" s="1496"/>
      <c r="Y723" s="1444"/>
    </row>
    <row r="724" spans="1:25" ht="36">
      <c r="A724" s="1497">
        <v>6060</v>
      </c>
      <c r="B724" s="1513" t="s">
        <v>920</v>
      </c>
      <c r="C724" s="1457">
        <v>0</v>
      </c>
      <c r="D724" s="1457">
        <f t="shared" si="213"/>
        <v>0</v>
      </c>
      <c r="E724" s="1458">
        <v>7000</v>
      </c>
      <c r="F724" s="1459">
        <f>P724+W724</f>
        <v>7000</v>
      </c>
      <c r="G724" s="1499"/>
      <c r="H724" s="1499"/>
      <c r="I724" s="1450"/>
      <c r="J724" s="1461">
        <v>0</v>
      </c>
      <c r="K724" s="1457"/>
      <c r="L724" s="1457"/>
      <c r="M724" s="1457">
        <v>7000</v>
      </c>
      <c r="N724" s="1457"/>
      <c r="O724" s="1457"/>
      <c r="P724" s="1462">
        <f t="shared" si="215"/>
        <v>7000</v>
      </c>
      <c r="Q724" s="1495" t="e">
        <f>P724/J724*100</f>
        <v>#DIV/0!</v>
      </c>
      <c r="R724" s="1461"/>
      <c r="S724" s="1457"/>
      <c r="T724" s="1457"/>
      <c r="U724" s="1457"/>
      <c r="V724" s="1457"/>
      <c r="W724" s="1462"/>
      <c r="X724" s="1496"/>
      <c r="Y724" s="1444"/>
    </row>
    <row r="725" spans="1:25" s="581" customFormat="1" ht="12.75">
      <c r="A725" s="1516"/>
      <c r="B725" s="1550" t="s">
        <v>921</v>
      </c>
      <c r="C725" s="1467">
        <f>SUM(C726:C729)</f>
        <v>0</v>
      </c>
      <c r="D725" s="1467">
        <f t="shared" si="213"/>
        <v>0</v>
      </c>
      <c r="E725" s="1556">
        <f aca="true" t="shared" si="217" ref="E725:P725">SUM(E726:E729)</f>
        <v>57800</v>
      </c>
      <c r="F725" s="1467">
        <f t="shared" si="217"/>
        <v>57800</v>
      </c>
      <c r="G725" s="1519"/>
      <c r="H725" s="1519"/>
      <c r="I725" s="1471"/>
      <c r="J725" s="1470">
        <f t="shared" si="217"/>
        <v>0</v>
      </c>
      <c r="K725" s="1467">
        <f t="shared" si="217"/>
        <v>57800</v>
      </c>
      <c r="L725" s="1467">
        <f t="shared" si="217"/>
        <v>0</v>
      </c>
      <c r="M725" s="1467">
        <f t="shared" si="217"/>
        <v>0</v>
      </c>
      <c r="N725" s="1467">
        <f t="shared" si="217"/>
        <v>0</v>
      </c>
      <c r="O725" s="1467">
        <f t="shared" si="217"/>
        <v>0</v>
      </c>
      <c r="P725" s="1471">
        <f t="shared" si="217"/>
        <v>57800</v>
      </c>
      <c r="Q725" s="1453"/>
      <c r="R725" s="1470"/>
      <c r="S725" s="1467"/>
      <c r="T725" s="1467"/>
      <c r="U725" s="1467"/>
      <c r="V725" s="1467"/>
      <c r="W725" s="1471"/>
      <c r="X725" s="1454"/>
      <c r="Y725" s="1444"/>
    </row>
    <row r="726" spans="1:25" ht="24">
      <c r="A726" s="1497">
        <v>4010</v>
      </c>
      <c r="B726" s="1513" t="s">
        <v>626</v>
      </c>
      <c r="C726" s="1457"/>
      <c r="D726" s="1457">
        <f t="shared" si="213"/>
        <v>0</v>
      </c>
      <c r="E726" s="1514">
        <v>37600</v>
      </c>
      <c r="F726" s="1457">
        <f aca="true" t="shared" si="218" ref="F726:F733">P726+W726</f>
        <v>37600</v>
      </c>
      <c r="G726" s="1499"/>
      <c r="H726" s="1499"/>
      <c r="I726" s="1534"/>
      <c r="J726" s="1461"/>
      <c r="K726" s="1457">
        <v>37600</v>
      </c>
      <c r="L726" s="1457"/>
      <c r="M726" s="1457"/>
      <c r="N726" s="1457"/>
      <c r="O726" s="1457"/>
      <c r="P726" s="1462">
        <f aca="true" t="shared" si="219" ref="P726:P736">SUM(K726:N726)</f>
        <v>37600</v>
      </c>
      <c r="Q726" s="1495"/>
      <c r="R726" s="1461"/>
      <c r="S726" s="1457"/>
      <c r="T726" s="1457"/>
      <c r="U726" s="1457"/>
      <c r="V726" s="1457"/>
      <c r="W726" s="1462"/>
      <c r="X726" s="1496"/>
      <c r="Y726" s="1444"/>
    </row>
    <row r="727" spans="1:25" ht="12.75">
      <c r="A727" s="1497">
        <v>4110</v>
      </c>
      <c r="B727" s="1513" t="s">
        <v>568</v>
      </c>
      <c r="C727" s="1457"/>
      <c r="D727" s="1457">
        <f t="shared" si="213"/>
        <v>0</v>
      </c>
      <c r="E727" s="1514">
        <v>8800</v>
      </c>
      <c r="F727" s="1457">
        <f t="shared" si="218"/>
        <v>8800</v>
      </c>
      <c r="G727" s="1499"/>
      <c r="H727" s="1499"/>
      <c r="I727" s="1534"/>
      <c r="J727" s="1461"/>
      <c r="K727" s="1457">
        <v>8800</v>
      </c>
      <c r="L727" s="1457"/>
      <c r="M727" s="1457"/>
      <c r="N727" s="1457"/>
      <c r="O727" s="1457"/>
      <c r="P727" s="1462">
        <f t="shared" si="219"/>
        <v>8800</v>
      </c>
      <c r="Q727" s="1495"/>
      <c r="R727" s="1461"/>
      <c r="S727" s="1457"/>
      <c r="T727" s="1457"/>
      <c r="U727" s="1457"/>
      <c r="V727" s="1457"/>
      <c r="W727" s="1462"/>
      <c r="X727" s="1496"/>
      <c r="Y727" s="1444"/>
    </row>
    <row r="728" spans="1:25" ht="12.75">
      <c r="A728" s="1497">
        <v>4120</v>
      </c>
      <c r="B728" s="1513" t="s">
        <v>758</v>
      </c>
      <c r="C728" s="1457"/>
      <c r="D728" s="1457">
        <f t="shared" si="213"/>
        <v>0</v>
      </c>
      <c r="E728" s="1514">
        <v>1400</v>
      </c>
      <c r="F728" s="1457">
        <f t="shared" si="218"/>
        <v>1400</v>
      </c>
      <c r="G728" s="1499"/>
      <c r="H728" s="1499"/>
      <c r="I728" s="1534"/>
      <c r="J728" s="1461"/>
      <c r="K728" s="1457">
        <v>1400</v>
      </c>
      <c r="L728" s="1457"/>
      <c r="M728" s="1457"/>
      <c r="N728" s="1457"/>
      <c r="O728" s="1457"/>
      <c r="P728" s="1462">
        <f t="shared" si="219"/>
        <v>1400</v>
      </c>
      <c r="Q728" s="1495"/>
      <c r="R728" s="1461"/>
      <c r="S728" s="1457"/>
      <c r="T728" s="1457"/>
      <c r="U728" s="1457"/>
      <c r="V728" s="1457"/>
      <c r="W728" s="1462"/>
      <c r="X728" s="1496"/>
      <c r="Y728" s="1444"/>
    </row>
    <row r="729" spans="1:25" ht="12.75">
      <c r="A729" s="1497">
        <v>4170</v>
      </c>
      <c r="B729" s="1513" t="s">
        <v>572</v>
      </c>
      <c r="C729" s="1457"/>
      <c r="D729" s="1457">
        <f t="shared" si="213"/>
        <v>0</v>
      </c>
      <c r="E729" s="1514">
        <v>10000</v>
      </c>
      <c r="F729" s="1457">
        <f t="shared" si="218"/>
        <v>10000</v>
      </c>
      <c r="G729" s="1499"/>
      <c r="H729" s="1499"/>
      <c r="I729" s="1534"/>
      <c r="J729" s="1461"/>
      <c r="K729" s="1457">
        <v>10000</v>
      </c>
      <c r="L729" s="1457"/>
      <c r="M729" s="1457"/>
      <c r="N729" s="1457"/>
      <c r="O729" s="1457"/>
      <c r="P729" s="1462">
        <f t="shared" si="219"/>
        <v>10000</v>
      </c>
      <c r="Q729" s="1495"/>
      <c r="R729" s="1461"/>
      <c r="S729" s="1457"/>
      <c r="T729" s="1457"/>
      <c r="U729" s="1457"/>
      <c r="V729" s="1457"/>
      <c r="W729" s="1462"/>
      <c r="X729" s="1496"/>
      <c r="Y729" s="1444"/>
    </row>
    <row r="730" spans="1:25" s="581" customFormat="1" ht="12.75">
      <c r="A730" s="1516"/>
      <c r="B730" s="1550" t="s">
        <v>922</v>
      </c>
      <c r="C730" s="1467">
        <f>SUM(C731:C733)</f>
        <v>0</v>
      </c>
      <c r="D730" s="1467">
        <f t="shared" si="213"/>
        <v>0</v>
      </c>
      <c r="E730" s="1556">
        <f aca="true" t="shared" si="220" ref="E730:P730">SUM(E731:E733)</f>
        <v>100000</v>
      </c>
      <c r="F730" s="1467">
        <f t="shared" si="220"/>
        <v>100000</v>
      </c>
      <c r="G730" s="1519"/>
      <c r="H730" s="1519"/>
      <c r="I730" s="1471"/>
      <c r="J730" s="1470">
        <f t="shared" si="220"/>
        <v>0</v>
      </c>
      <c r="K730" s="1467">
        <f t="shared" si="220"/>
        <v>100000</v>
      </c>
      <c r="L730" s="1467">
        <f t="shared" si="220"/>
        <v>0</v>
      </c>
      <c r="M730" s="1467">
        <f t="shared" si="220"/>
        <v>0</v>
      </c>
      <c r="N730" s="1467">
        <f t="shared" si="220"/>
        <v>0</v>
      </c>
      <c r="O730" s="1467">
        <f t="shared" si="220"/>
        <v>0</v>
      </c>
      <c r="P730" s="1471">
        <f t="shared" si="220"/>
        <v>100000</v>
      </c>
      <c r="Q730" s="1453"/>
      <c r="R730" s="1470"/>
      <c r="S730" s="1467"/>
      <c r="T730" s="1467"/>
      <c r="U730" s="1467"/>
      <c r="V730" s="1467"/>
      <c r="W730" s="1471"/>
      <c r="X730" s="1454"/>
      <c r="Y730" s="1444"/>
    </row>
    <row r="731" spans="1:25" ht="24">
      <c r="A731" s="1497">
        <v>4010</v>
      </c>
      <c r="B731" s="1513" t="s">
        <v>626</v>
      </c>
      <c r="C731" s="1457"/>
      <c r="D731" s="1457">
        <f t="shared" si="213"/>
        <v>0</v>
      </c>
      <c r="E731" s="1514">
        <v>83100</v>
      </c>
      <c r="F731" s="1457">
        <f t="shared" si="218"/>
        <v>83100</v>
      </c>
      <c r="G731" s="1499"/>
      <c r="H731" s="1499"/>
      <c r="I731" s="1534"/>
      <c r="J731" s="1461"/>
      <c r="K731" s="1457">
        <v>83100</v>
      </c>
      <c r="L731" s="1457"/>
      <c r="M731" s="1457"/>
      <c r="N731" s="1457"/>
      <c r="O731" s="1457"/>
      <c r="P731" s="1462">
        <f t="shared" si="219"/>
        <v>83100</v>
      </c>
      <c r="Q731" s="1495"/>
      <c r="R731" s="1461"/>
      <c r="S731" s="1457"/>
      <c r="T731" s="1457"/>
      <c r="U731" s="1457"/>
      <c r="V731" s="1457"/>
      <c r="W731" s="1462"/>
      <c r="X731" s="1496"/>
      <c r="Y731" s="1444"/>
    </row>
    <row r="732" spans="1:25" ht="12.75">
      <c r="A732" s="1497">
        <v>4110</v>
      </c>
      <c r="B732" s="1513" t="s">
        <v>568</v>
      </c>
      <c r="C732" s="1457"/>
      <c r="D732" s="1457">
        <f t="shared" si="213"/>
        <v>0</v>
      </c>
      <c r="E732" s="1514">
        <v>14900</v>
      </c>
      <c r="F732" s="1457">
        <f t="shared" si="218"/>
        <v>14900</v>
      </c>
      <c r="G732" s="1499"/>
      <c r="H732" s="1499"/>
      <c r="I732" s="1534"/>
      <c r="J732" s="1461"/>
      <c r="K732" s="1457">
        <v>14900</v>
      </c>
      <c r="L732" s="1457"/>
      <c r="M732" s="1457"/>
      <c r="N732" s="1457"/>
      <c r="O732" s="1457"/>
      <c r="P732" s="1462">
        <f t="shared" si="219"/>
        <v>14900</v>
      </c>
      <c r="Q732" s="1495"/>
      <c r="R732" s="1461"/>
      <c r="S732" s="1457"/>
      <c r="T732" s="1457"/>
      <c r="U732" s="1457"/>
      <c r="V732" s="1457"/>
      <c r="W732" s="1462"/>
      <c r="X732" s="1496"/>
      <c r="Y732" s="1444"/>
    </row>
    <row r="733" spans="1:25" ht="12.75">
      <c r="A733" s="1497">
        <v>4120</v>
      </c>
      <c r="B733" s="1513" t="s">
        <v>758</v>
      </c>
      <c r="C733" s="1457"/>
      <c r="D733" s="1457">
        <f t="shared" si="213"/>
        <v>0</v>
      </c>
      <c r="E733" s="1514">
        <v>2000</v>
      </c>
      <c r="F733" s="1457">
        <f t="shared" si="218"/>
        <v>2000</v>
      </c>
      <c r="G733" s="1499"/>
      <c r="H733" s="1499"/>
      <c r="I733" s="1534"/>
      <c r="J733" s="1461"/>
      <c r="K733" s="1457">
        <v>2000</v>
      </c>
      <c r="L733" s="1457"/>
      <c r="M733" s="1457"/>
      <c r="N733" s="1457"/>
      <c r="O733" s="1457"/>
      <c r="P733" s="1462">
        <f t="shared" si="219"/>
        <v>2000</v>
      </c>
      <c r="Q733" s="1495"/>
      <c r="R733" s="1461"/>
      <c r="S733" s="1457"/>
      <c r="T733" s="1457"/>
      <c r="U733" s="1457"/>
      <c r="V733" s="1457"/>
      <c r="W733" s="1462"/>
      <c r="X733" s="1496"/>
      <c r="Y733" s="1444"/>
    </row>
    <row r="734" spans="1:28" s="581" customFormat="1" ht="12.75">
      <c r="A734" s="1516"/>
      <c r="B734" s="1550" t="s">
        <v>923</v>
      </c>
      <c r="C734" s="1467">
        <f aca="true" t="shared" si="221" ref="C734:W734">SUM(C735:C738)</f>
        <v>582500</v>
      </c>
      <c r="D734" s="1467">
        <f t="shared" si="221"/>
        <v>641000</v>
      </c>
      <c r="E734" s="1556">
        <f t="shared" si="221"/>
        <v>491100</v>
      </c>
      <c r="F734" s="1467">
        <f t="shared" si="221"/>
        <v>491100</v>
      </c>
      <c r="G734" s="1519">
        <f>F734/C734*100</f>
        <v>84.30901287553648</v>
      </c>
      <c r="H734" s="1519">
        <f>F734/D734*100</f>
        <v>76.61466458658346</v>
      </c>
      <c r="I734" s="1471"/>
      <c r="J734" s="1470">
        <f t="shared" si="221"/>
        <v>399500</v>
      </c>
      <c r="K734" s="1467">
        <f t="shared" si="221"/>
        <v>246200</v>
      </c>
      <c r="L734" s="1467">
        <f t="shared" si="221"/>
        <v>0</v>
      </c>
      <c r="M734" s="1467">
        <f t="shared" si="221"/>
        <v>0</v>
      </c>
      <c r="N734" s="1467">
        <f t="shared" si="221"/>
        <v>0</v>
      </c>
      <c r="O734" s="1467">
        <f t="shared" si="221"/>
        <v>0</v>
      </c>
      <c r="P734" s="1471">
        <f t="shared" si="221"/>
        <v>246200</v>
      </c>
      <c r="Q734" s="1453">
        <f aca="true" t="shared" si="222" ref="Q734:Q739">P734/J734*100</f>
        <v>61.627033792240304</v>
      </c>
      <c r="R734" s="1470">
        <f t="shared" si="221"/>
        <v>241500</v>
      </c>
      <c r="S734" s="1467">
        <f t="shared" si="221"/>
        <v>244900</v>
      </c>
      <c r="T734" s="1467">
        <f t="shared" si="221"/>
        <v>0</v>
      </c>
      <c r="U734" s="1467">
        <f t="shared" si="221"/>
        <v>0</v>
      </c>
      <c r="V734" s="1467">
        <f t="shared" si="221"/>
        <v>0</v>
      </c>
      <c r="W734" s="1471">
        <f t="shared" si="221"/>
        <v>244900</v>
      </c>
      <c r="X734" s="1454">
        <f aca="true" t="shared" si="223" ref="X734:X749">W734/R734*100</f>
        <v>101.40786749482402</v>
      </c>
      <c r="Y734" s="1444"/>
      <c r="Z734" s="1444">
        <f>SUM(K735:K737)+K742</f>
        <v>350200</v>
      </c>
      <c r="AA734" s="1444">
        <f>SUM(S735:S737)+S742</f>
        <v>270600</v>
      </c>
      <c r="AB734" s="1444">
        <f>Z734+AA734</f>
        <v>620800</v>
      </c>
    </row>
    <row r="735" spans="1:25" ht="24">
      <c r="A735" s="1497">
        <v>4010</v>
      </c>
      <c r="B735" s="1513" t="s">
        <v>626</v>
      </c>
      <c r="C735" s="1457">
        <v>483900</v>
      </c>
      <c r="D735" s="1457">
        <f t="shared" si="213"/>
        <v>527700</v>
      </c>
      <c r="E735" s="1514">
        <f>203500+204600</f>
        <v>408100</v>
      </c>
      <c r="F735" s="1457">
        <f aca="true" t="shared" si="224" ref="F735:F785">P735+W735</f>
        <v>408100</v>
      </c>
      <c r="G735" s="1499">
        <f t="shared" si="196"/>
        <v>84.33560653027486</v>
      </c>
      <c r="H735" s="1499">
        <f t="shared" si="195"/>
        <v>77.33560735266249</v>
      </c>
      <c r="I735" s="1534"/>
      <c r="J735" s="1461">
        <v>327200</v>
      </c>
      <c r="K735" s="1457">
        <v>204600</v>
      </c>
      <c r="L735" s="1457"/>
      <c r="M735" s="1457"/>
      <c r="N735" s="1457"/>
      <c r="O735" s="1457"/>
      <c r="P735" s="1462">
        <f t="shared" si="219"/>
        <v>204600</v>
      </c>
      <c r="Q735" s="1495">
        <f t="shared" si="222"/>
        <v>62.530562347188265</v>
      </c>
      <c r="R735" s="1461">
        <v>200500</v>
      </c>
      <c r="S735" s="1457">
        <v>203500</v>
      </c>
      <c r="T735" s="1457"/>
      <c r="U735" s="1457"/>
      <c r="V735" s="1457"/>
      <c r="W735" s="1462">
        <f aca="true" t="shared" si="225" ref="W735:W741">SUM(S735:V735)</f>
        <v>203500</v>
      </c>
      <c r="X735" s="1496">
        <f t="shared" si="223"/>
        <v>101.49625935162095</v>
      </c>
      <c r="Y735" s="1444"/>
    </row>
    <row r="736" spans="1:25" ht="12.75">
      <c r="A736" s="1497">
        <v>4110</v>
      </c>
      <c r="B736" s="1513" t="s">
        <v>568</v>
      </c>
      <c r="C736" s="1457">
        <v>86800</v>
      </c>
      <c r="D736" s="1457">
        <f t="shared" si="213"/>
        <v>95650</v>
      </c>
      <c r="E736" s="1514">
        <f>36400+36600</f>
        <v>73000</v>
      </c>
      <c r="F736" s="1457">
        <f t="shared" si="224"/>
        <v>73000</v>
      </c>
      <c r="G736" s="1499">
        <f t="shared" si="196"/>
        <v>84.10138248847926</v>
      </c>
      <c r="H736" s="1499">
        <f aca="true" t="shared" si="226" ref="H736:H801">F736/D736*100</f>
        <v>76.3199163617355</v>
      </c>
      <c r="I736" s="1450"/>
      <c r="J736" s="1461">
        <v>59550</v>
      </c>
      <c r="K736" s="1457">
        <v>36600</v>
      </c>
      <c r="L736" s="1457"/>
      <c r="M736" s="1457"/>
      <c r="N736" s="1457"/>
      <c r="O736" s="1457"/>
      <c r="P736" s="1462">
        <f t="shared" si="219"/>
        <v>36600</v>
      </c>
      <c r="Q736" s="1495">
        <f t="shared" si="222"/>
        <v>61.46095717884131</v>
      </c>
      <c r="R736" s="1461">
        <v>36100</v>
      </c>
      <c r="S736" s="1457">
        <v>36400</v>
      </c>
      <c r="T736" s="1457"/>
      <c r="U736" s="1457"/>
      <c r="V736" s="1457"/>
      <c r="W736" s="1462">
        <f t="shared" si="225"/>
        <v>36400</v>
      </c>
      <c r="X736" s="1496">
        <f t="shared" si="223"/>
        <v>100.83102493074792</v>
      </c>
      <c r="Y736" s="1444"/>
    </row>
    <row r="737" spans="1:25" ht="12.75">
      <c r="A737" s="1497">
        <v>4120</v>
      </c>
      <c r="B737" s="1513" t="s">
        <v>758</v>
      </c>
      <c r="C737" s="1457">
        <v>11800</v>
      </c>
      <c r="D737" s="1457">
        <f t="shared" si="213"/>
        <v>13050</v>
      </c>
      <c r="E737" s="1514">
        <f>5000+5000</f>
        <v>10000</v>
      </c>
      <c r="F737" s="1457">
        <f t="shared" si="224"/>
        <v>10000</v>
      </c>
      <c r="G737" s="1499">
        <f aca="true" t="shared" si="227" ref="G737:G800">F737/C737*100</f>
        <v>84.7457627118644</v>
      </c>
      <c r="H737" s="1499">
        <f t="shared" si="226"/>
        <v>76.62835249042146</v>
      </c>
      <c r="I737" s="1450"/>
      <c r="J737" s="1461">
        <v>8150</v>
      </c>
      <c r="K737" s="1457">
        <v>5000</v>
      </c>
      <c r="L737" s="1457"/>
      <c r="M737" s="1457"/>
      <c r="N737" s="1457"/>
      <c r="O737" s="1457"/>
      <c r="P737" s="1462">
        <f>SUM(K737:N737)</f>
        <v>5000</v>
      </c>
      <c r="Q737" s="1495">
        <f t="shared" si="222"/>
        <v>61.34969325153374</v>
      </c>
      <c r="R737" s="1461">
        <v>4900</v>
      </c>
      <c r="S737" s="1457">
        <v>5000</v>
      </c>
      <c r="T737" s="1457"/>
      <c r="U737" s="1457"/>
      <c r="V737" s="1457"/>
      <c r="W737" s="1462">
        <f t="shared" si="225"/>
        <v>5000</v>
      </c>
      <c r="X737" s="1496">
        <f t="shared" si="223"/>
        <v>102.04081632653062</v>
      </c>
      <c r="Y737" s="1444"/>
    </row>
    <row r="738" spans="1:25" ht="12.75">
      <c r="A738" s="1497">
        <v>4170</v>
      </c>
      <c r="B738" s="1513" t="s">
        <v>572</v>
      </c>
      <c r="C738" s="1457"/>
      <c r="D738" s="1457">
        <f t="shared" si="213"/>
        <v>4600</v>
      </c>
      <c r="E738" s="1458"/>
      <c r="F738" s="1459">
        <f t="shared" si="224"/>
        <v>0</v>
      </c>
      <c r="G738" s="1499"/>
      <c r="H738" s="1499">
        <f t="shared" si="226"/>
        <v>0</v>
      </c>
      <c r="I738" s="1450"/>
      <c r="J738" s="1461">
        <v>4600</v>
      </c>
      <c r="K738" s="1457"/>
      <c r="L738" s="1457"/>
      <c r="M738" s="1457"/>
      <c r="N738" s="1457"/>
      <c r="O738" s="1457"/>
      <c r="P738" s="1462">
        <f>SUM(K738:N738)</f>
        <v>0</v>
      </c>
      <c r="Q738" s="1495">
        <f t="shared" si="222"/>
        <v>0</v>
      </c>
      <c r="R738" s="1461"/>
      <c r="S738" s="1457"/>
      <c r="T738" s="1457"/>
      <c r="U738" s="1457"/>
      <c r="V738" s="1457"/>
      <c r="W738" s="1462">
        <f t="shared" si="225"/>
        <v>0</v>
      </c>
      <c r="X738" s="1496" t="e">
        <f t="shared" si="223"/>
        <v>#DIV/0!</v>
      </c>
      <c r="Y738" s="1444"/>
    </row>
    <row r="739" spans="1:25" ht="24" hidden="1">
      <c r="A739" s="1497">
        <v>3020</v>
      </c>
      <c r="B739" s="1513" t="s">
        <v>566</v>
      </c>
      <c r="C739" s="1457"/>
      <c r="D739" s="1457">
        <f t="shared" si="213"/>
        <v>0</v>
      </c>
      <c r="E739" s="1458"/>
      <c r="F739" s="1459">
        <f t="shared" si="224"/>
        <v>0</v>
      </c>
      <c r="G739" s="1499" t="e">
        <f t="shared" si="227"/>
        <v>#DIV/0!</v>
      </c>
      <c r="H739" s="1499" t="e">
        <f t="shared" si="226"/>
        <v>#DIV/0!</v>
      </c>
      <c r="I739" s="1450"/>
      <c r="J739" s="1461"/>
      <c r="K739" s="1457"/>
      <c r="L739" s="1457"/>
      <c r="M739" s="1457"/>
      <c r="N739" s="1457"/>
      <c r="O739" s="1457"/>
      <c r="P739" s="1462">
        <f>SUM(K739:N739)</f>
        <v>0</v>
      </c>
      <c r="Q739" s="1495" t="e">
        <f t="shared" si="222"/>
        <v>#DIV/0!</v>
      </c>
      <c r="R739" s="1461"/>
      <c r="S739" s="1457"/>
      <c r="T739" s="1457"/>
      <c r="U739" s="1457"/>
      <c r="V739" s="1457"/>
      <c r="W739" s="1462">
        <f t="shared" si="225"/>
        <v>0</v>
      </c>
      <c r="X739" s="1496" t="e">
        <f t="shared" si="223"/>
        <v>#DIV/0!</v>
      </c>
      <c r="Y739" s="1444"/>
    </row>
    <row r="740" spans="1:25" ht="24">
      <c r="A740" s="1497">
        <v>3020</v>
      </c>
      <c r="B740" s="1513" t="s">
        <v>717</v>
      </c>
      <c r="C740" s="1457">
        <v>100000</v>
      </c>
      <c r="D740" s="1457">
        <f t="shared" si="213"/>
        <v>0</v>
      </c>
      <c r="E740" s="1458">
        <v>100000</v>
      </c>
      <c r="F740" s="1459">
        <f t="shared" si="224"/>
        <v>0</v>
      </c>
      <c r="G740" s="1499">
        <f t="shared" si="227"/>
        <v>0</v>
      </c>
      <c r="H740" s="1499"/>
      <c r="I740" s="1450"/>
      <c r="J740" s="1461"/>
      <c r="K740" s="1457"/>
      <c r="L740" s="1457"/>
      <c r="M740" s="1457"/>
      <c r="N740" s="1457"/>
      <c r="O740" s="1457"/>
      <c r="P740" s="1462">
        <f>SUM(K740:N740)</f>
        <v>0</v>
      </c>
      <c r="Q740" s="1495"/>
      <c r="R740" s="1461">
        <f>98955-98955</f>
        <v>0</v>
      </c>
      <c r="S740" s="1457"/>
      <c r="T740" s="1457"/>
      <c r="U740" s="1457"/>
      <c r="V740" s="1457"/>
      <c r="W740" s="1462">
        <f t="shared" si="225"/>
        <v>0</v>
      </c>
      <c r="X740" s="1496" t="e">
        <f t="shared" si="223"/>
        <v>#DIV/0!</v>
      </c>
      <c r="Y740" s="1444"/>
    </row>
    <row r="741" spans="1:25" ht="24" hidden="1">
      <c r="A741" s="1497">
        <v>3240</v>
      </c>
      <c r="B741" s="1513" t="s">
        <v>924</v>
      </c>
      <c r="C741" s="1457"/>
      <c r="D741" s="1457">
        <f>J741+R741</f>
        <v>0</v>
      </c>
      <c r="E741" s="1458"/>
      <c r="F741" s="1459">
        <f t="shared" si="224"/>
        <v>0</v>
      </c>
      <c r="G741" s="1499" t="e">
        <f t="shared" si="227"/>
        <v>#DIV/0!</v>
      </c>
      <c r="H741" s="1499"/>
      <c r="I741" s="1450"/>
      <c r="J741" s="1461"/>
      <c r="K741" s="1457"/>
      <c r="L741" s="1457"/>
      <c r="M741" s="1457"/>
      <c r="N741" s="1457"/>
      <c r="O741" s="1457"/>
      <c r="P741" s="1462">
        <f>SUM(K741:N741)</f>
        <v>0</v>
      </c>
      <c r="Q741" s="1495" t="e">
        <f>P741/J741*100</f>
        <v>#DIV/0!</v>
      </c>
      <c r="R741" s="1461"/>
      <c r="S741" s="1457"/>
      <c r="T741" s="1457"/>
      <c r="U741" s="1457"/>
      <c r="V741" s="1457"/>
      <c r="W741" s="1462">
        <f t="shared" si="225"/>
        <v>0</v>
      </c>
      <c r="X741" s="1496" t="e">
        <f t="shared" si="223"/>
        <v>#DIV/0!</v>
      </c>
      <c r="Y741" s="1444"/>
    </row>
    <row r="742" spans="1:25" ht="24">
      <c r="A742" s="1497">
        <v>4010</v>
      </c>
      <c r="B742" s="1513" t="s">
        <v>925</v>
      </c>
      <c r="C742" s="1457">
        <v>500000</v>
      </c>
      <c r="D742" s="1457">
        <f t="shared" si="213"/>
        <v>0</v>
      </c>
      <c r="E742" s="1458">
        <f>SUM(E743:E744)</f>
        <v>1557200</v>
      </c>
      <c r="F742" s="1459">
        <f t="shared" si="224"/>
        <v>129700</v>
      </c>
      <c r="G742" s="1499">
        <f t="shared" si="227"/>
        <v>25.94</v>
      </c>
      <c r="H742" s="1499"/>
      <c r="I742" s="1450"/>
      <c r="J742" s="1461">
        <f>SUM(J743:J744)</f>
        <v>0</v>
      </c>
      <c r="K742" s="1457">
        <f>SUM(K743:K744)</f>
        <v>104000</v>
      </c>
      <c r="L742" s="1457">
        <f>SUM(L743:L744)</f>
        <v>0</v>
      </c>
      <c r="M742" s="1457">
        <f>SUM(M743:M744)</f>
        <v>0</v>
      </c>
      <c r="N742" s="1457">
        <f>SUM(N743:N744)</f>
        <v>0</v>
      </c>
      <c r="O742" s="1457"/>
      <c r="P742" s="1462">
        <f>SUM(P743:P744)</f>
        <v>104000</v>
      </c>
      <c r="Q742" s="1685"/>
      <c r="R742" s="1461">
        <f aca="true" t="shared" si="228" ref="R742:W742">SUM(R743:R744)</f>
        <v>0</v>
      </c>
      <c r="S742" s="1457">
        <f t="shared" si="228"/>
        <v>25700</v>
      </c>
      <c r="T742" s="1457">
        <f t="shared" si="228"/>
        <v>0</v>
      </c>
      <c r="U742" s="1457">
        <f t="shared" si="228"/>
        <v>0</v>
      </c>
      <c r="V742" s="1457">
        <f t="shared" si="228"/>
        <v>0</v>
      </c>
      <c r="W742" s="1462">
        <f t="shared" si="228"/>
        <v>25700</v>
      </c>
      <c r="X742" s="1529" t="e">
        <f t="shared" si="223"/>
        <v>#DIV/0!</v>
      </c>
      <c r="Y742" s="1444"/>
    </row>
    <row r="743" spans="1:25" s="618" customFormat="1" ht="12.75">
      <c r="A743" s="1521"/>
      <c r="B743" s="1522" t="s">
        <v>926</v>
      </c>
      <c r="C743" s="1523">
        <v>200000</v>
      </c>
      <c r="D743" s="1457">
        <f t="shared" si="213"/>
        <v>0</v>
      </c>
      <c r="E743" s="1543">
        <f>100000+100000</f>
        <v>200000</v>
      </c>
      <c r="F743" s="1544">
        <f t="shared" si="224"/>
        <v>104000</v>
      </c>
      <c r="G743" s="1538">
        <f t="shared" si="227"/>
        <v>52</v>
      </c>
      <c r="H743" s="1538"/>
      <c r="I743" s="1530"/>
      <c r="J743" s="1526"/>
      <c r="K743" s="1523">
        <f>100000+4000</f>
        <v>104000</v>
      </c>
      <c r="L743" s="1523"/>
      <c r="M743" s="1523"/>
      <c r="N743" s="1523"/>
      <c r="O743" s="1523"/>
      <c r="P743" s="1527">
        <f aca="true" t="shared" si="229" ref="P743:P814">SUM(K743:N743)</f>
        <v>104000</v>
      </c>
      <c r="Q743" s="1528"/>
      <c r="R743" s="1526">
        <f>48260-48260</f>
        <v>0</v>
      </c>
      <c r="S743" s="1523"/>
      <c r="T743" s="1523"/>
      <c r="U743" s="1523"/>
      <c r="V743" s="1523"/>
      <c r="W743" s="1527">
        <f>SUM(S743:V743)</f>
        <v>0</v>
      </c>
      <c r="X743" s="1529"/>
      <c r="Y743" s="1444"/>
    </row>
    <row r="744" spans="1:25" s="618" customFormat="1" ht="24">
      <c r="A744" s="1521"/>
      <c r="B744" s="1522" t="s">
        <v>927</v>
      </c>
      <c r="C744" s="1523">
        <v>300000</v>
      </c>
      <c r="D744" s="1457">
        <f t="shared" si="213"/>
        <v>0</v>
      </c>
      <c r="E744" s="1543">
        <f>586200+771000</f>
        <v>1357200</v>
      </c>
      <c r="F744" s="1544">
        <f t="shared" si="224"/>
        <v>25700</v>
      </c>
      <c r="G744" s="1538">
        <f t="shared" si="227"/>
        <v>8.566666666666666</v>
      </c>
      <c r="H744" s="1538"/>
      <c r="I744" s="1530"/>
      <c r="J744" s="1526">
        <f>23730-3810-19920</f>
        <v>0</v>
      </c>
      <c r="K744" s="1523">
        <f>120000-120000</f>
        <v>0</v>
      </c>
      <c r="L744" s="1523"/>
      <c r="M744" s="1523"/>
      <c r="N744" s="1523"/>
      <c r="O744" s="1523"/>
      <c r="P744" s="1527">
        <f t="shared" si="229"/>
        <v>0</v>
      </c>
      <c r="Q744" s="1528"/>
      <c r="R744" s="1526">
        <f>157000-157000</f>
        <v>0</v>
      </c>
      <c r="S744" s="1523">
        <f>100000-100000+25700</f>
        <v>25700</v>
      </c>
      <c r="T744" s="1523"/>
      <c r="U744" s="1523"/>
      <c r="V744" s="1523"/>
      <c r="W744" s="1527">
        <f>SUM(S744:V744)</f>
        <v>25700</v>
      </c>
      <c r="X744" s="1529"/>
      <c r="Y744" s="1444"/>
    </row>
    <row r="745" spans="1:25" ht="24">
      <c r="A745" s="1497">
        <v>4170</v>
      </c>
      <c r="B745" s="1513" t="s">
        <v>928</v>
      </c>
      <c r="C745" s="1457"/>
      <c r="D745" s="1457">
        <f>J745+R745</f>
        <v>27340</v>
      </c>
      <c r="E745" s="1458">
        <f>20000+10000</f>
        <v>30000</v>
      </c>
      <c r="F745" s="1459">
        <f t="shared" si="224"/>
        <v>15000</v>
      </c>
      <c r="G745" s="1499"/>
      <c r="H745" s="1499">
        <f t="shared" si="226"/>
        <v>54.864667154352595</v>
      </c>
      <c r="I745" s="1450"/>
      <c r="J745" s="1461">
        <v>10000</v>
      </c>
      <c r="K745" s="1457">
        <f>20000-20000</f>
        <v>0</v>
      </c>
      <c r="L745" s="1457"/>
      <c r="M745" s="1457"/>
      <c r="N745" s="1457"/>
      <c r="O745" s="1457"/>
      <c r="P745" s="1462">
        <f t="shared" si="229"/>
        <v>0</v>
      </c>
      <c r="Q745" s="1495">
        <f>P745/J745*100</f>
        <v>0</v>
      </c>
      <c r="R745" s="1461">
        <v>17340</v>
      </c>
      <c r="S745" s="1457">
        <f>20000-5000</f>
        <v>15000</v>
      </c>
      <c r="T745" s="1457"/>
      <c r="U745" s="1457"/>
      <c r="V745" s="1457"/>
      <c r="W745" s="1462">
        <f>SUM(S745:V745)</f>
        <v>15000</v>
      </c>
      <c r="X745" s="1496">
        <f t="shared" si="223"/>
        <v>86.50519031141869</v>
      </c>
      <c r="Y745" s="1444"/>
    </row>
    <row r="746" spans="1:25" ht="24">
      <c r="A746" s="1497">
        <v>4170</v>
      </c>
      <c r="B746" s="1513" t="s">
        <v>929</v>
      </c>
      <c r="C746" s="1457"/>
      <c r="D746" s="1457"/>
      <c r="E746" s="1458"/>
      <c r="F746" s="1459">
        <f t="shared" si="224"/>
        <v>10000</v>
      </c>
      <c r="G746" s="1499"/>
      <c r="H746" s="1499"/>
      <c r="I746" s="1450"/>
      <c r="J746" s="1461"/>
      <c r="K746" s="1457">
        <v>10000</v>
      </c>
      <c r="L746" s="1457"/>
      <c r="M746" s="1457"/>
      <c r="N746" s="1457"/>
      <c r="O746" s="1457"/>
      <c r="P746" s="1462">
        <f t="shared" si="229"/>
        <v>10000</v>
      </c>
      <c r="Q746" s="1495"/>
      <c r="R746" s="1461"/>
      <c r="S746" s="1457"/>
      <c r="T746" s="1457"/>
      <c r="U746" s="1457"/>
      <c r="V746" s="1457"/>
      <c r="W746" s="1462"/>
      <c r="X746" s="1496"/>
      <c r="Y746" s="1444"/>
    </row>
    <row r="747" spans="1:25" ht="12.75">
      <c r="A747" s="1497">
        <v>4210</v>
      </c>
      <c r="B747" s="1513" t="s">
        <v>560</v>
      </c>
      <c r="C747" s="1457">
        <v>15000</v>
      </c>
      <c r="D747" s="1457">
        <f>J747+R747</f>
        <v>11081</v>
      </c>
      <c r="E747" s="1458">
        <f>25000+20000</f>
        <v>45000</v>
      </c>
      <c r="F747" s="1459">
        <f t="shared" si="224"/>
        <v>4000</v>
      </c>
      <c r="G747" s="1499">
        <f t="shared" si="227"/>
        <v>26.666666666666668</v>
      </c>
      <c r="H747" s="1499">
        <f t="shared" si="226"/>
        <v>36.09782510603736</v>
      </c>
      <c r="I747" s="1450"/>
      <c r="J747" s="1461">
        <v>1581</v>
      </c>
      <c r="K747" s="1457"/>
      <c r="L747" s="1457"/>
      <c r="M747" s="1457"/>
      <c r="N747" s="1457"/>
      <c r="O747" s="1457"/>
      <c r="P747" s="1462">
        <f t="shared" si="229"/>
        <v>0</v>
      </c>
      <c r="Q747" s="1495"/>
      <c r="R747" s="1461">
        <v>9500</v>
      </c>
      <c r="S747" s="1457">
        <f>10000-6000</f>
        <v>4000</v>
      </c>
      <c r="T747" s="1457"/>
      <c r="U747" s="1457"/>
      <c r="V747" s="1457"/>
      <c r="W747" s="1462">
        <f>SUM(S747:V747)</f>
        <v>4000</v>
      </c>
      <c r="X747" s="1496"/>
      <c r="Y747" s="1444"/>
    </row>
    <row r="748" spans="1:25" ht="60">
      <c r="A748" s="1497">
        <v>4240</v>
      </c>
      <c r="B748" s="1513" t="s">
        <v>930</v>
      </c>
      <c r="C748" s="1457">
        <v>17000</v>
      </c>
      <c r="D748" s="1457">
        <f>J748+R748</f>
        <v>0</v>
      </c>
      <c r="E748" s="1458">
        <f>50000+4000000</f>
        <v>4050000</v>
      </c>
      <c r="F748" s="1459">
        <f t="shared" si="224"/>
        <v>270000</v>
      </c>
      <c r="G748" s="1499">
        <f t="shared" si="227"/>
        <v>1588.235294117647</v>
      </c>
      <c r="H748" s="1499"/>
      <c r="I748" s="1450"/>
      <c r="J748" s="1461"/>
      <c r="K748" s="1457">
        <f>50000-30000</f>
        <v>20000</v>
      </c>
      <c r="L748" s="1457"/>
      <c r="M748" s="1457"/>
      <c r="N748" s="1457"/>
      <c r="O748" s="1457"/>
      <c r="P748" s="1462">
        <f>SUM(K748:N748)</f>
        <v>20000</v>
      </c>
      <c r="Q748" s="1495"/>
      <c r="R748" s="1461"/>
      <c r="S748" s="1457">
        <v>250000</v>
      </c>
      <c r="T748" s="1457"/>
      <c r="U748" s="1457"/>
      <c r="V748" s="1457"/>
      <c r="W748" s="1462">
        <f>SUM(S748:V748)</f>
        <v>250000</v>
      </c>
      <c r="X748" s="1496" t="e">
        <f t="shared" si="223"/>
        <v>#DIV/0!</v>
      </c>
      <c r="Y748" s="1444"/>
    </row>
    <row r="749" spans="1:25" ht="23.25" customHeight="1">
      <c r="A749" s="1497">
        <v>4270</v>
      </c>
      <c r="B749" s="1513" t="s">
        <v>931</v>
      </c>
      <c r="C749" s="1457">
        <v>1226000</v>
      </c>
      <c r="D749" s="1457">
        <f>J749+R749</f>
        <v>1062500</v>
      </c>
      <c r="E749" s="1458">
        <f>E785</f>
        <v>14000</v>
      </c>
      <c r="F749" s="1459">
        <f t="shared" si="224"/>
        <v>0</v>
      </c>
      <c r="G749" s="1499">
        <f t="shared" si="227"/>
        <v>0</v>
      </c>
      <c r="H749" s="1499">
        <f t="shared" si="226"/>
        <v>0</v>
      </c>
      <c r="I749" s="1450"/>
      <c r="J749" s="1461">
        <f>620000-20000-137500</f>
        <v>462500</v>
      </c>
      <c r="K749" s="1457"/>
      <c r="L749" s="1457"/>
      <c r="M749" s="1457"/>
      <c r="N749" s="1457"/>
      <c r="O749" s="1457"/>
      <c r="P749" s="1462">
        <f t="shared" si="229"/>
        <v>0</v>
      </c>
      <c r="Q749" s="1495">
        <f>P749/J749*100</f>
        <v>0</v>
      </c>
      <c r="R749" s="1461">
        <v>600000</v>
      </c>
      <c r="S749" s="1457"/>
      <c r="T749" s="1457"/>
      <c r="U749" s="1457"/>
      <c r="V749" s="1457"/>
      <c r="W749" s="1462">
        <f>SUM(S749:V749)</f>
        <v>0</v>
      </c>
      <c r="X749" s="1496">
        <f t="shared" si="223"/>
        <v>0</v>
      </c>
      <c r="Y749" s="1444"/>
    </row>
    <row r="750" spans="1:25" ht="12.75" hidden="1">
      <c r="A750" s="1497"/>
      <c r="B750" s="1513" t="s">
        <v>932</v>
      </c>
      <c r="C750" s="1457"/>
      <c r="D750" s="1457">
        <f aca="true" t="shared" si="230" ref="D750:D813">J750+R750</f>
        <v>0</v>
      </c>
      <c r="E750" s="1458">
        <v>856000</v>
      </c>
      <c r="F750" s="1459">
        <f t="shared" si="224"/>
        <v>0</v>
      </c>
      <c r="G750" s="1499" t="e">
        <f t="shared" si="227"/>
        <v>#DIV/0!</v>
      </c>
      <c r="H750" s="1499" t="e">
        <f t="shared" si="226"/>
        <v>#DIV/0!</v>
      </c>
      <c r="I750" s="1450"/>
      <c r="J750" s="1461"/>
      <c r="K750" s="1457"/>
      <c r="L750" s="1457"/>
      <c r="M750" s="1457"/>
      <c r="N750" s="1457"/>
      <c r="O750" s="1457"/>
      <c r="P750" s="1462">
        <f t="shared" si="229"/>
        <v>0</v>
      </c>
      <c r="Q750" s="1495"/>
      <c r="R750" s="1461"/>
      <c r="S750" s="1457"/>
      <c r="T750" s="1457"/>
      <c r="U750" s="1457"/>
      <c r="V750" s="1457"/>
      <c r="W750" s="1462">
        <f aca="true" t="shared" si="231" ref="W750:W789">SUM(S750:V750)</f>
        <v>0</v>
      </c>
      <c r="X750" s="1496"/>
      <c r="Y750" s="1444"/>
    </row>
    <row r="751" spans="1:25" ht="2.25" customHeight="1" hidden="1">
      <c r="A751" s="1497"/>
      <c r="B751" s="1513" t="s">
        <v>933</v>
      </c>
      <c r="C751" s="1457"/>
      <c r="D751" s="1457">
        <f t="shared" si="230"/>
        <v>0</v>
      </c>
      <c r="E751" s="1458">
        <v>709500</v>
      </c>
      <c r="F751" s="1459">
        <f t="shared" si="224"/>
        <v>0</v>
      </c>
      <c r="G751" s="1499" t="e">
        <f t="shared" si="227"/>
        <v>#DIV/0!</v>
      </c>
      <c r="H751" s="1499" t="e">
        <f t="shared" si="226"/>
        <v>#DIV/0!</v>
      </c>
      <c r="I751" s="1450"/>
      <c r="J751" s="1461"/>
      <c r="K751" s="1457"/>
      <c r="L751" s="1457"/>
      <c r="M751" s="1457"/>
      <c r="N751" s="1457"/>
      <c r="O751" s="1457"/>
      <c r="P751" s="1462">
        <f t="shared" si="229"/>
        <v>0</v>
      </c>
      <c r="Q751" s="1495"/>
      <c r="R751" s="1461"/>
      <c r="S751" s="1457"/>
      <c r="T751" s="1457"/>
      <c r="U751" s="1457"/>
      <c r="V751" s="1457"/>
      <c r="W751" s="1462">
        <f t="shared" si="231"/>
        <v>0</v>
      </c>
      <c r="X751" s="1496"/>
      <c r="Y751" s="1444"/>
    </row>
    <row r="752" spans="1:25" ht="12.75" hidden="1">
      <c r="A752" s="1497"/>
      <c r="B752" s="1513" t="s">
        <v>934</v>
      </c>
      <c r="C752" s="1457"/>
      <c r="D752" s="1457">
        <f t="shared" si="230"/>
        <v>0</v>
      </c>
      <c r="E752" s="1458">
        <v>409200</v>
      </c>
      <c r="F752" s="1459">
        <f t="shared" si="224"/>
        <v>0</v>
      </c>
      <c r="G752" s="1499" t="e">
        <f t="shared" si="227"/>
        <v>#DIV/0!</v>
      </c>
      <c r="H752" s="1499" t="e">
        <f t="shared" si="226"/>
        <v>#DIV/0!</v>
      </c>
      <c r="I752" s="1450"/>
      <c r="J752" s="1461"/>
      <c r="K752" s="1457"/>
      <c r="L752" s="1457"/>
      <c r="M752" s="1457"/>
      <c r="N752" s="1457"/>
      <c r="O752" s="1457"/>
      <c r="P752" s="1462">
        <f t="shared" si="229"/>
        <v>0</v>
      </c>
      <c r="Q752" s="1495"/>
      <c r="R752" s="1461"/>
      <c r="S752" s="1457"/>
      <c r="T752" s="1457"/>
      <c r="U752" s="1457"/>
      <c r="V752" s="1457"/>
      <c r="W752" s="1462">
        <f t="shared" si="231"/>
        <v>0</v>
      </c>
      <c r="X752" s="1496"/>
      <c r="Y752" s="1444"/>
    </row>
    <row r="753" spans="1:25" ht="12.75" hidden="1">
      <c r="A753" s="1497"/>
      <c r="B753" s="1513" t="s">
        <v>935</v>
      </c>
      <c r="C753" s="1457"/>
      <c r="D753" s="1457">
        <f t="shared" si="230"/>
        <v>0</v>
      </c>
      <c r="E753" s="1458">
        <v>312700</v>
      </c>
      <c r="F753" s="1459">
        <f t="shared" si="224"/>
        <v>0</v>
      </c>
      <c r="G753" s="1499" t="e">
        <f t="shared" si="227"/>
        <v>#DIV/0!</v>
      </c>
      <c r="H753" s="1499" t="e">
        <f t="shared" si="226"/>
        <v>#DIV/0!</v>
      </c>
      <c r="I753" s="1450"/>
      <c r="J753" s="1461"/>
      <c r="K753" s="1457"/>
      <c r="L753" s="1457"/>
      <c r="M753" s="1457"/>
      <c r="N753" s="1457"/>
      <c r="O753" s="1457"/>
      <c r="P753" s="1462">
        <f t="shared" si="229"/>
        <v>0</v>
      </c>
      <c r="Q753" s="1495"/>
      <c r="R753" s="1461"/>
      <c r="S753" s="1457"/>
      <c r="T753" s="1457"/>
      <c r="U753" s="1457"/>
      <c r="V753" s="1457"/>
      <c r="W753" s="1462">
        <f t="shared" si="231"/>
        <v>0</v>
      </c>
      <c r="X753" s="1496"/>
      <c r="Y753" s="1444"/>
    </row>
    <row r="754" spans="1:25" ht="12.75" hidden="1">
      <c r="A754" s="1497"/>
      <c r="B754" s="1513" t="s">
        <v>936</v>
      </c>
      <c r="C754" s="1457"/>
      <c r="D754" s="1457">
        <f t="shared" si="230"/>
        <v>0</v>
      </c>
      <c r="E754" s="1458">
        <v>390000</v>
      </c>
      <c r="F754" s="1459">
        <f t="shared" si="224"/>
        <v>0</v>
      </c>
      <c r="G754" s="1499" t="e">
        <f t="shared" si="227"/>
        <v>#DIV/0!</v>
      </c>
      <c r="H754" s="1499" t="e">
        <f t="shared" si="226"/>
        <v>#DIV/0!</v>
      </c>
      <c r="I754" s="1450"/>
      <c r="J754" s="1461"/>
      <c r="K754" s="1457"/>
      <c r="L754" s="1457"/>
      <c r="M754" s="1457"/>
      <c r="N754" s="1457"/>
      <c r="O754" s="1457"/>
      <c r="P754" s="1462">
        <f t="shared" si="229"/>
        <v>0</v>
      </c>
      <c r="Q754" s="1495"/>
      <c r="R754" s="1461"/>
      <c r="S754" s="1457"/>
      <c r="T754" s="1457"/>
      <c r="U754" s="1457"/>
      <c r="V754" s="1457"/>
      <c r="W754" s="1462">
        <f t="shared" si="231"/>
        <v>0</v>
      </c>
      <c r="X754" s="1496"/>
      <c r="Y754" s="1444"/>
    </row>
    <row r="755" spans="1:25" ht="12.75" hidden="1">
      <c r="A755" s="1497"/>
      <c r="B755" s="1513" t="s">
        <v>937</v>
      </c>
      <c r="C755" s="1457"/>
      <c r="D755" s="1457">
        <f t="shared" si="230"/>
        <v>0</v>
      </c>
      <c r="E755" s="1458">
        <v>82000</v>
      </c>
      <c r="F755" s="1459">
        <f t="shared" si="224"/>
        <v>0</v>
      </c>
      <c r="G755" s="1499" t="e">
        <f t="shared" si="227"/>
        <v>#DIV/0!</v>
      </c>
      <c r="H755" s="1499" t="e">
        <f t="shared" si="226"/>
        <v>#DIV/0!</v>
      </c>
      <c r="I755" s="1450"/>
      <c r="J755" s="1461"/>
      <c r="K755" s="1457"/>
      <c r="L755" s="1457"/>
      <c r="M755" s="1457"/>
      <c r="N755" s="1457"/>
      <c r="O755" s="1457"/>
      <c r="P755" s="1462">
        <f t="shared" si="229"/>
        <v>0</v>
      </c>
      <c r="Q755" s="1495"/>
      <c r="R755" s="1461"/>
      <c r="S755" s="1457"/>
      <c r="T755" s="1457"/>
      <c r="U755" s="1457"/>
      <c r="V755" s="1457"/>
      <c r="W755" s="1462">
        <f t="shared" si="231"/>
        <v>0</v>
      </c>
      <c r="X755" s="1496"/>
      <c r="Y755" s="1444"/>
    </row>
    <row r="756" spans="1:25" ht="12.75" hidden="1">
      <c r="A756" s="1497"/>
      <c r="B756" s="1513" t="s">
        <v>938</v>
      </c>
      <c r="C756" s="1457"/>
      <c r="D756" s="1457">
        <f t="shared" si="230"/>
        <v>0</v>
      </c>
      <c r="E756" s="1458">
        <v>452900</v>
      </c>
      <c r="F756" s="1459">
        <f t="shared" si="224"/>
        <v>0</v>
      </c>
      <c r="G756" s="1499" t="e">
        <f t="shared" si="227"/>
        <v>#DIV/0!</v>
      </c>
      <c r="H756" s="1499" t="e">
        <f t="shared" si="226"/>
        <v>#DIV/0!</v>
      </c>
      <c r="I756" s="1450"/>
      <c r="J756" s="1461"/>
      <c r="K756" s="1457"/>
      <c r="L756" s="1457"/>
      <c r="M756" s="1457"/>
      <c r="N756" s="1457"/>
      <c r="O756" s="1457"/>
      <c r="P756" s="1462">
        <f t="shared" si="229"/>
        <v>0</v>
      </c>
      <c r="Q756" s="1495"/>
      <c r="R756" s="1461"/>
      <c r="S756" s="1457"/>
      <c r="T756" s="1457"/>
      <c r="U756" s="1457"/>
      <c r="V756" s="1457"/>
      <c r="W756" s="1462">
        <f t="shared" si="231"/>
        <v>0</v>
      </c>
      <c r="X756" s="1496"/>
      <c r="Y756" s="1444"/>
    </row>
    <row r="757" spans="1:25" ht="12.75" hidden="1">
      <c r="A757" s="1497"/>
      <c r="B757" s="1513" t="s">
        <v>939</v>
      </c>
      <c r="C757" s="1457"/>
      <c r="D757" s="1457">
        <f t="shared" si="230"/>
        <v>0</v>
      </c>
      <c r="E757" s="1458">
        <v>133500</v>
      </c>
      <c r="F757" s="1459">
        <f t="shared" si="224"/>
        <v>0</v>
      </c>
      <c r="G757" s="1499" t="e">
        <f t="shared" si="227"/>
        <v>#DIV/0!</v>
      </c>
      <c r="H757" s="1499" t="e">
        <f t="shared" si="226"/>
        <v>#DIV/0!</v>
      </c>
      <c r="I757" s="1450"/>
      <c r="J757" s="1461"/>
      <c r="K757" s="1457"/>
      <c r="L757" s="1457"/>
      <c r="M757" s="1457"/>
      <c r="N757" s="1457"/>
      <c r="O757" s="1457"/>
      <c r="P757" s="1462">
        <f t="shared" si="229"/>
        <v>0</v>
      </c>
      <c r="Q757" s="1495"/>
      <c r="R757" s="1461"/>
      <c r="S757" s="1457"/>
      <c r="T757" s="1457"/>
      <c r="U757" s="1457"/>
      <c r="V757" s="1457"/>
      <c r="W757" s="1462">
        <f t="shared" si="231"/>
        <v>0</v>
      </c>
      <c r="X757" s="1496"/>
      <c r="Y757" s="1444"/>
    </row>
    <row r="758" spans="1:25" ht="11.25" customHeight="1" hidden="1">
      <c r="A758" s="1497"/>
      <c r="B758" s="1513" t="s">
        <v>940</v>
      </c>
      <c r="C758" s="1457"/>
      <c r="D758" s="1457">
        <f t="shared" si="230"/>
        <v>0</v>
      </c>
      <c r="E758" s="1458">
        <v>677500</v>
      </c>
      <c r="F758" s="1459">
        <f t="shared" si="224"/>
        <v>0</v>
      </c>
      <c r="G758" s="1499" t="e">
        <f t="shared" si="227"/>
        <v>#DIV/0!</v>
      </c>
      <c r="H758" s="1499" t="e">
        <f t="shared" si="226"/>
        <v>#DIV/0!</v>
      </c>
      <c r="I758" s="1450"/>
      <c r="J758" s="1461"/>
      <c r="K758" s="1457"/>
      <c r="L758" s="1457"/>
      <c r="M758" s="1457"/>
      <c r="N758" s="1457"/>
      <c r="O758" s="1457"/>
      <c r="P758" s="1462">
        <f t="shared" si="229"/>
        <v>0</v>
      </c>
      <c r="Q758" s="1495"/>
      <c r="R758" s="1461"/>
      <c r="S758" s="1457"/>
      <c r="T758" s="1457"/>
      <c r="U758" s="1457"/>
      <c r="V758" s="1457"/>
      <c r="W758" s="1462">
        <f t="shared" si="231"/>
        <v>0</v>
      </c>
      <c r="X758" s="1496"/>
      <c r="Y758" s="1444"/>
    </row>
    <row r="759" spans="1:25" ht="12.75" hidden="1">
      <c r="A759" s="1497"/>
      <c r="B759" s="1513" t="s">
        <v>941</v>
      </c>
      <c r="C759" s="1457"/>
      <c r="D759" s="1457">
        <f t="shared" si="230"/>
        <v>0</v>
      </c>
      <c r="E759" s="1458">
        <v>538200</v>
      </c>
      <c r="F759" s="1459">
        <f t="shared" si="224"/>
        <v>0</v>
      </c>
      <c r="G759" s="1499" t="e">
        <f t="shared" si="227"/>
        <v>#DIV/0!</v>
      </c>
      <c r="H759" s="1499" t="e">
        <f t="shared" si="226"/>
        <v>#DIV/0!</v>
      </c>
      <c r="I759" s="1450"/>
      <c r="J759" s="1461"/>
      <c r="K759" s="1457"/>
      <c r="L759" s="1457"/>
      <c r="M759" s="1457"/>
      <c r="N759" s="1457"/>
      <c r="O759" s="1457"/>
      <c r="P759" s="1462">
        <f t="shared" si="229"/>
        <v>0</v>
      </c>
      <c r="Q759" s="1495"/>
      <c r="R759" s="1461"/>
      <c r="S759" s="1457"/>
      <c r="T759" s="1457"/>
      <c r="U759" s="1457"/>
      <c r="V759" s="1457"/>
      <c r="W759" s="1462">
        <f t="shared" si="231"/>
        <v>0</v>
      </c>
      <c r="X759" s="1496"/>
      <c r="Y759" s="1444"/>
    </row>
    <row r="760" spans="1:25" ht="12.75" hidden="1">
      <c r="A760" s="1497"/>
      <c r="B760" s="1513" t="s">
        <v>942</v>
      </c>
      <c r="C760" s="1457"/>
      <c r="D760" s="1457">
        <f t="shared" si="230"/>
        <v>0</v>
      </c>
      <c r="E760" s="1458">
        <v>0</v>
      </c>
      <c r="F760" s="1459">
        <f t="shared" si="224"/>
        <v>0</v>
      </c>
      <c r="G760" s="1499" t="e">
        <f t="shared" si="227"/>
        <v>#DIV/0!</v>
      </c>
      <c r="H760" s="1499" t="e">
        <f t="shared" si="226"/>
        <v>#DIV/0!</v>
      </c>
      <c r="I760" s="1450"/>
      <c r="J760" s="1461"/>
      <c r="K760" s="1457"/>
      <c r="L760" s="1457"/>
      <c r="M760" s="1457"/>
      <c r="N760" s="1457"/>
      <c r="O760" s="1457"/>
      <c r="P760" s="1462">
        <f t="shared" si="229"/>
        <v>0</v>
      </c>
      <c r="Q760" s="1495"/>
      <c r="R760" s="1461"/>
      <c r="S760" s="1457"/>
      <c r="T760" s="1457"/>
      <c r="U760" s="1457"/>
      <c r="V760" s="1457"/>
      <c r="W760" s="1462">
        <f t="shared" si="231"/>
        <v>0</v>
      </c>
      <c r="X760" s="1496"/>
      <c r="Y760" s="1444"/>
    </row>
    <row r="761" spans="1:25" ht="12.75" hidden="1">
      <c r="A761" s="1497"/>
      <c r="B761" s="1513" t="s">
        <v>943</v>
      </c>
      <c r="C761" s="1457"/>
      <c r="D761" s="1457">
        <f t="shared" si="230"/>
        <v>0</v>
      </c>
      <c r="E761" s="1458">
        <v>179000</v>
      </c>
      <c r="F761" s="1459">
        <f t="shared" si="224"/>
        <v>0</v>
      </c>
      <c r="G761" s="1499" t="e">
        <f t="shared" si="227"/>
        <v>#DIV/0!</v>
      </c>
      <c r="H761" s="1499" t="e">
        <f t="shared" si="226"/>
        <v>#DIV/0!</v>
      </c>
      <c r="I761" s="1450"/>
      <c r="J761" s="1461"/>
      <c r="K761" s="1457"/>
      <c r="L761" s="1457"/>
      <c r="M761" s="1457"/>
      <c r="N761" s="1457"/>
      <c r="O761" s="1457"/>
      <c r="P761" s="1462">
        <f t="shared" si="229"/>
        <v>0</v>
      </c>
      <c r="Q761" s="1495"/>
      <c r="R761" s="1461"/>
      <c r="S761" s="1457"/>
      <c r="T761" s="1457"/>
      <c r="U761" s="1457"/>
      <c r="V761" s="1457"/>
      <c r="W761" s="1462">
        <f t="shared" si="231"/>
        <v>0</v>
      </c>
      <c r="X761" s="1496"/>
      <c r="Y761" s="1444"/>
    </row>
    <row r="762" spans="1:25" ht="12.75" hidden="1">
      <c r="A762" s="1497"/>
      <c r="B762" s="1513" t="s">
        <v>944</v>
      </c>
      <c r="C762" s="1457"/>
      <c r="D762" s="1457">
        <f t="shared" si="230"/>
        <v>0</v>
      </c>
      <c r="E762" s="1458">
        <v>0</v>
      </c>
      <c r="F762" s="1459">
        <f t="shared" si="224"/>
        <v>0</v>
      </c>
      <c r="G762" s="1499" t="e">
        <f t="shared" si="227"/>
        <v>#DIV/0!</v>
      </c>
      <c r="H762" s="1499" t="e">
        <f t="shared" si="226"/>
        <v>#DIV/0!</v>
      </c>
      <c r="I762" s="1450"/>
      <c r="J762" s="1461"/>
      <c r="K762" s="1457"/>
      <c r="L762" s="1457"/>
      <c r="M762" s="1457"/>
      <c r="N762" s="1457"/>
      <c r="O762" s="1457"/>
      <c r="P762" s="1462">
        <f t="shared" si="229"/>
        <v>0</v>
      </c>
      <c r="Q762" s="1495"/>
      <c r="R762" s="1461"/>
      <c r="S762" s="1457"/>
      <c r="T762" s="1457"/>
      <c r="U762" s="1457"/>
      <c r="V762" s="1457"/>
      <c r="W762" s="1462">
        <f t="shared" si="231"/>
        <v>0</v>
      </c>
      <c r="X762" s="1496"/>
      <c r="Y762" s="1444"/>
    </row>
    <row r="763" spans="1:25" ht="12.75" hidden="1">
      <c r="A763" s="1497"/>
      <c r="B763" s="1513" t="s">
        <v>945</v>
      </c>
      <c r="C763" s="1457"/>
      <c r="D763" s="1457">
        <f t="shared" si="230"/>
        <v>0</v>
      </c>
      <c r="E763" s="1458">
        <v>886000</v>
      </c>
      <c r="F763" s="1459">
        <f t="shared" si="224"/>
        <v>0</v>
      </c>
      <c r="G763" s="1499" t="e">
        <f t="shared" si="227"/>
        <v>#DIV/0!</v>
      </c>
      <c r="H763" s="1499" t="e">
        <f t="shared" si="226"/>
        <v>#DIV/0!</v>
      </c>
      <c r="I763" s="1450"/>
      <c r="J763" s="1461"/>
      <c r="K763" s="1457"/>
      <c r="L763" s="1457"/>
      <c r="M763" s="1457"/>
      <c r="N763" s="1457"/>
      <c r="O763" s="1457"/>
      <c r="P763" s="1462">
        <f t="shared" si="229"/>
        <v>0</v>
      </c>
      <c r="Q763" s="1495"/>
      <c r="R763" s="1461"/>
      <c r="S763" s="1457"/>
      <c r="T763" s="1457"/>
      <c r="U763" s="1457"/>
      <c r="V763" s="1457"/>
      <c r="W763" s="1462">
        <f t="shared" si="231"/>
        <v>0</v>
      </c>
      <c r="X763" s="1496"/>
      <c r="Y763" s="1444"/>
    </row>
    <row r="764" spans="1:25" ht="12.75" hidden="1">
      <c r="A764" s="1497"/>
      <c r="B764" s="1513" t="s">
        <v>946</v>
      </c>
      <c r="C764" s="1457"/>
      <c r="D764" s="1457">
        <f t="shared" si="230"/>
        <v>0</v>
      </c>
      <c r="E764" s="1458">
        <v>255000</v>
      </c>
      <c r="F764" s="1459">
        <f t="shared" si="224"/>
        <v>0</v>
      </c>
      <c r="G764" s="1499" t="e">
        <f t="shared" si="227"/>
        <v>#DIV/0!</v>
      </c>
      <c r="H764" s="1499" t="e">
        <f t="shared" si="226"/>
        <v>#DIV/0!</v>
      </c>
      <c r="I764" s="1450"/>
      <c r="J764" s="1461"/>
      <c r="K764" s="1457"/>
      <c r="L764" s="1457"/>
      <c r="M764" s="1457"/>
      <c r="N764" s="1457"/>
      <c r="O764" s="1457"/>
      <c r="P764" s="1462">
        <f t="shared" si="229"/>
        <v>0</v>
      </c>
      <c r="Q764" s="1495"/>
      <c r="R764" s="1461"/>
      <c r="S764" s="1457"/>
      <c r="T764" s="1457"/>
      <c r="U764" s="1457"/>
      <c r="V764" s="1457"/>
      <c r="W764" s="1462">
        <f t="shared" si="231"/>
        <v>0</v>
      </c>
      <c r="X764" s="1496"/>
      <c r="Y764" s="1444"/>
    </row>
    <row r="765" spans="1:25" ht="12.75" hidden="1">
      <c r="A765" s="1497"/>
      <c r="B765" s="1513" t="s">
        <v>947</v>
      </c>
      <c r="C765" s="1457"/>
      <c r="D765" s="1457">
        <f t="shared" si="230"/>
        <v>0</v>
      </c>
      <c r="E765" s="1458">
        <v>463000</v>
      </c>
      <c r="F765" s="1459">
        <f t="shared" si="224"/>
        <v>0</v>
      </c>
      <c r="G765" s="1499" t="e">
        <f t="shared" si="227"/>
        <v>#DIV/0!</v>
      </c>
      <c r="H765" s="1499" t="e">
        <f t="shared" si="226"/>
        <v>#DIV/0!</v>
      </c>
      <c r="I765" s="1450"/>
      <c r="J765" s="1461"/>
      <c r="K765" s="1457"/>
      <c r="L765" s="1457"/>
      <c r="M765" s="1457"/>
      <c r="N765" s="1457"/>
      <c r="O765" s="1457"/>
      <c r="P765" s="1462">
        <f t="shared" si="229"/>
        <v>0</v>
      </c>
      <c r="Q765" s="1495"/>
      <c r="R765" s="1461"/>
      <c r="S765" s="1457"/>
      <c r="T765" s="1457"/>
      <c r="U765" s="1457"/>
      <c r="V765" s="1457"/>
      <c r="W765" s="1462">
        <f t="shared" si="231"/>
        <v>0</v>
      </c>
      <c r="X765" s="1496"/>
      <c r="Y765" s="1444"/>
    </row>
    <row r="766" spans="1:25" ht="12.75" hidden="1">
      <c r="A766" s="1497"/>
      <c r="B766" s="1513" t="s">
        <v>948</v>
      </c>
      <c r="C766" s="1457"/>
      <c r="D766" s="1457">
        <f t="shared" si="230"/>
        <v>0</v>
      </c>
      <c r="E766" s="1458">
        <v>358000</v>
      </c>
      <c r="F766" s="1459">
        <f t="shared" si="224"/>
        <v>0</v>
      </c>
      <c r="G766" s="1499" t="e">
        <f t="shared" si="227"/>
        <v>#DIV/0!</v>
      </c>
      <c r="H766" s="1499" t="e">
        <f t="shared" si="226"/>
        <v>#DIV/0!</v>
      </c>
      <c r="I766" s="1450"/>
      <c r="J766" s="1461"/>
      <c r="K766" s="1457"/>
      <c r="L766" s="1457"/>
      <c r="M766" s="1457"/>
      <c r="N766" s="1457"/>
      <c r="O766" s="1457"/>
      <c r="P766" s="1462">
        <f t="shared" si="229"/>
        <v>0</v>
      </c>
      <c r="Q766" s="1495"/>
      <c r="R766" s="1461"/>
      <c r="S766" s="1457"/>
      <c r="T766" s="1457"/>
      <c r="U766" s="1457"/>
      <c r="V766" s="1457"/>
      <c r="W766" s="1462">
        <f t="shared" si="231"/>
        <v>0</v>
      </c>
      <c r="X766" s="1496"/>
      <c r="Y766" s="1444"/>
    </row>
    <row r="767" spans="1:25" ht="12" customHeight="1" hidden="1">
      <c r="A767" s="1497"/>
      <c r="B767" s="1513" t="s">
        <v>949</v>
      </c>
      <c r="C767" s="1457"/>
      <c r="D767" s="1457">
        <f t="shared" si="230"/>
        <v>0</v>
      </c>
      <c r="E767" s="1458">
        <v>330850</v>
      </c>
      <c r="F767" s="1459">
        <f t="shared" si="224"/>
        <v>0</v>
      </c>
      <c r="G767" s="1499" t="e">
        <f t="shared" si="227"/>
        <v>#DIV/0!</v>
      </c>
      <c r="H767" s="1499" t="e">
        <f t="shared" si="226"/>
        <v>#DIV/0!</v>
      </c>
      <c r="I767" s="1450"/>
      <c r="J767" s="1461"/>
      <c r="K767" s="1457"/>
      <c r="L767" s="1457"/>
      <c r="M767" s="1457"/>
      <c r="N767" s="1457"/>
      <c r="O767" s="1457"/>
      <c r="P767" s="1462">
        <f t="shared" si="229"/>
        <v>0</v>
      </c>
      <c r="Q767" s="1495"/>
      <c r="R767" s="1461"/>
      <c r="S767" s="1457"/>
      <c r="T767" s="1457"/>
      <c r="U767" s="1457"/>
      <c r="V767" s="1457"/>
      <c r="W767" s="1462">
        <f t="shared" si="231"/>
        <v>0</v>
      </c>
      <c r="X767" s="1496"/>
      <c r="Y767" s="1444"/>
    </row>
    <row r="768" spans="1:25" ht="12.75" hidden="1">
      <c r="A768" s="1497"/>
      <c r="B768" s="1513" t="s">
        <v>950</v>
      </c>
      <c r="C768" s="1457"/>
      <c r="D768" s="1457">
        <f t="shared" si="230"/>
        <v>0</v>
      </c>
      <c r="E768" s="1458">
        <v>203000</v>
      </c>
      <c r="F768" s="1459">
        <f t="shared" si="224"/>
        <v>0</v>
      </c>
      <c r="G768" s="1499" t="e">
        <f t="shared" si="227"/>
        <v>#DIV/0!</v>
      </c>
      <c r="H768" s="1499" t="e">
        <f t="shared" si="226"/>
        <v>#DIV/0!</v>
      </c>
      <c r="I768" s="1450"/>
      <c r="J768" s="1461"/>
      <c r="K768" s="1457"/>
      <c r="L768" s="1457"/>
      <c r="M768" s="1457"/>
      <c r="N768" s="1457"/>
      <c r="O768" s="1457"/>
      <c r="P768" s="1462">
        <f t="shared" si="229"/>
        <v>0</v>
      </c>
      <c r="Q768" s="1495"/>
      <c r="R768" s="1461"/>
      <c r="S768" s="1457"/>
      <c r="T768" s="1457"/>
      <c r="U768" s="1457"/>
      <c r="V768" s="1457"/>
      <c r="W768" s="1462">
        <f t="shared" si="231"/>
        <v>0</v>
      </c>
      <c r="X768" s="1496"/>
      <c r="Y768" s="1444"/>
    </row>
    <row r="769" spans="1:25" ht="12.75" hidden="1">
      <c r="A769" s="1497"/>
      <c r="B769" s="1513" t="s">
        <v>951</v>
      </c>
      <c r="C769" s="1457"/>
      <c r="D769" s="1457">
        <f t="shared" si="230"/>
        <v>0</v>
      </c>
      <c r="E769" s="1458">
        <v>116500</v>
      </c>
      <c r="F769" s="1459">
        <f t="shared" si="224"/>
        <v>0</v>
      </c>
      <c r="G769" s="1499" t="e">
        <f t="shared" si="227"/>
        <v>#DIV/0!</v>
      </c>
      <c r="H769" s="1499" t="e">
        <f t="shared" si="226"/>
        <v>#DIV/0!</v>
      </c>
      <c r="I769" s="1450"/>
      <c r="J769" s="1461"/>
      <c r="K769" s="1457"/>
      <c r="L769" s="1457"/>
      <c r="M769" s="1457"/>
      <c r="N769" s="1457"/>
      <c r="O769" s="1457"/>
      <c r="P769" s="1462">
        <f t="shared" si="229"/>
        <v>0</v>
      </c>
      <c r="Q769" s="1495"/>
      <c r="R769" s="1461"/>
      <c r="S769" s="1457"/>
      <c r="T769" s="1457"/>
      <c r="U769" s="1457"/>
      <c r="V769" s="1457"/>
      <c r="W769" s="1462">
        <f t="shared" si="231"/>
        <v>0</v>
      </c>
      <c r="X769" s="1496"/>
      <c r="Y769" s="1444"/>
    </row>
    <row r="770" spans="1:25" ht="12.75" hidden="1">
      <c r="A770" s="1497"/>
      <c r="B770" s="1513" t="s">
        <v>952</v>
      </c>
      <c r="C770" s="1457"/>
      <c r="D770" s="1457">
        <f t="shared" si="230"/>
        <v>0</v>
      </c>
      <c r="E770" s="1458">
        <v>88000</v>
      </c>
      <c r="F770" s="1459">
        <f t="shared" si="224"/>
        <v>0</v>
      </c>
      <c r="G770" s="1499" t="e">
        <f t="shared" si="227"/>
        <v>#DIV/0!</v>
      </c>
      <c r="H770" s="1499" t="e">
        <f t="shared" si="226"/>
        <v>#DIV/0!</v>
      </c>
      <c r="I770" s="1450"/>
      <c r="J770" s="1461"/>
      <c r="K770" s="1457"/>
      <c r="L770" s="1457"/>
      <c r="M770" s="1457"/>
      <c r="N770" s="1457"/>
      <c r="O770" s="1457"/>
      <c r="P770" s="1462">
        <f t="shared" si="229"/>
        <v>0</v>
      </c>
      <c r="Q770" s="1495"/>
      <c r="R770" s="1461"/>
      <c r="S770" s="1457"/>
      <c r="T770" s="1457"/>
      <c r="U770" s="1457"/>
      <c r="V770" s="1457"/>
      <c r="W770" s="1462">
        <f t="shared" si="231"/>
        <v>0</v>
      </c>
      <c r="X770" s="1496"/>
      <c r="Y770" s="1444"/>
    </row>
    <row r="771" spans="1:25" ht="12.75" hidden="1">
      <c r="A771" s="1497"/>
      <c r="B771" s="1513" t="s">
        <v>953</v>
      </c>
      <c r="C771" s="1457"/>
      <c r="D771" s="1457">
        <f t="shared" si="230"/>
        <v>0</v>
      </c>
      <c r="E771" s="1458">
        <v>171950</v>
      </c>
      <c r="F771" s="1459">
        <f t="shared" si="224"/>
        <v>0</v>
      </c>
      <c r="G771" s="1499" t="e">
        <f t="shared" si="227"/>
        <v>#DIV/0!</v>
      </c>
      <c r="H771" s="1499" t="e">
        <f t="shared" si="226"/>
        <v>#DIV/0!</v>
      </c>
      <c r="I771" s="1450"/>
      <c r="J771" s="1461"/>
      <c r="K771" s="1457"/>
      <c r="L771" s="1457"/>
      <c r="M771" s="1457"/>
      <c r="N771" s="1457"/>
      <c r="O771" s="1457"/>
      <c r="P771" s="1462">
        <f t="shared" si="229"/>
        <v>0</v>
      </c>
      <c r="Q771" s="1495"/>
      <c r="R771" s="1461"/>
      <c r="S771" s="1457"/>
      <c r="T771" s="1457"/>
      <c r="U771" s="1457"/>
      <c r="V771" s="1457"/>
      <c r="W771" s="1462">
        <f t="shared" si="231"/>
        <v>0</v>
      </c>
      <c r="X771" s="1496"/>
      <c r="Y771" s="1444"/>
    </row>
    <row r="772" spans="1:25" ht="12.75" hidden="1">
      <c r="A772" s="1497"/>
      <c r="B772" s="1513" t="s">
        <v>954</v>
      </c>
      <c r="C772" s="1457"/>
      <c r="D772" s="1457">
        <f t="shared" si="230"/>
        <v>0</v>
      </c>
      <c r="E772" s="1458">
        <v>190000</v>
      </c>
      <c r="F772" s="1459">
        <f t="shared" si="224"/>
        <v>0</v>
      </c>
      <c r="G772" s="1499" t="e">
        <f t="shared" si="227"/>
        <v>#DIV/0!</v>
      </c>
      <c r="H772" s="1499" t="e">
        <f t="shared" si="226"/>
        <v>#DIV/0!</v>
      </c>
      <c r="I772" s="1450"/>
      <c r="J772" s="1461"/>
      <c r="K772" s="1457"/>
      <c r="L772" s="1457"/>
      <c r="M772" s="1457"/>
      <c r="N772" s="1457"/>
      <c r="O772" s="1457"/>
      <c r="P772" s="1462">
        <f t="shared" si="229"/>
        <v>0</v>
      </c>
      <c r="Q772" s="1495"/>
      <c r="R772" s="1461"/>
      <c r="S772" s="1457"/>
      <c r="T772" s="1457"/>
      <c r="U772" s="1457"/>
      <c r="V772" s="1457"/>
      <c r="W772" s="1462">
        <f t="shared" si="231"/>
        <v>0</v>
      </c>
      <c r="X772" s="1496"/>
      <c r="Y772" s="1444"/>
    </row>
    <row r="773" spans="1:25" ht="12.75" hidden="1">
      <c r="A773" s="1497"/>
      <c r="B773" s="1513" t="s">
        <v>955</v>
      </c>
      <c r="C773" s="1457"/>
      <c r="D773" s="1457">
        <f t="shared" si="230"/>
        <v>0</v>
      </c>
      <c r="E773" s="1458">
        <v>235000</v>
      </c>
      <c r="F773" s="1459">
        <f t="shared" si="224"/>
        <v>0</v>
      </c>
      <c r="G773" s="1499" t="e">
        <f t="shared" si="227"/>
        <v>#DIV/0!</v>
      </c>
      <c r="H773" s="1499" t="e">
        <f t="shared" si="226"/>
        <v>#DIV/0!</v>
      </c>
      <c r="I773" s="1450"/>
      <c r="J773" s="1461"/>
      <c r="K773" s="1457"/>
      <c r="L773" s="1457"/>
      <c r="M773" s="1457"/>
      <c r="N773" s="1457"/>
      <c r="O773" s="1457"/>
      <c r="P773" s="1462">
        <f t="shared" si="229"/>
        <v>0</v>
      </c>
      <c r="Q773" s="1495"/>
      <c r="R773" s="1461"/>
      <c r="S773" s="1457"/>
      <c r="T773" s="1457"/>
      <c r="U773" s="1457"/>
      <c r="V773" s="1457"/>
      <c r="W773" s="1462">
        <f t="shared" si="231"/>
        <v>0</v>
      </c>
      <c r="X773" s="1496"/>
      <c r="Y773" s="1444"/>
    </row>
    <row r="774" spans="1:25" ht="12.75" hidden="1">
      <c r="A774" s="1497"/>
      <c r="B774" s="1513" t="s">
        <v>956</v>
      </c>
      <c r="C774" s="1457"/>
      <c r="D774" s="1457">
        <f t="shared" si="230"/>
        <v>0</v>
      </c>
      <c r="E774" s="1458">
        <v>92000</v>
      </c>
      <c r="F774" s="1459">
        <f t="shared" si="224"/>
        <v>0</v>
      </c>
      <c r="G774" s="1499" t="e">
        <f t="shared" si="227"/>
        <v>#DIV/0!</v>
      </c>
      <c r="H774" s="1499" t="e">
        <f t="shared" si="226"/>
        <v>#DIV/0!</v>
      </c>
      <c r="I774" s="1450"/>
      <c r="J774" s="1461"/>
      <c r="K774" s="1457"/>
      <c r="L774" s="1457"/>
      <c r="M774" s="1457"/>
      <c r="N774" s="1457"/>
      <c r="O774" s="1457"/>
      <c r="P774" s="1462">
        <f t="shared" si="229"/>
        <v>0</v>
      </c>
      <c r="Q774" s="1495"/>
      <c r="R774" s="1461"/>
      <c r="S774" s="1457"/>
      <c r="T774" s="1457"/>
      <c r="U774" s="1457"/>
      <c r="V774" s="1457"/>
      <c r="W774" s="1462">
        <f t="shared" si="231"/>
        <v>0</v>
      </c>
      <c r="X774" s="1496"/>
      <c r="Y774" s="1444"/>
    </row>
    <row r="775" spans="1:25" ht="12.75" hidden="1">
      <c r="A775" s="1497"/>
      <c r="B775" s="1513" t="s">
        <v>957</v>
      </c>
      <c r="C775" s="1457"/>
      <c r="D775" s="1457">
        <f t="shared" si="230"/>
        <v>0</v>
      </c>
      <c r="E775" s="1458">
        <v>62000</v>
      </c>
      <c r="F775" s="1459">
        <f t="shared" si="224"/>
        <v>0</v>
      </c>
      <c r="G775" s="1499" t="e">
        <f t="shared" si="227"/>
        <v>#DIV/0!</v>
      </c>
      <c r="H775" s="1499" t="e">
        <f t="shared" si="226"/>
        <v>#DIV/0!</v>
      </c>
      <c r="I775" s="1450"/>
      <c r="J775" s="1461"/>
      <c r="K775" s="1457"/>
      <c r="L775" s="1457"/>
      <c r="M775" s="1457"/>
      <c r="N775" s="1457"/>
      <c r="O775" s="1457"/>
      <c r="P775" s="1462">
        <f t="shared" si="229"/>
        <v>0</v>
      </c>
      <c r="Q775" s="1495"/>
      <c r="R775" s="1461"/>
      <c r="S775" s="1457"/>
      <c r="T775" s="1457"/>
      <c r="U775" s="1457"/>
      <c r="V775" s="1457"/>
      <c r="W775" s="1462">
        <f t="shared" si="231"/>
        <v>0</v>
      </c>
      <c r="X775" s="1496"/>
      <c r="Y775" s="1444"/>
    </row>
    <row r="776" spans="1:25" ht="12.75" hidden="1">
      <c r="A776" s="1497"/>
      <c r="B776" s="1513" t="s">
        <v>958</v>
      </c>
      <c r="C776" s="1457"/>
      <c r="D776" s="1457">
        <f t="shared" si="230"/>
        <v>0</v>
      </c>
      <c r="E776" s="1458">
        <v>77900</v>
      </c>
      <c r="F776" s="1459">
        <f t="shared" si="224"/>
        <v>0</v>
      </c>
      <c r="G776" s="1499" t="e">
        <f t="shared" si="227"/>
        <v>#DIV/0!</v>
      </c>
      <c r="H776" s="1499" t="e">
        <f t="shared" si="226"/>
        <v>#DIV/0!</v>
      </c>
      <c r="I776" s="1450"/>
      <c r="J776" s="1461"/>
      <c r="K776" s="1457"/>
      <c r="L776" s="1457"/>
      <c r="M776" s="1457"/>
      <c r="N776" s="1457"/>
      <c r="O776" s="1457"/>
      <c r="P776" s="1462">
        <f t="shared" si="229"/>
        <v>0</v>
      </c>
      <c r="Q776" s="1495"/>
      <c r="R776" s="1461"/>
      <c r="S776" s="1457"/>
      <c r="T776" s="1457"/>
      <c r="U776" s="1457"/>
      <c r="V776" s="1457"/>
      <c r="W776" s="1462">
        <f t="shared" si="231"/>
        <v>0</v>
      </c>
      <c r="X776" s="1496"/>
      <c r="Y776" s="1444"/>
    </row>
    <row r="777" spans="1:25" ht="12.75" hidden="1">
      <c r="A777" s="1497"/>
      <c r="B777" s="1513" t="s">
        <v>959</v>
      </c>
      <c r="C777" s="1457"/>
      <c r="D777" s="1457">
        <f t="shared" si="230"/>
        <v>0</v>
      </c>
      <c r="E777" s="1458">
        <v>276400</v>
      </c>
      <c r="F777" s="1459">
        <f t="shared" si="224"/>
        <v>0</v>
      </c>
      <c r="G777" s="1499" t="e">
        <f t="shared" si="227"/>
        <v>#DIV/0!</v>
      </c>
      <c r="H777" s="1499" t="e">
        <f t="shared" si="226"/>
        <v>#DIV/0!</v>
      </c>
      <c r="I777" s="1450"/>
      <c r="J777" s="1461"/>
      <c r="K777" s="1457"/>
      <c r="L777" s="1457"/>
      <c r="M777" s="1457"/>
      <c r="N777" s="1457"/>
      <c r="O777" s="1457"/>
      <c r="P777" s="1462">
        <f t="shared" si="229"/>
        <v>0</v>
      </c>
      <c r="Q777" s="1495"/>
      <c r="R777" s="1461"/>
      <c r="S777" s="1457"/>
      <c r="T777" s="1457"/>
      <c r="U777" s="1457"/>
      <c r="V777" s="1457"/>
      <c r="W777" s="1462">
        <f t="shared" si="231"/>
        <v>0</v>
      </c>
      <c r="X777" s="1496"/>
      <c r="Y777" s="1444"/>
    </row>
    <row r="778" spans="1:25" ht="12.75" hidden="1">
      <c r="A778" s="1497"/>
      <c r="B778" s="1513" t="s">
        <v>960</v>
      </c>
      <c r="C778" s="1457"/>
      <c r="D778" s="1457">
        <f t="shared" si="230"/>
        <v>0</v>
      </c>
      <c r="E778" s="1458"/>
      <c r="F778" s="1459">
        <f t="shared" si="224"/>
        <v>0</v>
      </c>
      <c r="G778" s="1499" t="e">
        <f t="shared" si="227"/>
        <v>#DIV/0!</v>
      </c>
      <c r="H778" s="1499" t="e">
        <f t="shared" si="226"/>
        <v>#DIV/0!</v>
      </c>
      <c r="I778" s="1450"/>
      <c r="J778" s="1461"/>
      <c r="K778" s="1457"/>
      <c r="L778" s="1457"/>
      <c r="M778" s="1457"/>
      <c r="N778" s="1457"/>
      <c r="O778" s="1457"/>
      <c r="P778" s="1462">
        <f t="shared" si="229"/>
        <v>0</v>
      </c>
      <c r="Q778" s="1495"/>
      <c r="R778" s="1461"/>
      <c r="S778" s="1457"/>
      <c r="T778" s="1457"/>
      <c r="U778" s="1457"/>
      <c r="V778" s="1457"/>
      <c r="W778" s="1462">
        <f t="shared" si="231"/>
        <v>0</v>
      </c>
      <c r="X778" s="1496"/>
      <c r="Y778" s="1444"/>
    </row>
    <row r="779" spans="1:25" ht="12.75" hidden="1">
      <c r="A779" s="1497"/>
      <c r="B779" s="1513" t="s">
        <v>961</v>
      </c>
      <c r="C779" s="1457"/>
      <c r="D779" s="1457">
        <f t="shared" si="230"/>
        <v>0</v>
      </c>
      <c r="E779" s="1458">
        <v>83000</v>
      </c>
      <c r="F779" s="1459">
        <f t="shared" si="224"/>
        <v>0</v>
      </c>
      <c r="G779" s="1499" t="e">
        <f t="shared" si="227"/>
        <v>#DIV/0!</v>
      </c>
      <c r="H779" s="1499" t="e">
        <f t="shared" si="226"/>
        <v>#DIV/0!</v>
      </c>
      <c r="I779" s="1450"/>
      <c r="J779" s="1461"/>
      <c r="K779" s="1457"/>
      <c r="L779" s="1457"/>
      <c r="M779" s="1457"/>
      <c r="N779" s="1457"/>
      <c r="O779" s="1457"/>
      <c r="P779" s="1462">
        <f t="shared" si="229"/>
        <v>0</v>
      </c>
      <c r="Q779" s="1495"/>
      <c r="R779" s="1461"/>
      <c r="S779" s="1457"/>
      <c r="T779" s="1457"/>
      <c r="U779" s="1457"/>
      <c r="V779" s="1457"/>
      <c r="W779" s="1462">
        <f t="shared" si="231"/>
        <v>0</v>
      </c>
      <c r="X779" s="1496"/>
      <c r="Y779" s="1444"/>
    </row>
    <row r="780" spans="1:25" ht="12.75" hidden="1">
      <c r="A780" s="1497"/>
      <c r="B780" s="1513" t="s">
        <v>962</v>
      </c>
      <c r="C780" s="1457"/>
      <c r="D780" s="1457">
        <f t="shared" si="230"/>
        <v>0</v>
      </c>
      <c r="E780" s="1458">
        <v>590000</v>
      </c>
      <c r="F780" s="1459">
        <f t="shared" si="224"/>
        <v>0</v>
      </c>
      <c r="G780" s="1499" t="e">
        <f t="shared" si="227"/>
        <v>#DIV/0!</v>
      </c>
      <c r="H780" s="1499" t="e">
        <f t="shared" si="226"/>
        <v>#DIV/0!</v>
      </c>
      <c r="I780" s="1450"/>
      <c r="J780" s="1461"/>
      <c r="K780" s="1457"/>
      <c r="L780" s="1457"/>
      <c r="M780" s="1457"/>
      <c r="N780" s="1457"/>
      <c r="O780" s="1457"/>
      <c r="P780" s="1462">
        <f t="shared" si="229"/>
        <v>0</v>
      </c>
      <c r="Q780" s="1495"/>
      <c r="R780" s="1461"/>
      <c r="S780" s="1457"/>
      <c r="T780" s="1457"/>
      <c r="U780" s="1457"/>
      <c r="V780" s="1457"/>
      <c r="W780" s="1462">
        <f t="shared" si="231"/>
        <v>0</v>
      </c>
      <c r="X780" s="1496"/>
      <c r="Y780" s="1444"/>
    </row>
    <row r="781" spans="1:25" ht="12.75" hidden="1">
      <c r="A781" s="1497"/>
      <c r="B781" s="1513" t="s">
        <v>963</v>
      </c>
      <c r="C781" s="1457"/>
      <c r="D781" s="1457">
        <f t="shared" si="230"/>
        <v>0</v>
      </c>
      <c r="E781" s="1458">
        <v>161100</v>
      </c>
      <c r="F781" s="1459">
        <f t="shared" si="224"/>
        <v>0</v>
      </c>
      <c r="G781" s="1499" t="e">
        <f t="shared" si="227"/>
        <v>#DIV/0!</v>
      </c>
      <c r="H781" s="1499" t="e">
        <f t="shared" si="226"/>
        <v>#DIV/0!</v>
      </c>
      <c r="I781" s="1450"/>
      <c r="J781" s="1461"/>
      <c r="K781" s="1457"/>
      <c r="L781" s="1457"/>
      <c r="M781" s="1457"/>
      <c r="N781" s="1457"/>
      <c r="O781" s="1457"/>
      <c r="P781" s="1462">
        <f t="shared" si="229"/>
        <v>0</v>
      </c>
      <c r="Q781" s="1495"/>
      <c r="R781" s="1461"/>
      <c r="S781" s="1457"/>
      <c r="T781" s="1457"/>
      <c r="U781" s="1457"/>
      <c r="V781" s="1457"/>
      <c r="W781" s="1462">
        <f t="shared" si="231"/>
        <v>0</v>
      </c>
      <c r="X781" s="1496"/>
      <c r="Y781" s="1444"/>
    </row>
    <row r="782" spans="1:25" s="618" customFormat="1" ht="12.75" hidden="1">
      <c r="A782" s="1521"/>
      <c r="B782" s="1522" t="s">
        <v>964</v>
      </c>
      <c r="C782" s="1523"/>
      <c r="D782" s="1457">
        <f t="shared" si="230"/>
        <v>0</v>
      </c>
      <c r="E782" s="1543">
        <v>6470</v>
      </c>
      <c r="F782" s="1459">
        <f t="shared" si="224"/>
        <v>0</v>
      </c>
      <c r="G782" s="1499" t="e">
        <f t="shared" si="227"/>
        <v>#DIV/0!</v>
      </c>
      <c r="H782" s="1499" t="e">
        <f t="shared" si="226"/>
        <v>#DIV/0!</v>
      </c>
      <c r="I782" s="1450"/>
      <c r="J782" s="1526"/>
      <c r="K782" s="1523"/>
      <c r="L782" s="1523"/>
      <c r="M782" s="1523"/>
      <c r="N782" s="1523"/>
      <c r="O782" s="1523"/>
      <c r="P782" s="1462">
        <f t="shared" si="229"/>
        <v>0</v>
      </c>
      <c r="Q782" s="1528"/>
      <c r="R782" s="1526"/>
      <c r="S782" s="1523"/>
      <c r="T782" s="1523"/>
      <c r="U782" s="1523"/>
      <c r="V782" s="1523"/>
      <c r="W782" s="1462">
        <f t="shared" si="231"/>
        <v>0</v>
      </c>
      <c r="X782" s="1529"/>
      <c r="Y782" s="1444"/>
    </row>
    <row r="783" spans="1:25" s="618" customFormat="1" ht="24" hidden="1">
      <c r="A783" s="1521"/>
      <c r="B783" s="1522" t="s">
        <v>965</v>
      </c>
      <c r="C783" s="1523"/>
      <c r="D783" s="1457">
        <f t="shared" si="230"/>
        <v>0</v>
      </c>
      <c r="E783" s="1543">
        <v>4200</v>
      </c>
      <c r="F783" s="1459">
        <f t="shared" si="224"/>
        <v>0</v>
      </c>
      <c r="G783" s="1499" t="e">
        <f t="shared" si="227"/>
        <v>#DIV/0!</v>
      </c>
      <c r="H783" s="1499" t="e">
        <f t="shared" si="226"/>
        <v>#DIV/0!</v>
      </c>
      <c r="I783" s="1450"/>
      <c r="J783" s="1526"/>
      <c r="K783" s="1523"/>
      <c r="L783" s="1523"/>
      <c r="M783" s="1523"/>
      <c r="N783" s="1523"/>
      <c r="O783" s="1523"/>
      <c r="P783" s="1462">
        <f t="shared" si="229"/>
        <v>0</v>
      </c>
      <c r="Q783" s="1528"/>
      <c r="R783" s="1526"/>
      <c r="S783" s="1523"/>
      <c r="T783" s="1523"/>
      <c r="U783" s="1523"/>
      <c r="V783" s="1523"/>
      <c r="W783" s="1462">
        <f t="shared" si="231"/>
        <v>0</v>
      </c>
      <c r="X783" s="1529"/>
      <c r="Y783" s="1444"/>
    </row>
    <row r="784" spans="1:25" s="618" customFormat="1" ht="12.75" hidden="1">
      <c r="A784" s="1521"/>
      <c r="B784" s="1522" t="s">
        <v>966</v>
      </c>
      <c r="C784" s="1523"/>
      <c r="D784" s="1457">
        <f t="shared" si="230"/>
        <v>0</v>
      </c>
      <c r="E784" s="1543">
        <v>6000</v>
      </c>
      <c r="F784" s="1459">
        <f t="shared" si="224"/>
        <v>0</v>
      </c>
      <c r="G784" s="1499" t="e">
        <f t="shared" si="227"/>
        <v>#DIV/0!</v>
      </c>
      <c r="H784" s="1499" t="e">
        <f t="shared" si="226"/>
        <v>#DIV/0!</v>
      </c>
      <c r="I784" s="1450"/>
      <c r="J784" s="1526"/>
      <c r="K784" s="1523"/>
      <c r="L784" s="1523"/>
      <c r="M784" s="1523"/>
      <c r="N784" s="1523"/>
      <c r="O784" s="1523"/>
      <c r="P784" s="1462">
        <f t="shared" si="229"/>
        <v>0</v>
      </c>
      <c r="Q784" s="1528"/>
      <c r="R784" s="1526"/>
      <c r="S784" s="1523"/>
      <c r="T784" s="1523"/>
      <c r="U784" s="1523"/>
      <c r="V784" s="1523"/>
      <c r="W784" s="1462">
        <f t="shared" si="231"/>
        <v>0</v>
      </c>
      <c r="X784" s="1529"/>
      <c r="Y784" s="1444"/>
    </row>
    <row r="785" spans="1:25" s="618" customFormat="1" ht="12.75">
      <c r="A785" s="1521"/>
      <c r="B785" s="1522" t="s">
        <v>967</v>
      </c>
      <c r="C785" s="1523">
        <v>26000</v>
      </c>
      <c r="D785" s="1457">
        <f t="shared" si="230"/>
        <v>0</v>
      </c>
      <c r="E785" s="1543">
        <v>14000</v>
      </c>
      <c r="F785" s="1544">
        <f t="shared" si="224"/>
        <v>0</v>
      </c>
      <c r="G785" s="1538">
        <f t="shared" si="227"/>
        <v>0</v>
      </c>
      <c r="H785" s="1538"/>
      <c r="I785" s="1450"/>
      <c r="J785" s="1526"/>
      <c r="K785" s="1523"/>
      <c r="L785" s="1523"/>
      <c r="M785" s="1523"/>
      <c r="N785" s="1523"/>
      <c r="O785" s="1523"/>
      <c r="P785" s="1527">
        <f t="shared" si="229"/>
        <v>0</v>
      </c>
      <c r="Q785" s="1528"/>
      <c r="R785" s="1526"/>
      <c r="S785" s="1523"/>
      <c r="T785" s="1523"/>
      <c r="U785" s="1523"/>
      <c r="V785" s="1523"/>
      <c r="W785" s="1462">
        <f t="shared" si="231"/>
        <v>0</v>
      </c>
      <c r="X785" s="1529"/>
      <c r="Y785" s="1444"/>
    </row>
    <row r="786" spans="1:25" s="571" customFormat="1" ht="12.75">
      <c r="A786" s="1497">
        <v>4300</v>
      </c>
      <c r="B786" s="1513" t="s">
        <v>564</v>
      </c>
      <c r="C786" s="1457">
        <f>SUM(C787:C803)</f>
        <v>1073000</v>
      </c>
      <c r="D786" s="1457">
        <f t="shared" si="230"/>
        <v>692826</v>
      </c>
      <c r="E786" s="1549">
        <f>SUM(E787:E803)</f>
        <v>6039500</v>
      </c>
      <c r="F786" s="1457">
        <f>SUM(F787:F803)</f>
        <v>1435300</v>
      </c>
      <c r="G786" s="1499">
        <f t="shared" si="227"/>
        <v>133.76514445479964</v>
      </c>
      <c r="H786" s="1499">
        <f t="shared" si="226"/>
        <v>207.16601282284438</v>
      </c>
      <c r="I786" s="1462"/>
      <c r="J786" s="1461">
        <f aca="true" t="shared" si="232" ref="J786:W786">SUM(J787:J803)</f>
        <v>615350</v>
      </c>
      <c r="K786" s="1457">
        <f t="shared" si="232"/>
        <v>935000</v>
      </c>
      <c r="L786" s="1457">
        <f t="shared" si="232"/>
        <v>0</v>
      </c>
      <c r="M786" s="1457">
        <f t="shared" si="232"/>
        <v>0</v>
      </c>
      <c r="N786" s="1457">
        <f t="shared" si="232"/>
        <v>0</v>
      </c>
      <c r="O786" s="1457">
        <f t="shared" si="232"/>
        <v>0</v>
      </c>
      <c r="P786" s="1462">
        <f t="shared" si="232"/>
        <v>935000</v>
      </c>
      <c r="Q786" s="1686" t="e">
        <f t="shared" si="232"/>
        <v>#DIV/0!</v>
      </c>
      <c r="R786" s="1461">
        <f t="shared" si="232"/>
        <v>77476</v>
      </c>
      <c r="S786" s="1457">
        <f t="shared" si="232"/>
        <v>500300</v>
      </c>
      <c r="T786" s="1457">
        <f t="shared" si="232"/>
        <v>0</v>
      </c>
      <c r="U786" s="1457">
        <f t="shared" si="232"/>
        <v>0</v>
      </c>
      <c r="V786" s="1457">
        <f t="shared" si="232"/>
        <v>0</v>
      </c>
      <c r="W786" s="1462">
        <f t="shared" si="232"/>
        <v>500300</v>
      </c>
      <c r="X786" s="1496"/>
      <c r="Y786" s="1444"/>
    </row>
    <row r="787" spans="1:25" s="618" customFormat="1" ht="24">
      <c r="A787" s="1521"/>
      <c r="B787" s="1522" t="s">
        <v>968</v>
      </c>
      <c r="C787" s="1523"/>
      <c r="D787" s="1523">
        <f t="shared" si="230"/>
        <v>8640</v>
      </c>
      <c r="E787" s="1543">
        <v>844000</v>
      </c>
      <c r="F787" s="1544">
        <f aca="true" t="shared" si="233" ref="F787:F815">P787+W787</f>
        <v>100000</v>
      </c>
      <c r="G787" s="1538"/>
      <c r="H787" s="1538">
        <f t="shared" si="226"/>
        <v>1157.4074074074074</v>
      </c>
      <c r="I787" s="1530"/>
      <c r="J787" s="1526">
        <v>8640</v>
      </c>
      <c r="K787" s="1523"/>
      <c r="L787" s="1523"/>
      <c r="M787" s="1523"/>
      <c r="N787" s="1523"/>
      <c r="O787" s="1523"/>
      <c r="P787" s="1527"/>
      <c r="Q787" s="1528"/>
      <c r="R787" s="1526"/>
      <c r="S787" s="1523">
        <f>600000-500000</f>
        <v>100000</v>
      </c>
      <c r="T787" s="1523"/>
      <c r="U787" s="1523"/>
      <c r="V787" s="1523"/>
      <c r="W787" s="1527">
        <f t="shared" si="231"/>
        <v>100000</v>
      </c>
      <c r="X787" s="1529"/>
      <c r="Y787" s="1305"/>
    </row>
    <row r="788" spans="1:25" s="618" customFormat="1" ht="12.75">
      <c r="A788" s="1521"/>
      <c r="B788" s="1522" t="s">
        <v>969</v>
      </c>
      <c r="C788" s="1523">
        <v>2500</v>
      </c>
      <c r="D788" s="1523">
        <f t="shared" si="230"/>
        <v>0</v>
      </c>
      <c r="E788" s="1543">
        <v>0</v>
      </c>
      <c r="F788" s="1544">
        <f t="shared" si="233"/>
        <v>0</v>
      </c>
      <c r="G788" s="1538">
        <f t="shared" si="227"/>
        <v>0</v>
      </c>
      <c r="H788" s="1538"/>
      <c r="I788" s="1530"/>
      <c r="J788" s="1526"/>
      <c r="K788" s="1523"/>
      <c r="L788" s="1523"/>
      <c r="M788" s="1523"/>
      <c r="N788" s="1523"/>
      <c r="O788" s="1523"/>
      <c r="P788" s="1527">
        <f t="shared" si="229"/>
        <v>0</v>
      </c>
      <c r="Q788" s="1528"/>
      <c r="R788" s="1526"/>
      <c r="S788" s="1523"/>
      <c r="T788" s="1523"/>
      <c r="U788" s="1523"/>
      <c r="V788" s="1523"/>
      <c r="W788" s="1527">
        <f t="shared" si="231"/>
        <v>0</v>
      </c>
      <c r="X788" s="1529" t="e">
        <f>W788/R788*100</f>
        <v>#DIV/0!</v>
      </c>
      <c r="Y788" s="1305"/>
    </row>
    <row r="789" spans="1:25" s="618" customFormat="1" ht="12.75" hidden="1">
      <c r="A789" s="1521"/>
      <c r="B789" s="1522" t="s">
        <v>970</v>
      </c>
      <c r="C789" s="1523"/>
      <c r="D789" s="1523">
        <f t="shared" si="230"/>
        <v>0</v>
      </c>
      <c r="E789" s="1543">
        <v>50000</v>
      </c>
      <c r="F789" s="1544">
        <f t="shared" si="233"/>
        <v>0</v>
      </c>
      <c r="G789" s="1538"/>
      <c r="H789" s="1538"/>
      <c r="I789" s="1530"/>
      <c r="J789" s="1526"/>
      <c r="K789" s="1523"/>
      <c r="L789" s="1523"/>
      <c r="M789" s="1523"/>
      <c r="N789" s="1523"/>
      <c r="O789" s="1523"/>
      <c r="P789" s="1527">
        <f t="shared" si="229"/>
        <v>0</v>
      </c>
      <c r="Q789" s="1528"/>
      <c r="R789" s="1526"/>
      <c r="S789" s="1523"/>
      <c r="T789" s="1523"/>
      <c r="U789" s="1523"/>
      <c r="V789" s="1523"/>
      <c r="W789" s="1527">
        <f t="shared" si="231"/>
        <v>0</v>
      </c>
      <c r="X789" s="1529"/>
      <c r="Y789" s="1305"/>
    </row>
    <row r="790" spans="1:25" s="618" customFormat="1" ht="24">
      <c r="A790" s="1521"/>
      <c r="B790" s="1522" t="s">
        <v>971</v>
      </c>
      <c r="C790" s="1523"/>
      <c r="D790" s="1523">
        <f t="shared" si="230"/>
        <v>0</v>
      </c>
      <c r="E790" s="1543">
        <v>30000</v>
      </c>
      <c r="F790" s="1544">
        <f t="shared" si="233"/>
        <v>30000</v>
      </c>
      <c r="G790" s="1538"/>
      <c r="H790" s="1538"/>
      <c r="I790" s="1530"/>
      <c r="J790" s="1526"/>
      <c r="K790" s="1523">
        <v>30000</v>
      </c>
      <c r="L790" s="1523"/>
      <c r="M790" s="1523"/>
      <c r="N790" s="1523"/>
      <c r="O790" s="1523"/>
      <c r="P790" s="1527">
        <f t="shared" si="229"/>
        <v>30000</v>
      </c>
      <c r="Q790" s="1528"/>
      <c r="R790" s="1526"/>
      <c r="S790" s="1523"/>
      <c r="T790" s="1523"/>
      <c r="U790" s="1523"/>
      <c r="V790" s="1523"/>
      <c r="W790" s="1527">
        <f>SUM(S790:V790)</f>
        <v>0</v>
      </c>
      <c r="X790" s="1529"/>
      <c r="Y790" s="1305"/>
    </row>
    <row r="791" spans="1:25" s="618" customFormat="1" ht="12.75">
      <c r="A791" s="1521"/>
      <c r="B791" s="1522" t="s">
        <v>972</v>
      </c>
      <c r="C791" s="1523">
        <v>665700</v>
      </c>
      <c r="D791" s="1523">
        <f t="shared" si="230"/>
        <v>622410</v>
      </c>
      <c r="E791" s="1543">
        <f>16800+1185800</f>
        <v>1202600</v>
      </c>
      <c r="F791" s="1544">
        <f t="shared" si="233"/>
        <v>916800</v>
      </c>
      <c r="G791" s="1538">
        <f t="shared" si="227"/>
        <v>137.7196935556557</v>
      </c>
      <c r="H791" s="1538">
        <f t="shared" si="226"/>
        <v>147.29840458861523</v>
      </c>
      <c r="I791" s="1530"/>
      <c r="J791" s="1526">
        <f>800100-193390</f>
        <v>606710</v>
      </c>
      <c r="K791" s="1523">
        <v>900000</v>
      </c>
      <c r="L791" s="1523"/>
      <c r="M791" s="1523"/>
      <c r="N791" s="1523"/>
      <c r="O791" s="1523"/>
      <c r="P791" s="1527">
        <f t="shared" si="229"/>
        <v>900000</v>
      </c>
      <c r="Q791" s="1528">
        <f>P791/J791*100</f>
        <v>148.3410525621796</v>
      </c>
      <c r="R791" s="1526">
        <v>15700</v>
      </c>
      <c r="S791" s="1523">
        <v>16800</v>
      </c>
      <c r="T791" s="1523"/>
      <c r="U791" s="1523"/>
      <c r="V791" s="1523"/>
      <c r="W791" s="1527">
        <f>SUM(S791:V791)</f>
        <v>16800</v>
      </c>
      <c r="X791" s="1529">
        <f>W791/R791*100</f>
        <v>107.00636942675159</v>
      </c>
      <c r="Y791" s="1305"/>
    </row>
    <row r="792" spans="1:25" s="618" customFormat="1" ht="12.75">
      <c r="A792" s="1521"/>
      <c r="B792" s="1522" t="s">
        <v>973</v>
      </c>
      <c r="C792" s="1523">
        <v>9200</v>
      </c>
      <c r="D792" s="1523">
        <f t="shared" si="230"/>
        <v>50400</v>
      </c>
      <c r="E792" s="1543">
        <f>3500+1200+6000</f>
        <v>10700</v>
      </c>
      <c r="F792" s="1544">
        <f t="shared" si="233"/>
        <v>7700</v>
      </c>
      <c r="G792" s="1538">
        <f t="shared" si="227"/>
        <v>83.69565217391305</v>
      </c>
      <c r="H792" s="1538">
        <f t="shared" si="226"/>
        <v>15.277777777777779</v>
      </c>
      <c r="I792" s="1530"/>
      <c r="J792" s="1526"/>
      <c r="K792" s="1523"/>
      <c r="L792" s="1523"/>
      <c r="M792" s="1523"/>
      <c r="N792" s="1523"/>
      <c r="O792" s="1523"/>
      <c r="P792" s="1527">
        <f t="shared" si="229"/>
        <v>0</v>
      </c>
      <c r="Q792" s="1528"/>
      <c r="R792" s="1526">
        <f>14200+36200</f>
        <v>50400</v>
      </c>
      <c r="S792" s="1523">
        <f>3500+1200+6000-3000</f>
        <v>7700</v>
      </c>
      <c r="T792" s="1523"/>
      <c r="U792" s="1523"/>
      <c r="V792" s="1523"/>
      <c r="W792" s="1527">
        <f>SUM(S792:V792)</f>
        <v>7700</v>
      </c>
      <c r="X792" s="1529">
        <f>W792/R792*100</f>
        <v>15.277777777777779</v>
      </c>
      <c r="Y792" s="1305"/>
    </row>
    <row r="793" spans="1:25" s="618" customFormat="1" ht="24">
      <c r="A793" s="1521"/>
      <c r="B793" s="1522" t="s">
        <v>974</v>
      </c>
      <c r="C793" s="1523"/>
      <c r="D793" s="1523">
        <f t="shared" si="230"/>
        <v>0</v>
      </c>
      <c r="E793" s="1543">
        <v>261300</v>
      </c>
      <c r="F793" s="1544">
        <f t="shared" si="233"/>
        <v>261300</v>
      </c>
      <c r="G793" s="1538"/>
      <c r="H793" s="1538"/>
      <c r="I793" s="1530"/>
      <c r="J793" s="1526"/>
      <c r="K793" s="1523"/>
      <c r="L793" s="1523"/>
      <c r="M793" s="1523"/>
      <c r="N793" s="1523"/>
      <c r="O793" s="1523"/>
      <c r="P793" s="1527">
        <f t="shared" si="229"/>
        <v>0</v>
      </c>
      <c r="Q793" s="1528" t="e">
        <f>P793/J793*100</f>
        <v>#DIV/0!</v>
      </c>
      <c r="R793" s="1526"/>
      <c r="S793" s="1523">
        <v>261300</v>
      </c>
      <c r="T793" s="1523"/>
      <c r="U793" s="1523"/>
      <c r="V793" s="1523"/>
      <c r="W793" s="1527">
        <f aca="true" t="shared" si="234" ref="W793:W816">SUM(S793:V793)</f>
        <v>261300</v>
      </c>
      <c r="X793" s="1529"/>
      <c r="Y793" s="1305"/>
    </row>
    <row r="794" spans="1:25" s="618" customFormat="1" ht="12.75">
      <c r="A794" s="1521"/>
      <c r="B794" s="1522" t="s">
        <v>975</v>
      </c>
      <c r="C794" s="1523">
        <v>19000</v>
      </c>
      <c r="D794" s="1523">
        <f t="shared" si="230"/>
        <v>3616</v>
      </c>
      <c r="E794" s="1543">
        <f>20000+63900</f>
        <v>83900</v>
      </c>
      <c r="F794" s="1544">
        <f t="shared" si="233"/>
        <v>7500</v>
      </c>
      <c r="G794" s="1538">
        <f t="shared" si="227"/>
        <v>39.473684210526315</v>
      </c>
      <c r="H794" s="1538">
        <f t="shared" si="226"/>
        <v>207.41150442477877</v>
      </c>
      <c r="I794" s="1530"/>
      <c r="J794" s="1526"/>
      <c r="K794" s="1523">
        <v>5000</v>
      </c>
      <c r="L794" s="1523"/>
      <c r="M794" s="1523"/>
      <c r="N794" s="1523"/>
      <c r="O794" s="1523"/>
      <c r="P794" s="1527">
        <f t="shared" si="229"/>
        <v>5000</v>
      </c>
      <c r="Q794" s="1528" t="e">
        <f>P794/J794*100</f>
        <v>#DIV/0!</v>
      </c>
      <c r="R794" s="1526">
        <v>3616</v>
      </c>
      <c r="S794" s="1523">
        <f>10000-7500</f>
        <v>2500</v>
      </c>
      <c r="T794" s="1523"/>
      <c r="U794" s="1523"/>
      <c r="V794" s="1523"/>
      <c r="W794" s="1527">
        <f t="shared" si="234"/>
        <v>2500</v>
      </c>
      <c r="X794" s="1529"/>
      <c r="Y794" s="1305"/>
    </row>
    <row r="795" spans="1:25" s="618" customFormat="1" ht="12.75">
      <c r="A795" s="1521"/>
      <c r="B795" s="1522" t="s">
        <v>976</v>
      </c>
      <c r="C795" s="1523">
        <v>150000</v>
      </c>
      <c r="D795" s="1523">
        <f t="shared" si="230"/>
        <v>0</v>
      </c>
      <c r="E795" s="1543">
        <v>93400</v>
      </c>
      <c r="F795" s="1544">
        <f t="shared" si="233"/>
        <v>90000</v>
      </c>
      <c r="G795" s="1538">
        <f t="shared" si="227"/>
        <v>60</v>
      </c>
      <c r="H795" s="1538"/>
      <c r="I795" s="1530"/>
      <c r="J795" s="1526"/>
      <c r="K795" s="1523"/>
      <c r="L795" s="1523"/>
      <c r="M795" s="1523"/>
      <c r="N795" s="1523"/>
      <c r="O795" s="1523"/>
      <c r="P795" s="1527">
        <f t="shared" si="229"/>
        <v>0</v>
      </c>
      <c r="Q795" s="1528"/>
      <c r="R795" s="1526">
        <f>18200-18200</f>
        <v>0</v>
      </c>
      <c r="S795" s="1523">
        <v>90000</v>
      </c>
      <c r="T795" s="1523"/>
      <c r="U795" s="1523"/>
      <c r="V795" s="1523"/>
      <c r="W795" s="1527">
        <f t="shared" si="234"/>
        <v>90000</v>
      </c>
      <c r="X795" s="1529"/>
      <c r="Y795" s="1305"/>
    </row>
    <row r="796" spans="1:25" s="618" customFormat="1" ht="24">
      <c r="A796" s="1521"/>
      <c r="B796" s="1522" t="s">
        <v>977</v>
      </c>
      <c r="C796" s="1523">
        <v>12000</v>
      </c>
      <c r="D796" s="1523">
        <f t="shared" si="230"/>
        <v>0</v>
      </c>
      <c r="E796" s="1543">
        <v>12000</v>
      </c>
      <c r="F796" s="1544">
        <f t="shared" si="233"/>
        <v>12000</v>
      </c>
      <c r="G796" s="1538">
        <f t="shared" si="227"/>
        <v>100</v>
      </c>
      <c r="H796" s="1538"/>
      <c r="I796" s="1530"/>
      <c r="J796" s="1526"/>
      <c r="K796" s="1523"/>
      <c r="L796" s="1523"/>
      <c r="M796" s="1523"/>
      <c r="N796" s="1523"/>
      <c r="O796" s="1523"/>
      <c r="P796" s="1527">
        <f t="shared" si="229"/>
        <v>0</v>
      </c>
      <c r="Q796" s="1528" t="e">
        <f>P796/J796*100</f>
        <v>#DIV/0!</v>
      </c>
      <c r="R796" s="1526"/>
      <c r="S796" s="1523">
        <v>12000</v>
      </c>
      <c r="T796" s="1523"/>
      <c r="U796" s="1523"/>
      <c r="V796" s="1523"/>
      <c r="W796" s="1527">
        <f t="shared" si="234"/>
        <v>12000</v>
      </c>
      <c r="X796" s="1529"/>
      <c r="Y796" s="1305"/>
    </row>
    <row r="797" spans="1:25" s="618" customFormat="1" ht="12.75">
      <c r="A797" s="1521"/>
      <c r="B797" s="1522" t="s">
        <v>978</v>
      </c>
      <c r="C797" s="1523">
        <v>21600</v>
      </c>
      <c r="D797" s="1523">
        <f t="shared" si="230"/>
        <v>0</v>
      </c>
      <c r="E797" s="1543">
        <v>21600</v>
      </c>
      <c r="F797" s="1544">
        <f t="shared" si="233"/>
        <v>0</v>
      </c>
      <c r="G797" s="1538">
        <f t="shared" si="227"/>
        <v>0</v>
      </c>
      <c r="H797" s="1538"/>
      <c r="I797" s="1530"/>
      <c r="J797" s="1526"/>
      <c r="K797" s="1523"/>
      <c r="L797" s="1523"/>
      <c r="M797" s="1523"/>
      <c r="N797" s="1523"/>
      <c r="O797" s="1523"/>
      <c r="P797" s="1527">
        <f t="shared" si="229"/>
        <v>0</v>
      </c>
      <c r="Q797" s="1528"/>
      <c r="R797" s="1526">
        <f>21600-21600</f>
        <v>0</v>
      </c>
      <c r="S797" s="1523">
        <f>10000-10000</f>
        <v>0</v>
      </c>
      <c r="T797" s="1523"/>
      <c r="U797" s="1523"/>
      <c r="V797" s="1523"/>
      <c r="W797" s="1527">
        <f t="shared" si="234"/>
        <v>0</v>
      </c>
      <c r="X797" s="1529"/>
      <c r="Y797" s="1305"/>
    </row>
    <row r="798" spans="1:25" s="618" customFormat="1" ht="36" hidden="1">
      <c r="A798" s="1521"/>
      <c r="B798" s="1522" t="s">
        <v>979</v>
      </c>
      <c r="C798" s="1523"/>
      <c r="D798" s="1523">
        <f t="shared" si="230"/>
        <v>0</v>
      </c>
      <c r="E798" s="1543">
        <v>3400000</v>
      </c>
      <c r="F798" s="1544">
        <f t="shared" si="233"/>
        <v>0</v>
      </c>
      <c r="G798" s="1538"/>
      <c r="H798" s="1538"/>
      <c r="I798" s="1530"/>
      <c r="J798" s="1526"/>
      <c r="K798" s="1523"/>
      <c r="L798" s="1523"/>
      <c r="M798" s="1523"/>
      <c r="N798" s="1523"/>
      <c r="O798" s="1523"/>
      <c r="P798" s="1527"/>
      <c r="Q798" s="1528"/>
      <c r="R798" s="1526"/>
      <c r="S798" s="1523"/>
      <c r="T798" s="1523"/>
      <c r="U798" s="1523"/>
      <c r="V798" s="1523"/>
      <c r="W798" s="1527">
        <f t="shared" si="234"/>
        <v>0</v>
      </c>
      <c r="X798" s="1529"/>
      <c r="Y798" s="1305"/>
    </row>
    <row r="799" spans="1:25" s="618" customFormat="1" ht="24">
      <c r="A799" s="1521"/>
      <c r="B799" s="1522" t="s">
        <v>980</v>
      </c>
      <c r="C799" s="1523">
        <v>168000</v>
      </c>
      <c r="D799" s="1523">
        <f t="shared" si="230"/>
        <v>0</v>
      </c>
      <c r="E799" s="1543">
        <v>0</v>
      </c>
      <c r="F799" s="1544">
        <f t="shared" si="233"/>
        <v>0</v>
      </c>
      <c r="G799" s="1538">
        <f t="shared" si="227"/>
        <v>0</v>
      </c>
      <c r="H799" s="1538"/>
      <c r="I799" s="1530"/>
      <c r="J799" s="1526"/>
      <c r="K799" s="1523"/>
      <c r="L799" s="1523"/>
      <c r="M799" s="1523"/>
      <c r="N799" s="1523"/>
      <c r="O799" s="1523"/>
      <c r="P799" s="1527"/>
      <c r="Q799" s="1528"/>
      <c r="R799" s="1526"/>
      <c r="S799" s="1523"/>
      <c r="T799" s="1523"/>
      <c r="U799" s="1523"/>
      <c r="V799" s="1523"/>
      <c r="W799" s="1527">
        <f t="shared" si="234"/>
        <v>0</v>
      </c>
      <c r="X799" s="1529"/>
      <c r="Y799" s="1305"/>
    </row>
    <row r="800" spans="1:25" s="618" customFormat="1" ht="12.75">
      <c r="A800" s="1521"/>
      <c r="B800" s="1522" t="s">
        <v>981</v>
      </c>
      <c r="C800" s="1523">
        <v>20000</v>
      </c>
      <c r="D800" s="1523">
        <f t="shared" si="230"/>
        <v>2760</v>
      </c>
      <c r="E800" s="1543">
        <f>5000+20000</f>
        <v>25000</v>
      </c>
      <c r="F800" s="1544">
        <f t="shared" si="233"/>
        <v>5000</v>
      </c>
      <c r="G800" s="1538">
        <f t="shared" si="227"/>
        <v>25</v>
      </c>
      <c r="H800" s="1538">
        <f t="shared" si="226"/>
        <v>181.15942028985506</v>
      </c>
      <c r="I800" s="1530"/>
      <c r="J800" s="1526"/>
      <c r="K800" s="1523"/>
      <c r="L800" s="1523"/>
      <c r="M800" s="1523"/>
      <c r="N800" s="1523"/>
      <c r="O800" s="1523"/>
      <c r="P800" s="1527">
        <f t="shared" si="229"/>
        <v>0</v>
      </c>
      <c r="Q800" s="1528"/>
      <c r="R800" s="1526">
        <v>2760</v>
      </c>
      <c r="S800" s="1523">
        <v>5000</v>
      </c>
      <c r="T800" s="1523"/>
      <c r="U800" s="1523"/>
      <c r="V800" s="1523"/>
      <c r="W800" s="1527">
        <f t="shared" si="234"/>
        <v>5000</v>
      </c>
      <c r="X800" s="1529"/>
      <c r="Y800" s="1305"/>
    </row>
    <row r="801" spans="1:25" s="618" customFormat="1" ht="36" hidden="1">
      <c r="A801" s="1521"/>
      <c r="B801" s="1522" t="s">
        <v>982</v>
      </c>
      <c r="C801" s="1523"/>
      <c r="D801" s="1523">
        <f t="shared" si="230"/>
        <v>0</v>
      </c>
      <c r="E801" s="1543"/>
      <c r="F801" s="1544">
        <f t="shared" si="233"/>
        <v>0</v>
      </c>
      <c r="G801" s="1538" t="e">
        <f aca="true" t="shared" si="235" ref="G801:G864">F801/C801*100</f>
        <v>#DIV/0!</v>
      </c>
      <c r="H801" s="1538" t="e">
        <f t="shared" si="226"/>
        <v>#DIV/0!</v>
      </c>
      <c r="I801" s="1530"/>
      <c r="J801" s="1526"/>
      <c r="K801" s="1523"/>
      <c r="L801" s="1523"/>
      <c r="M801" s="1523"/>
      <c r="N801" s="1523"/>
      <c r="O801" s="1523"/>
      <c r="P801" s="1527">
        <f t="shared" si="229"/>
        <v>0</v>
      </c>
      <c r="Q801" s="1528"/>
      <c r="R801" s="1526"/>
      <c r="S801" s="1523"/>
      <c r="T801" s="1523"/>
      <c r="U801" s="1523"/>
      <c r="V801" s="1523"/>
      <c r="W801" s="1527">
        <f t="shared" si="234"/>
        <v>0</v>
      </c>
      <c r="X801" s="1529"/>
      <c r="Y801" s="1305"/>
    </row>
    <row r="802" spans="1:25" s="618" customFormat="1" ht="24" hidden="1">
      <c r="A802" s="1521"/>
      <c r="B802" s="1522" t="s">
        <v>983</v>
      </c>
      <c r="C802" s="1523"/>
      <c r="D802" s="1523">
        <f t="shared" si="230"/>
        <v>0</v>
      </c>
      <c r="E802" s="1543"/>
      <c r="F802" s="1544">
        <f t="shared" si="233"/>
        <v>0</v>
      </c>
      <c r="G802" s="1538" t="e">
        <f t="shared" si="235"/>
        <v>#DIV/0!</v>
      </c>
      <c r="H802" s="1538" t="e">
        <f aca="true" t="shared" si="236" ref="H802:H866">F802/D802*100</f>
        <v>#DIV/0!</v>
      </c>
      <c r="I802" s="1530"/>
      <c r="J802" s="1526"/>
      <c r="K802" s="1523"/>
      <c r="L802" s="1523"/>
      <c r="M802" s="1523"/>
      <c r="N802" s="1523"/>
      <c r="O802" s="1523"/>
      <c r="P802" s="1527">
        <f t="shared" si="229"/>
        <v>0</v>
      </c>
      <c r="Q802" s="1528"/>
      <c r="R802" s="1526"/>
      <c r="S802" s="1523"/>
      <c r="T802" s="1523"/>
      <c r="U802" s="1523"/>
      <c r="V802" s="1523"/>
      <c r="W802" s="1527">
        <f t="shared" si="234"/>
        <v>0</v>
      </c>
      <c r="X802" s="1529"/>
      <c r="Y802" s="1305"/>
    </row>
    <row r="803" spans="1:25" s="618" customFormat="1" ht="24">
      <c r="A803" s="1521"/>
      <c r="B803" s="1522" t="s">
        <v>984</v>
      </c>
      <c r="C803" s="1523">
        <v>5000</v>
      </c>
      <c r="D803" s="1523">
        <f t="shared" si="230"/>
        <v>5000</v>
      </c>
      <c r="E803" s="1543">
        <v>5000</v>
      </c>
      <c r="F803" s="1544">
        <f t="shared" si="233"/>
        <v>5000</v>
      </c>
      <c r="G803" s="1538">
        <f t="shared" si="235"/>
        <v>100</v>
      </c>
      <c r="H803" s="1538">
        <f t="shared" si="236"/>
        <v>100</v>
      </c>
      <c r="I803" s="1530"/>
      <c r="J803" s="1526"/>
      <c r="K803" s="1523"/>
      <c r="L803" s="1523"/>
      <c r="M803" s="1523"/>
      <c r="N803" s="1523"/>
      <c r="O803" s="1523"/>
      <c r="P803" s="1527">
        <f t="shared" si="229"/>
        <v>0</v>
      </c>
      <c r="Q803" s="1528"/>
      <c r="R803" s="1526">
        <v>5000</v>
      </c>
      <c r="S803" s="1523">
        <v>5000</v>
      </c>
      <c r="T803" s="1523"/>
      <c r="U803" s="1523"/>
      <c r="V803" s="1523"/>
      <c r="W803" s="1527">
        <f t="shared" si="234"/>
        <v>5000</v>
      </c>
      <c r="X803" s="1529"/>
      <c r="Y803" s="1305"/>
    </row>
    <row r="804" spans="1:25" ht="24" hidden="1">
      <c r="A804" s="1497">
        <v>4301</v>
      </c>
      <c r="B804" s="1513" t="s">
        <v>985</v>
      </c>
      <c r="C804" s="1457"/>
      <c r="D804" s="1457">
        <f t="shared" si="230"/>
        <v>0</v>
      </c>
      <c r="E804" s="1458">
        <v>607020</v>
      </c>
      <c r="F804" s="1459">
        <f t="shared" si="233"/>
        <v>0</v>
      </c>
      <c r="G804" s="1499"/>
      <c r="H804" s="1499"/>
      <c r="I804" s="1450"/>
      <c r="J804" s="1461"/>
      <c r="K804" s="1457"/>
      <c r="L804" s="1457"/>
      <c r="M804" s="1457"/>
      <c r="N804" s="1457"/>
      <c r="O804" s="1457"/>
      <c r="P804" s="1462">
        <f t="shared" si="229"/>
        <v>0</v>
      </c>
      <c r="Q804" s="1495"/>
      <c r="R804" s="1461"/>
      <c r="S804" s="1457"/>
      <c r="T804" s="1457"/>
      <c r="U804" s="1457"/>
      <c r="V804" s="1457"/>
      <c r="W804" s="1462">
        <f t="shared" si="234"/>
        <v>0</v>
      </c>
      <c r="X804" s="1496"/>
      <c r="Y804" s="1444"/>
    </row>
    <row r="805" spans="1:25" ht="24" hidden="1">
      <c r="A805" s="1497">
        <v>4302</v>
      </c>
      <c r="B805" s="1513" t="s">
        <v>985</v>
      </c>
      <c r="C805" s="1457"/>
      <c r="D805" s="1457">
        <f t="shared" si="230"/>
        <v>0</v>
      </c>
      <c r="E805" s="1458">
        <v>380400</v>
      </c>
      <c r="F805" s="1459">
        <f t="shared" si="233"/>
        <v>0</v>
      </c>
      <c r="G805" s="1499"/>
      <c r="H805" s="1499"/>
      <c r="I805" s="1450"/>
      <c r="J805" s="1461"/>
      <c r="K805" s="1457"/>
      <c r="L805" s="1457"/>
      <c r="M805" s="1457"/>
      <c r="N805" s="1457"/>
      <c r="O805" s="1457"/>
      <c r="P805" s="1462">
        <f t="shared" si="229"/>
        <v>0</v>
      </c>
      <c r="Q805" s="1495"/>
      <c r="R805" s="1461"/>
      <c r="S805" s="1457"/>
      <c r="T805" s="1457"/>
      <c r="U805" s="1457"/>
      <c r="V805" s="1457"/>
      <c r="W805" s="1462">
        <f t="shared" si="234"/>
        <v>0</v>
      </c>
      <c r="X805" s="1496"/>
      <c r="Y805" s="1444"/>
    </row>
    <row r="806" spans="1:25" ht="17.25" customHeight="1">
      <c r="A806" s="1497">
        <v>4430</v>
      </c>
      <c r="B806" s="1513" t="s">
        <v>582</v>
      </c>
      <c r="C806" s="1457">
        <v>75000</v>
      </c>
      <c r="D806" s="1457">
        <f t="shared" si="230"/>
        <v>181800</v>
      </c>
      <c r="E806" s="1458">
        <f>100000+100000</f>
        <v>200000</v>
      </c>
      <c r="F806" s="1459">
        <f t="shared" si="233"/>
        <v>181000</v>
      </c>
      <c r="G806" s="1499">
        <f t="shared" si="235"/>
        <v>241.33333333333334</v>
      </c>
      <c r="H806" s="1499">
        <f t="shared" si="236"/>
        <v>99.55995599559955</v>
      </c>
      <c r="I806" s="1450"/>
      <c r="J806" s="1461">
        <f>80400+2500</f>
        <v>82900</v>
      </c>
      <c r="K806" s="1457">
        <v>81000</v>
      </c>
      <c r="L806" s="1457"/>
      <c r="M806" s="1457"/>
      <c r="N806" s="1457"/>
      <c r="O806" s="1457"/>
      <c r="P806" s="1462">
        <f t="shared" si="229"/>
        <v>81000</v>
      </c>
      <c r="Q806" s="1495">
        <f>P806/J806*100</f>
        <v>97.708082026538</v>
      </c>
      <c r="R806" s="1461">
        <f>95400+3500</f>
        <v>98900</v>
      </c>
      <c r="S806" s="1457">
        <v>100000</v>
      </c>
      <c r="T806" s="1457"/>
      <c r="U806" s="1457"/>
      <c r="V806" s="1457"/>
      <c r="W806" s="1462">
        <f t="shared" si="234"/>
        <v>100000</v>
      </c>
      <c r="X806" s="1496"/>
      <c r="Y806" s="1444"/>
    </row>
    <row r="807" spans="1:25" ht="17.25" customHeight="1">
      <c r="A807" s="1497">
        <v>4440</v>
      </c>
      <c r="B807" s="1513" t="s">
        <v>986</v>
      </c>
      <c r="C807" s="1457">
        <v>650000</v>
      </c>
      <c r="D807" s="1457">
        <f t="shared" si="230"/>
        <v>655578</v>
      </c>
      <c r="E807" s="1458">
        <f>318400+389200</f>
        <v>707600</v>
      </c>
      <c r="F807" s="1459">
        <f t="shared" si="233"/>
        <v>707600</v>
      </c>
      <c r="G807" s="1499">
        <f t="shared" si="235"/>
        <v>108.86153846153846</v>
      </c>
      <c r="H807" s="1499">
        <f t="shared" si="236"/>
        <v>107.93528763930456</v>
      </c>
      <c r="I807" s="1450"/>
      <c r="J807" s="1461">
        <v>354492</v>
      </c>
      <c r="K807" s="1457">
        <v>389200</v>
      </c>
      <c r="L807" s="1457"/>
      <c r="M807" s="1457"/>
      <c r="N807" s="1457"/>
      <c r="O807" s="1457"/>
      <c r="P807" s="1462">
        <f t="shared" si="229"/>
        <v>389200</v>
      </c>
      <c r="Q807" s="1495">
        <f>P807/J807*100</f>
        <v>109.79091206571658</v>
      </c>
      <c r="R807" s="1461">
        <v>301086</v>
      </c>
      <c r="S807" s="1457">
        <v>318400</v>
      </c>
      <c r="T807" s="1457"/>
      <c r="U807" s="1457"/>
      <c r="V807" s="1457"/>
      <c r="W807" s="1462">
        <f t="shared" si="234"/>
        <v>318400</v>
      </c>
      <c r="X807" s="1496">
        <f>W807/R807*100</f>
        <v>105.75051646373461</v>
      </c>
      <c r="Y807" s="1444"/>
    </row>
    <row r="808" spans="1:25" ht="36" hidden="1">
      <c r="A808" s="1497">
        <v>6050</v>
      </c>
      <c r="B808" s="1513" t="s">
        <v>987</v>
      </c>
      <c r="C808" s="1457"/>
      <c r="D808" s="1457">
        <f t="shared" si="230"/>
        <v>0</v>
      </c>
      <c r="E808" s="1458">
        <v>110000</v>
      </c>
      <c r="F808" s="1459">
        <f t="shared" si="233"/>
        <v>0</v>
      </c>
      <c r="G808" s="1499"/>
      <c r="H808" s="1499"/>
      <c r="I808" s="1450"/>
      <c r="J808" s="1461"/>
      <c r="K808" s="1457"/>
      <c r="L808" s="1457"/>
      <c r="M808" s="1457"/>
      <c r="N808" s="1457"/>
      <c r="O808" s="1457"/>
      <c r="P808" s="1462">
        <f t="shared" si="229"/>
        <v>0</v>
      </c>
      <c r="Q808" s="1495"/>
      <c r="R808" s="1461"/>
      <c r="S808" s="1457"/>
      <c r="T808" s="1457"/>
      <c r="U808" s="1457"/>
      <c r="V808" s="1457"/>
      <c r="W808" s="1462">
        <f t="shared" si="234"/>
        <v>0</v>
      </c>
      <c r="X808" s="1496"/>
      <c r="Y808" s="1444"/>
    </row>
    <row r="809" spans="1:25" ht="60" hidden="1">
      <c r="A809" s="1497">
        <v>6050</v>
      </c>
      <c r="B809" s="1513" t="s">
        <v>988</v>
      </c>
      <c r="C809" s="1457"/>
      <c r="D809" s="1457"/>
      <c r="E809" s="1458">
        <v>1962000</v>
      </c>
      <c r="F809" s="1459">
        <f t="shared" si="233"/>
        <v>0</v>
      </c>
      <c r="G809" s="1499"/>
      <c r="H809" s="1499"/>
      <c r="I809" s="1450"/>
      <c r="J809" s="1461"/>
      <c r="K809" s="1457"/>
      <c r="L809" s="1457"/>
      <c r="M809" s="1457"/>
      <c r="N809" s="1457"/>
      <c r="O809" s="1457"/>
      <c r="P809" s="1462">
        <f t="shared" si="229"/>
        <v>0</v>
      </c>
      <c r="Q809" s="1495"/>
      <c r="R809" s="1461"/>
      <c r="S809" s="1457"/>
      <c r="T809" s="1457"/>
      <c r="U809" s="1457"/>
      <c r="V809" s="1457"/>
      <c r="W809" s="1462">
        <f t="shared" si="234"/>
        <v>0</v>
      </c>
      <c r="X809" s="1496"/>
      <c r="Y809" s="1444"/>
    </row>
    <row r="810" spans="1:25" ht="24">
      <c r="A810" s="1497">
        <v>6050</v>
      </c>
      <c r="B810" s="1513" t="s">
        <v>892</v>
      </c>
      <c r="C810" s="1457"/>
      <c r="D810" s="1457">
        <f t="shared" si="230"/>
        <v>193100</v>
      </c>
      <c r="E810" s="1458">
        <f>4325600+3199400</f>
        <v>7525000</v>
      </c>
      <c r="F810" s="1459">
        <f t="shared" si="233"/>
        <v>1302500</v>
      </c>
      <c r="G810" s="1499"/>
      <c r="H810" s="1499">
        <f t="shared" si="236"/>
        <v>674.5209735888141</v>
      </c>
      <c r="I810" s="1450"/>
      <c r="J810" s="1461">
        <f>22400+11500+137500</f>
        <v>171400</v>
      </c>
      <c r="K810" s="1457"/>
      <c r="L810" s="1457">
        <f>630000-30000</f>
        <v>600000</v>
      </c>
      <c r="M810" s="1457"/>
      <c r="N810" s="1457"/>
      <c r="O810" s="1457"/>
      <c r="P810" s="1462">
        <f t="shared" si="229"/>
        <v>600000</v>
      </c>
      <c r="Q810" s="1495"/>
      <c r="R810" s="1461">
        <v>21700</v>
      </c>
      <c r="S810" s="1457"/>
      <c r="T810" s="1457">
        <v>702500</v>
      </c>
      <c r="U810" s="1457"/>
      <c r="V810" s="1457"/>
      <c r="W810" s="1462">
        <f t="shared" si="234"/>
        <v>702500</v>
      </c>
      <c r="X810" s="1496"/>
      <c r="Y810" s="1444"/>
    </row>
    <row r="811" spans="1:25" ht="24">
      <c r="A811" s="1497">
        <v>6060</v>
      </c>
      <c r="B811" s="1513" t="s">
        <v>989</v>
      </c>
      <c r="C811" s="1457"/>
      <c r="D811" s="1457">
        <f t="shared" si="230"/>
        <v>0</v>
      </c>
      <c r="E811" s="1458"/>
      <c r="F811" s="1459">
        <f t="shared" si="233"/>
        <v>10000</v>
      </c>
      <c r="G811" s="1499"/>
      <c r="H811" s="1499"/>
      <c r="I811" s="1450"/>
      <c r="J811" s="1461"/>
      <c r="K811" s="1457"/>
      <c r="L811" s="1457"/>
      <c r="M811" s="1457"/>
      <c r="N811" s="1457"/>
      <c r="O811" s="1457"/>
      <c r="P811" s="1462">
        <f t="shared" si="229"/>
        <v>0</v>
      </c>
      <c r="Q811" s="1495"/>
      <c r="R811" s="1461"/>
      <c r="S811" s="1457"/>
      <c r="T811" s="1457"/>
      <c r="U811" s="1457">
        <v>10000</v>
      </c>
      <c r="V811" s="1457"/>
      <c r="W811" s="1462">
        <f t="shared" si="234"/>
        <v>10000</v>
      </c>
      <c r="X811" s="1496"/>
      <c r="Y811" s="1444"/>
    </row>
    <row r="812" spans="1:25" ht="48">
      <c r="A812" s="1497">
        <v>6068</v>
      </c>
      <c r="B812" s="1513" t="s">
        <v>990</v>
      </c>
      <c r="C812" s="1457"/>
      <c r="D812" s="1457">
        <f t="shared" si="230"/>
        <v>502791</v>
      </c>
      <c r="E812" s="1458"/>
      <c r="F812" s="1459">
        <f t="shared" si="233"/>
        <v>0</v>
      </c>
      <c r="G812" s="1499"/>
      <c r="H812" s="1499">
        <f t="shared" si="236"/>
        <v>0</v>
      </c>
      <c r="I812" s="1450"/>
      <c r="J812" s="1461"/>
      <c r="K812" s="1457"/>
      <c r="L812" s="1457"/>
      <c r="M812" s="1457"/>
      <c r="N812" s="1457"/>
      <c r="O812" s="1457"/>
      <c r="P812" s="1462">
        <f t="shared" si="229"/>
        <v>0</v>
      </c>
      <c r="Q812" s="1495"/>
      <c r="R812" s="1461">
        <v>502791</v>
      </c>
      <c r="S812" s="1457"/>
      <c r="T812" s="1457"/>
      <c r="U812" s="1457"/>
      <c r="V812" s="1457"/>
      <c r="W812" s="1462">
        <f t="shared" si="234"/>
        <v>0</v>
      </c>
      <c r="X812" s="1496"/>
      <c r="Y812" s="1444"/>
    </row>
    <row r="813" spans="1:25" ht="48">
      <c r="A813" s="1497">
        <v>6069</v>
      </c>
      <c r="B813" s="1513" t="s">
        <v>990</v>
      </c>
      <c r="C813" s="1457"/>
      <c r="D813" s="1457">
        <f t="shared" si="230"/>
        <v>220000</v>
      </c>
      <c r="E813" s="1458"/>
      <c r="F813" s="1459">
        <f t="shared" si="233"/>
        <v>0</v>
      </c>
      <c r="G813" s="1499"/>
      <c r="H813" s="1499">
        <f t="shared" si="236"/>
        <v>0</v>
      </c>
      <c r="I813" s="1450"/>
      <c r="J813" s="1461"/>
      <c r="K813" s="1457"/>
      <c r="L813" s="1457"/>
      <c r="M813" s="1457"/>
      <c r="N813" s="1457"/>
      <c r="O813" s="1457"/>
      <c r="P813" s="1462">
        <f t="shared" si="229"/>
        <v>0</v>
      </c>
      <c r="Q813" s="1495"/>
      <c r="R813" s="1461">
        <f>194000+26000</f>
        <v>220000</v>
      </c>
      <c r="S813" s="1457"/>
      <c r="T813" s="1457"/>
      <c r="U813" s="1457"/>
      <c r="V813" s="1457"/>
      <c r="W813" s="1462">
        <f t="shared" si="234"/>
        <v>0</v>
      </c>
      <c r="X813" s="1496"/>
      <c r="Y813" s="1444"/>
    </row>
    <row r="814" spans="1:25" ht="36">
      <c r="A814" s="1497">
        <v>2540</v>
      </c>
      <c r="B814" s="1513" t="s">
        <v>991</v>
      </c>
      <c r="C814" s="1457">
        <v>30000</v>
      </c>
      <c r="D814" s="1457">
        <f>J814+R814</f>
        <v>30000</v>
      </c>
      <c r="E814" s="1458">
        <v>30000</v>
      </c>
      <c r="F814" s="1459">
        <f t="shared" si="233"/>
        <v>30000</v>
      </c>
      <c r="G814" s="1499">
        <f t="shared" si="235"/>
        <v>100</v>
      </c>
      <c r="H814" s="1499">
        <f t="shared" si="236"/>
        <v>100</v>
      </c>
      <c r="I814" s="1450"/>
      <c r="J814" s="1461">
        <v>30000</v>
      </c>
      <c r="K814" s="1457">
        <v>30000</v>
      </c>
      <c r="L814" s="1457"/>
      <c r="M814" s="1457"/>
      <c r="N814" s="1457"/>
      <c r="O814" s="1457"/>
      <c r="P814" s="1462">
        <f t="shared" si="229"/>
        <v>30000</v>
      </c>
      <c r="Q814" s="1495">
        <f>P814/J814*100</f>
        <v>100</v>
      </c>
      <c r="R814" s="1461"/>
      <c r="S814" s="1457"/>
      <c r="T814" s="1457"/>
      <c r="U814" s="1457"/>
      <c r="V814" s="1457"/>
      <c r="W814" s="1462">
        <f t="shared" si="234"/>
        <v>0</v>
      </c>
      <c r="X814" s="1496"/>
      <c r="Y814" s="1444"/>
    </row>
    <row r="815" spans="1:25" ht="12.75" hidden="1">
      <c r="A815" s="1485"/>
      <c r="B815" s="1513"/>
      <c r="C815" s="1478"/>
      <c r="D815" s="1457">
        <f>J815+R815</f>
        <v>0</v>
      </c>
      <c r="E815" s="1479"/>
      <c r="F815" s="1459">
        <f t="shared" si="233"/>
        <v>0</v>
      </c>
      <c r="G815" s="1609" t="e">
        <f t="shared" si="235"/>
        <v>#DIV/0!</v>
      </c>
      <c r="H815" s="1610" t="e">
        <f t="shared" si="236"/>
        <v>#DIV/0!</v>
      </c>
      <c r="I815" s="1486"/>
      <c r="J815" s="1483"/>
      <c r="K815" s="1478"/>
      <c r="L815" s="1478"/>
      <c r="M815" s="1478"/>
      <c r="N815" s="1478"/>
      <c r="O815" s="1478"/>
      <c r="P815" s="1462"/>
      <c r="Q815" s="1495"/>
      <c r="R815" s="1483"/>
      <c r="S815" s="1478"/>
      <c r="T815" s="1478"/>
      <c r="U815" s="1478"/>
      <c r="V815" s="1478"/>
      <c r="W815" s="1462">
        <f t="shared" si="234"/>
        <v>0</v>
      </c>
      <c r="X815" s="1496"/>
      <c r="Y815" s="1444"/>
    </row>
    <row r="816" spans="1:25" ht="48.75" thickBot="1">
      <c r="A816" s="1497">
        <v>2820</v>
      </c>
      <c r="B816" s="1513" t="s">
        <v>992</v>
      </c>
      <c r="C816" s="1457">
        <v>28000</v>
      </c>
      <c r="D816" s="1457">
        <f>J816+R816</f>
        <v>28000</v>
      </c>
      <c r="E816" s="1458">
        <v>28500</v>
      </c>
      <c r="F816" s="1459">
        <f>P816+W816</f>
        <v>28500</v>
      </c>
      <c r="G816" s="1499">
        <f t="shared" si="235"/>
        <v>101.78571428571428</v>
      </c>
      <c r="H816" s="1499">
        <f t="shared" si="236"/>
        <v>101.78571428571428</v>
      </c>
      <c r="I816" s="1450"/>
      <c r="J816" s="1461">
        <v>28000</v>
      </c>
      <c r="K816" s="1457">
        <v>28500</v>
      </c>
      <c r="L816" s="1457"/>
      <c r="M816" s="1457"/>
      <c r="N816" s="1457"/>
      <c r="O816" s="1457"/>
      <c r="P816" s="1462">
        <f>SUM(K816:N816)</f>
        <v>28500</v>
      </c>
      <c r="Q816" s="1495">
        <f>P816/J816*100</f>
        <v>101.78571428571428</v>
      </c>
      <c r="R816" s="1461"/>
      <c r="S816" s="1457"/>
      <c r="T816" s="1457"/>
      <c r="U816" s="1457"/>
      <c r="V816" s="1457"/>
      <c r="W816" s="1462">
        <f t="shared" si="234"/>
        <v>0</v>
      </c>
      <c r="X816" s="1496"/>
      <c r="Y816" s="1444"/>
    </row>
    <row r="817" spans="1:25" s="581" customFormat="1" ht="14.25" thickBot="1" thickTop="1">
      <c r="A817" s="1646">
        <v>803</v>
      </c>
      <c r="B817" s="1647" t="s">
        <v>993</v>
      </c>
      <c r="C817" s="1648">
        <f>C818+C824</f>
        <v>78500</v>
      </c>
      <c r="D817" s="1648">
        <f>D818+D824</f>
        <v>77370</v>
      </c>
      <c r="E817" s="1677">
        <f>E818+E824</f>
        <v>50988</v>
      </c>
      <c r="F817" s="1678">
        <f>F818+F824</f>
        <v>55988</v>
      </c>
      <c r="G817" s="1602">
        <f t="shared" si="235"/>
        <v>71.32229299363058</v>
      </c>
      <c r="H817" s="1603">
        <f t="shared" si="236"/>
        <v>72.36396536125113</v>
      </c>
      <c r="I817" s="1650">
        <f>F817/F$1426*100</f>
        <v>0.0204198289552292</v>
      </c>
      <c r="J817" s="1651">
        <f>J818+J824</f>
        <v>77370</v>
      </c>
      <c r="K817" s="1648">
        <f>K818+K824</f>
        <v>55988</v>
      </c>
      <c r="L817" s="1648">
        <f>L818+L824</f>
        <v>0</v>
      </c>
      <c r="M817" s="1648">
        <f>M818+M824</f>
        <v>0</v>
      </c>
      <c r="N817" s="1648">
        <f>N818+N824</f>
        <v>0</v>
      </c>
      <c r="O817" s="1648"/>
      <c r="P817" s="1652">
        <f>P818+P824</f>
        <v>55988</v>
      </c>
      <c r="Q817" s="1653">
        <f>P817/J817*100</f>
        <v>72.36396536125113</v>
      </c>
      <c r="R817" s="1651"/>
      <c r="S817" s="1648"/>
      <c r="T817" s="1648"/>
      <c r="U817" s="1648"/>
      <c r="V817" s="1648"/>
      <c r="W817" s="1652"/>
      <c r="X817" s="1443"/>
      <c r="Y817" s="1444"/>
    </row>
    <row r="818" spans="1:25" s="581" customFormat="1" ht="16.5" customHeight="1" thickTop="1">
      <c r="A818" s="1493">
        <v>80309</v>
      </c>
      <c r="B818" s="1506" t="s">
        <v>994</v>
      </c>
      <c r="C818" s="1447">
        <f>SUM(C819:C823)</f>
        <v>72500</v>
      </c>
      <c r="D818" s="1447">
        <f>SUM(D819:D823)</f>
        <v>66370</v>
      </c>
      <c r="E818" s="1448">
        <f>SUM(E819:E823)</f>
        <v>50988</v>
      </c>
      <c r="F818" s="1447">
        <f>SUM(F819:F823)</f>
        <v>50988</v>
      </c>
      <c r="G818" s="1474">
        <f t="shared" si="235"/>
        <v>70.32827586206896</v>
      </c>
      <c r="H818" s="1475">
        <f t="shared" si="236"/>
        <v>76.82386620461051</v>
      </c>
      <c r="I818" s="1672"/>
      <c r="J818" s="1449">
        <f>SUM(J819:J823)</f>
        <v>66370</v>
      </c>
      <c r="K818" s="1447">
        <f>SUM(K819:K823)</f>
        <v>50988</v>
      </c>
      <c r="L818" s="1447">
        <f>SUM(L819:L823)</f>
        <v>0</v>
      </c>
      <c r="M818" s="1447">
        <f>SUM(M819:M823)</f>
        <v>0</v>
      </c>
      <c r="N818" s="1447">
        <f>SUM(N819:N823)</f>
        <v>0</v>
      </c>
      <c r="O818" s="1447"/>
      <c r="P818" s="1447">
        <f>SUM(P819:P823)</f>
        <v>50988</v>
      </c>
      <c r="Q818" s="1654">
        <f>Q819+Q820+Q823</f>
        <v>77.7000777000777</v>
      </c>
      <c r="R818" s="1510"/>
      <c r="S818" s="1447"/>
      <c r="T818" s="1447"/>
      <c r="U818" s="1447"/>
      <c r="V818" s="1447"/>
      <c r="W818" s="1452"/>
      <c r="X818" s="1454"/>
      <c r="Y818" s="1444"/>
    </row>
    <row r="819" spans="1:25" ht="18" customHeight="1">
      <c r="A819" s="1497">
        <v>3210</v>
      </c>
      <c r="B819" s="1513" t="s">
        <v>995</v>
      </c>
      <c r="C819" s="1457">
        <v>10000</v>
      </c>
      <c r="D819" s="1457">
        <f>J819+R819</f>
        <v>12870</v>
      </c>
      <c r="E819" s="1458">
        <v>10000</v>
      </c>
      <c r="F819" s="1459">
        <f>P819+W819</f>
        <v>10000</v>
      </c>
      <c r="G819" s="1499">
        <f t="shared" si="235"/>
        <v>100</v>
      </c>
      <c r="H819" s="1499">
        <f t="shared" si="236"/>
        <v>77.7000777000777</v>
      </c>
      <c r="I819" s="1534"/>
      <c r="J819" s="1459">
        <v>12870</v>
      </c>
      <c r="K819" s="1457">
        <v>10000</v>
      </c>
      <c r="L819" s="1457"/>
      <c r="M819" s="1457"/>
      <c r="N819" s="1457"/>
      <c r="O819" s="1457"/>
      <c r="P819" s="1462">
        <f>SUM(K819:N819)</f>
        <v>10000</v>
      </c>
      <c r="Q819" s="1495">
        <f>P819/J819*100</f>
        <v>77.7000777000777</v>
      </c>
      <c r="R819" s="1461"/>
      <c r="S819" s="1457"/>
      <c r="T819" s="1457"/>
      <c r="U819" s="1457"/>
      <c r="V819" s="1457"/>
      <c r="W819" s="1462"/>
      <c r="X819" s="1496"/>
      <c r="Y819" s="1444"/>
    </row>
    <row r="820" spans="1:25" ht="18" customHeight="1">
      <c r="A820" s="1497">
        <v>3218</v>
      </c>
      <c r="B820" s="1513" t="s">
        <v>995</v>
      </c>
      <c r="C820" s="1457">
        <v>46875</v>
      </c>
      <c r="D820" s="1457">
        <f>J820+R820</f>
        <v>40125</v>
      </c>
      <c r="E820" s="1458">
        <v>27560</v>
      </c>
      <c r="F820" s="1459">
        <f>P820+W820</f>
        <v>27560</v>
      </c>
      <c r="G820" s="1499">
        <f t="shared" si="235"/>
        <v>58.794666666666664</v>
      </c>
      <c r="H820" s="1499">
        <f t="shared" si="236"/>
        <v>68.68535825545172</v>
      </c>
      <c r="I820" s="1534"/>
      <c r="J820" s="1514">
        <v>40125</v>
      </c>
      <c r="K820" s="1457">
        <v>27560</v>
      </c>
      <c r="L820" s="1457"/>
      <c r="M820" s="1457"/>
      <c r="N820" s="1457"/>
      <c r="O820" s="1457"/>
      <c r="P820" s="1462">
        <f>SUM(K820:N820)</f>
        <v>27560</v>
      </c>
      <c r="Q820" s="1495"/>
      <c r="R820" s="1461"/>
      <c r="S820" s="1457"/>
      <c r="T820" s="1457"/>
      <c r="U820" s="1457"/>
      <c r="V820" s="1457"/>
      <c r="W820" s="1462"/>
      <c r="X820" s="1496"/>
      <c r="Y820" s="1444"/>
    </row>
    <row r="821" spans="1:25" ht="18" customHeight="1">
      <c r="A821" s="1497">
        <v>3219</v>
      </c>
      <c r="B821" s="1513" t="s">
        <v>995</v>
      </c>
      <c r="C821" s="1457">
        <v>15625</v>
      </c>
      <c r="D821" s="1457">
        <f>J821+R821</f>
        <v>13375</v>
      </c>
      <c r="E821" s="1458">
        <v>12940</v>
      </c>
      <c r="F821" s="1459">
        <f>P821+W821</f>
        <v>12940</v>
      </c>
      <c r="G821" s="1499">
        <f t="shared" si="235"/>
        <v>82.816</v>
      </c>
      <c r="H821" s="1499">
        <f t="shared" si="236"/>
        <v>96.74766355140187</v>
      </c>
      <c r="I821" s="1534"/>
      <c r="J821" s="1514">
        <v>13375</v>
      </c>
      <c r="K821" s="1457">
        <v>12940</v>
      </c>
      <c r="L821" s="1457"/>
      <c r="M821" s="1457"/>
      <c r="N821" s="1457"/>
      <c r="O821" s="1457"/>
      <c r="P821" s="1462">
        <f>SUM(K821:N821)</f>
        <v>12940</v>
      </c>
      <c r="Q821" s="1495"/>
      <c r="R821" s="1461"/>
      <c r="S821" s="1457"/>
      <c r="T821" s="1457"/>
      <c r="U821" s="1457"/>
      <c r="V821" s="1457"/>
      <c r="W821" s="1462"/>
      <c r="X821" s="1496"/>
      <c r="Y821" s="1444"/>
    </row>
    <row r="822" spans="1:25" ht="18" customHeight="1">
      <c r="A822" s="1497">
        <v>4218</v>
      </c>
      <c r="B822" s="1513" t="s">
        <v>560</v>
      </c>
      <c r="C822" s="1457"/>
      <c r="D822" s="1457">
        <f>J822+R822</f>
        <v>0</v>
      </c>
      <c r="E822" s="1458">
        <v>332</v>
      </c>
      <c r="F822" s="1459">
        <f>P822+W822</f>
        <v>332</v>
      </c>
      <c r="G822" s="1499"/>
      <c r="H822" s="1499"/>
      <c r="I822" s="1534"/>
      <c r="J822" s="1514"/>
      <c r="K822" s="1457">
        <v>332</v>
      </c>
      <c r="L822" s="1457"/>
      <c r="M822" s="1457"/>
      <c r="N822" s="1457"/>
      <c r="O822" s="1457"/>
      <c r="P822" s="1462">
        <f>SUM(K822:N822)</f>
        <v>332</v>
      </c>
      <c r="Q822" s="1495"/>
      <c r="R822" s="1461"/>
      <c r="S822" s="1457"/>
      <c r="T822" s="1457"/>
      <c r="U822" s="1457"/>
      <c r="V822" s="1457"/>
      <c r="W822" s="1462"/>
      <c r="X822" s="1496"/>
      <c r="Y822" s="1444"/>
    </row>
    <row r="823" spans="1:25" ht="18" customHeight="1">
      <c r="A823" s="1497">
        <v>4219</v>
      </c>
      <c r="B823" s="1513" t="s">
        <v>560</v>
      </c>
      <c r="C823" s="1457"/>
      <c r="D823" s="1457">
        <f>J823+R823</f>
        <v>0</v>
      </c>
      <c r="E823" s="1458">
        <v>156</v>
      </c>
      <c r="F823" s="1459">
        <f>P823+W823</f>
        <v>156</v>
      </c>
      <c r="G823" s="1499"/>
      <c r="H823" s="1499"/>
      <c r="I823" s="1534"/>
      <c r="J823" s="1514"/>
      <c r="K823" s="1457">
        <v>156</v>
      </c>
      <c r="L823" s="1457"/>
      <c r="M823" s="1457"/>
      <c r="N823" s="1457"/>
      <c r="O823" s="1457"/>
      <c r="P823" s="1462">
        <f>SUM(K823:N823)</f>
        <v>156</v>
      </c>
      <c r="Q823" s="1495"/>
      <c r="R823" s="1461"/>
      <c r="S823" s="1457"/>
      <c r="T823" s="1457"/>
      <c r="U823" s="1457"/>
      <c r="V823" s="1457"/>
      <c r="W823" s="1462"/>
      <c r="X823" s="1496"/>
      <c r="Y823" s="1444"/>
    </row>
    <row r="824" spans="1:25" s="581" customFormat="1" ht="18.75" customHeight="1">
      <c r="A824" s="1516">
        <v>80395</v>
      </c>
      <c r="B824" s="1550" t="s">
        <v>209</v>
      </c>
      <c r="C824" s="1467">
        <f>SUM(C825:C826)</f>
        <v>6000</v>
      </c>
      <c r="D824" s="1467">
        <f>SUM(D825:D826)</f>
        <v>11000</v>
      </c>
      <c r="E824" s="1468">
        <f>SUM(E825:E826)</f>
        <v>0</v>
      </c>
      <c r="F824" s="1469">
        <f>SUM(F825:F826)</f>
        <v>5000</v>
      </c>
      <c r="G824" s="1531">
        <f t="shared" si="235"/>
        <v>83.33333333333334</v>
      </c>
      <c r="H824" s="1532">
        <f t="shared" si="236"/>
        <v>45.45454545454545</v>
      </c>
      <c r="I824" s="1534"/>
      <c r="J824" s="1469">
        <f>SUM(J825:J826)</f>
        <v>11000</v>
      </c>
      <c r="K824" s="1467">
        <f>SUM(K825:K826)</f>
        <v>5000</v>
      </c>
      <c r="L824" s="1467">
        <f>SUM(L825:L826)</f>
        <v>0</v>
      </c>
      <c r="M824" s="1467">
        <f>SUM(M825:M826)</f>
        <v>0</v>
      </c>
      <c r="N824" s="1467">
        <f>SUM(N825:N826)</f>
        <v>0</v>
      </c>
      <c r="O824" s="1467"/>
      <c r="P824" s="1471">
        <f>SUM(P825:P826)</f>
        <v>5000</v>
      </c>
      <c r="Q824" s="1453">
        <f>P824/J824*100</f>
        <v>45.45454545454545</v>
      </c>
      <c r="R824" s="1470"/>
      <c r="S824" s="1467"/>
      <c r="T824" s="1467"/>
      <c r="U824" s="1467"/>
      <c r="V824" s="1467"/>
      <c r="W824" s="1471"/>
      <c r="X824" s="1454"/>
      <c r="Y824" s="1444"/>
    </row>
    <row r="825" spans="1:25" ht="48">
      <c r="A825" s="1485">
        <v>2820</v>
      </c>
      <c r="B825" s="1502" t="s">
        <v>867</v>
      </c>
      <c r="C825" s="1478">
        <v>6000</v>
      </c>
      <c r="D825" s="1478">
        <f>J825+R825</f>
        <v>6000</v>
      </c>
      <c r="E825" s="1479">
        <v>0</v>
      </c>
      <c r="F825" s="1480">
        <f>P825+W825</f>
        <v>0</v>
      </c>
      <c r="G825" s="1499">
        <f t="shared" si="235"/>
        <v>0</v>
      </c>
      <c r="H825" s="1499">
        <f t="shared" si="236"/>
        <v>0</v>
      </c>
      <c r="I825" s="1534"/>
      <c r="J825" s="1480">
        <v>6000</v>
      </c>
      <c r="K825" s="1478"/>
      <c r="L825" s="1478"/>
      <c r="M825" s="1478"/>
      <c r="N825" s="1478"/>
      <c r="O825" s="1478"/>
      <c r="P825" s="1484">
        <f>SUM(K825:N825)</f>
        <v>0</v>
      </c>
      <c r="Q825" s="1662">
        <f>P825/J825*100</f>
        <v>0</v>
      </c>
      <c r="R825" s="1483"/>
      <c r="S825" s="1478"/>
      <c r="T825" s="1478"/>
      <c r="U825" s="1478"/>
      <c r="V825" s="1478"/>
      <c r="W825" s="1484"/>
      <c r="X825" s="1488"/>
      <c r="Y825" s="1444"/>
    </row>
    <row r="826" spans="1:25" ht="24.75" thickBot="1">
      <c r="A826" s="1598">
        <v>3040</v>
      </c>
      <c r="B826" s="1675" t="s">
        <v>791</v>
      </c>
      <c r="C826" s="1567"/>
      <c r="D826" s="1567">
        <f>J826+R826</f>
        <v>5000</v>
      </c>
      <c r="E826" s="1599"/>
      <c r="F826" s="1567">
        <f>P826+W826</f>
        <v>5000</v>
      </c>
      <c r="G826" s="1481"/>
      <c r="H826" s="1481">
        <f t="shared" si="236"/>
        <v>100</v>
      </c>
      <c r="I826" s="1569"/>
      <c r="J826" s="1572">
        <v>5000</v>
      </c>
      <c r="K826" s="1676">
        <v>5000</v>
      </c>
      <c r="L826" s="1567"/>
      <c r="M826" s="1567"/>
      <c r="N826" s="1567"/>
      <c r="O826" s="1567"/>
      <c r="P826" s="1573">
        <f>SUM(K826:N826)</f>
        <v>5000</v>
      </c>
      <c r="Q826" s="1571"/>
      <c r="R826" s="1572"/>
      <c r="S826" s="1567"/>
      <c r="T826" s="1567"/>
      <c r="U826" s="1567"/>
      <c r="V826" s="1567"/>
      <c r="W826" s="1573"/>
      <c r="X826" s="1464"/>
      <c r="Y826" s="1444"/>
    </row>
    <row r="827" spans="1:28" s="581" customFormat="1" ht="14.25" thickBot="1" thickTop="1">
      <c r="A827" s="1646">
        <v>851</v>
      </c>
      <c r="B827" s="1647" t="s">
        <v>227</v>
      </c>
      <c r="C827" s="1648">
        <f>C830+C836+C841+C851+C828</f>
        <v>1866700</v>
      </c>
      <c r="D827" s="1648">
        <f>D830+D836+D841+D851+D828</f>
        <v>4118410</v>
      </c>
      <c r="E827" s="1649">
        <f>E830+E836+E841+E851+E828</f>
        <v>2036300</v>
      </c>
      <c r="F827" s="1648">
        <f>F830+F836+F841+F851+F828</f>
        <v>4913000</v>
      </c>
      <c r="G827" s="1602">
        <f t="shared" si="235"/>
        <v>263.19172871913</v>
      </c>
      <c r="H827" s="1603">
        <f t="shared" si="236"/>
        <v>119.29361088381197</v>
      </c>
      <c r="I827" s="1687">
        <f>F827/F$1426*100</f>
        <v>1.791859320873063</v>
      </c>
      <c r="J827" s="1678">
        <f>J830+J836+J841+J851+J828</f>
        <v>4118410</v>
      </c>
      <c r="K827" s="1678">
        <f>K830+K836+K841+K851+K828</f>
        <v>4763000</v>
      </c>
      <c r="L827" s="1678">
        <f>L830+L836+L841+L851+L828</f>
        <v>120000</v>
      </c>
      <c r="M827" s="1648">
        <f>M830+M836+M841+M851</f>
        <v>0</v>
      </c>
      <c r="N827" s="1648">
        <f>N830+N836+N841+N851</f>
        <v>0</v>
      </c>
      <c r="O827" s="1648">
        <f>O830+O836+O841+O851</f>
        <v>0</v>
      </c>
      <c r="P827" s="1652">
        <f>P830+P836+P841+P851+P828</f>
        <v>4913000</v>
      </c>
      <c r="Q827" s="1688" t="e">
        <f>Q830+Q836+Q841+#REF!+Q851</f>
        <v>#REF!</v>
      </c>
      <c r="R827" s="1651"/>
      <c r="S827" s="1648"/>
      <c r="T827" s="1648"/>
      <c r="U827" s="1648"/>
      <c r="V827" s="1648"/>
      <c r="W827" s="1652"/>
      <c r="X827" s="1594"/>
      <c r="Y827" s="1444"/>
      <c r="Z827" s="1504">
        <f>Z830+Z836+Z841+Z851</f>
        <v>0</v>
      </c>
      <c r="AA827" s="1592">
        <f>AA830+AA836+AA841+AA851</f>
        <v>0</v>
      </c>
      <c r="AB827" s="1505">
        <f>Z827+AA827</f>
        <v>0</v>
      </c>
    </row>
    <row r="828" spans="1:28" s="581" customFormat="1" ht="13.5" thickTop="1">
      <c r="A828" s="1558">
        <v>85111</v>
      </c>
      <c r="B828" s="1559" t="s">
        <v>996</v>
      </c>
      <c r="C828" s="1562">
        <f>SUM(C829)</f>
        <v>0</v>
      </c>
      <c r="D828" s="1562">
        <f>SUM(D829)</f>
        <v>1500000</v>
      </c>
      <c r="E828" s="1689">
        <f>SUM(E829)</f>
        <v>0</v>
      </c>
      <c r="F828" s="1690">
        <f>F829</f>
        <v>3000000</v>
      </c>
      <c r="G828" s="1474"/>
      <c r="H828" s="1475">
        <f t="shared" si="236"/>
        <v>200</v>
      </c>
      <c r="I828" s="1691"/>
      <c r="J828" s="1510">
        <f aca="true" t="shared" si="237" ref="J828:P828">SUM(J829)</f>
        <v>1500000</v>
      </c>
      <c r="K828" s="1508">
        <f t="shared" si="237"/>
        <v>3000000</v>
      </c>
      <c r="L828" s="1508">
        <f t="shared" si="237"/>
        <v>0</v>
      </c>
      <c r="M828" s="1508">
        <f t="shared" si="237"/>
        <v>0</v>
      </c>
      <c r="N828" s="1508">
        <f t="shared" si="237"/>
        <v>0</v>
      </c>
      <c r="O828" s="1508">
        <f t="shared" si="237"/>
        <v>0</v>
      </c>
      <c r="P828" s="1508">
        <f t="shared" si="237"/>
        <v>3000000</v>
      </c>
      <c r="Q828" s="1692"/>
      <c r="R828" s="1693"/>
      <c r="S828" s="1562"/>
      <c r="T828" s="1562"/>
      <c r="U828" s="1562"/>
      <c r="V828" s="1562"/>
      <c r="W828" s="1565"/>
      <c r="X828" s="1557"/>
      <c r="Y828" s="1444"/>
      <c r="Z828" s="1694"/>
      <c r="AA828" s="1694"/>
      <c r="AB828" s="1694"/>
    </row>
    <row r="829" spans="1:28" s="571" customFormat="1" ht="48">
      <c r="A829" s="1497">
        <v>2330</v>
      </c>
      <c r="B829" s="1513" t="s">
        <v>997</v>
      </c>
      <c r="C829" s="1457"/>
      <c r="D829" s="1457">
        <f>J829+R829</f>
        <v>1500000</v>
      </c>
      <c r="E829" s="1549"/>
      <c r="F829" s="1457">
        <f>P829+W829</f>
        <v>3000000</v>
      </c>
      <c r="G829" s="1499"/>
      <c r="H829" s="1499">
        <f t="shared" si="236"/>
        <v>200</v>
      </c>
      <c r="I829" s="1548"/>
      <c r="J829" s="1461">
        <v>1500000</v>
      </c>
      <c r="K829" s="1457">
        <v>3000000</v>
      </c>
      <c r="L829" s="1457"/>
      <c r="M829" s="1457"/>
      <c r="N829" s="1457"/>
      <c r="O829" s="1457"/>
      <c r="P829" s="1462">
        <f>SUM(K829:N829)</f>
        <v>3000000</v>
      </c>
      <c r="Q829" s="1686"/>
      <c r="R829" s="1461"/>
      <c r="S829" s="1457"/>
      <c r="T829" s="1457"/>
      <c r="U829" s="1457"/>
      <c r="V829" s="1457"/>
      <c r="W829" s="1462"/>
      <c r="X829" s="1488"/>
      <c r="Y829" s="1300"/>
      <c r="Z829" s="1695"/>
      <c r="AA829" s="1695"/>
      <c r="AB829" s="1695"/>
    </row>
    <row r="830" spans="1:25" s="581" customFormat="1" ht="12.75">
      <c r="A830" s="1493">
        <v>85149</v>
      </c>
      <c r="B830" s="1506" t="s">
        <v>998</v>
      </c>
      <c r="C830" s="1447">
        <f aca="true" t="shared" si="238" ref="C830:P830">SUM(C831:C835)</f>
        <v>27000</v>
      </c>
      <c r="D830" s="1447">
        <f t="shared" si="238"/>
        <v>170000</v>
      </c>
      <c r="E830" s="1654">
        <f t="shared" si="238"/>
        <v>177100</v>
      </c>
      <c r="F830" s="1447">
        <f>SUM(F831:F835)</f>
        <v>27000</v>
      </c>
      <c r="G830" s="1531">
        <f t="shared" si="235"/>
        <v>100</v>
      </c>
      <c r="H830" s="1532">
        <f t="shared" si="236"/>
        <v>15.88235294117647</v>
      </c>
      <c r="I830" s="1450"/>
      <c r="J830" s="1451">
        <f t="shared" si="238"/>
        <v>170000</v>
      </c>
      <c r="K830" s="1447">
        <f t="shared" si="238"/>
        <v>27000</v>
      </c>
      <c r="L830" s="1447">
        <f t="shared" si="238"/>
        <v>0</v>
      </c>
      <c r="M830" s="1447">
        <f t="shared" si="238"/>
        <v>0</v>
      </c>
      <c r="N830" s="1447">
        <f t="shared" si="238"/>
        <v>0</v>
      </c>
      <c r="O830" s="1447">
        <f t="shared" si="238"/>
        <v>0</v>
      </c>
      <c r="P830" s="1447">
        <f t="shared" si="238"/>
        <v>27000</v>
      </c>
      <c r="Q830" s="1453">
        <f>P830/J830*100</f>
        <v>15.88235294117647</v>
      </c>
      <c r="R830" s="1451"/>
      <c r="S830" s="1447"/>
      <c r="T830" s="1447"/>
      <c r="U830" s="1447"/>
      <c r="V830" s="1447"/>
      <c r="W830" s="1452"/>
      <c r="X830" s="1454"/>
      <c r="Y830" s="1444"/>
    </row>
    <row r="831" spans="1:25" ht="36">
      <c r="A831" s="1497">
        <v>2570</v>
      </c>
      <c r="B831" s="1513" t="s">
        <v>999</v>
      </c>
      <c r="C831" s="1457">
        <v>20000</v>
      </c>
      <c r="D831" s="1457">
        <f>J831+R831</f>
        <v>0</v>
      </c>
      <c r="E831" s="1514"/>
      <c r="F831" s="1457">
        <f>P831+W831</f>
        <v>20000</v>
      </c>
      <c r="G831" s="1499">
        <f t="shared" si="235"/>
        <v>100</v>
      </c>
      <c r="H831" s="1499"/>
      <c r="I831" s="1450"/>
      <c r="J831" s="1461">
        <v>0</v>
      </c>
      <c r="K831" s="1457">
        <v>20000</v>
      </c>
      <c r="L831" s="1457"/>
      <c r="M831" s="1457"/>
      <c r="N831" s="1457"/>
      <c r="O831" s="1457"/>
      <c r="P831" s="1462">
        <f>SUM(K831:N831)</f>
        <v>20000</v>
      </c>
      <c r="Q831" s="1495" t="e">
        <f>P831/J831*100</f>
        <v>#DIV/0!</v>
      </c>
      <c r="R831" s="1461"/>
      <c r="S831" s="1457"/>
      <c r="T831" s="1457"/>
      <c r="U831" s="1457"/>
      <c r="V831" s="1457"/>
      <c r="W831" s="1462"/>
      <c r="X831" s="1496"/>
      <c r="Y831" s="1444"/>
    </row>
    <row r="832" spans="1:25" ht="36">
      <c r="A832" s="1497">
        <v>2800</v>
      </c>
      <c r="B832" s="1513" t="s">
        <v>1000</v>
      </c>
      <c r="C832" s="1457"/>
      <c r="D832" s="1457">
        <f>J832+R832</f>
        <v>163000</v>
      </c>
      <c r="E832" s="1458">
        <v>170000</v>
      </c>
      <c r="F832" s="1459">
        <f>P832+W832</f>
        <v>0</v>
      </c>
      <c r="G832" s="1499"/>
      <c r="H832" s="1499">
        <f t="shared" si="236"/>
        <v>0</v>
      </c>
      <c r="I832" s="1450"/>
      <c r="J832" s="1461">
        <v>163000</v>
      </c>
      <c r="K832" s="1457"/>
      <c r="L832" s="1457"/>
      <c r="M832" s="1457"/>
      <c r="N832" s="1457"/>
      <c r="O832" s="1457"/>
      <c r="P832" s="1462"/>
      <c r="Q832" s="1495"/>
      <c r="R832" s="1461"/>
      <c r="S832" s="1457"/>
      <c r="T832" s="1457"/>
      <c r="U832" s="1457"/>
      <c r="V832" s="1457"/>
      <c r="W832" s="1462"/>
      <c r="X832" s="1496"/>
      <c r="Y832" s="1444"/>
    </row>
    <row r="833" spans="1:25" ht="72">
      <c r="A833" s="1497">
        <v>2830</v>
      </c>
      <c r="B833" s="1513" t="s">
        <v>1001</v>
      </c>
      <c r="C833" s="1457">
        <v>4000</v>
      </c>
      <c r="D833" s="1457">
        <f>J833+R833</f>
        <v>4000</v>
      </c>
      <c r="E833" s="1458">
        <v>4060</v>
      </c>
      <c r="F833" s="1459">
        <f>P833+W833</f>
        <v>4000</v>
      </c>
      <c r="G833" s="1499">
        <f t="shared" si="235"/>
        <v>100</v>
      </c>
      <c r="H833" s="1499">
        <f t="shared" si="236"/>
        <v>100</v>
      </c>
      <c r="I833" s="1450"/>
      <c r="J833" s="1461">
        <v>4000</v>
      </c>
      <c r="K833" s="1457">
        <v>4000</v>
      </c>
      <c r="L833" s="1457"/>
      <c r="M833" s="1457"/>
      <c r="N833" s="1457"/>
      <c r="O833" s="1457"/>
      <c r="P833" s="1462">
        <f>SUM(K833:N833)</f>
        <v>4000</v>
      </c>
      <c r="Q833" s="1495">
        <f>P833/J833*100</f>
        <v>100</v>
      </c>
      <c r="R833" s="1461"/>
      <c r="S833" s="1457"/>
      <c r="T833" s="1457"/>
      <c r="U833" s="1457"/>
      <c r="V833" s="1457"/>
      <c r="W833" s="1462"/>
      <c r="X833" s="1496"/>
      <c r="Y833" s="1444"/>
    </row>
    <row r="834" spans="1:25" ht="12.75" hidden="1">
      <c r="A834" s="1497">
        <v>4210</v>
      </c>
      <c r="B834" s="1513" t="s">
        <v>560</v>
      </c>
      <c r="C834" s="1457"/>
      <c r="D834" s="1457">
        <f>J834+R834</f>
        <v>0</v>
      </c>
      <c r="E834" s="1458">
        <v>0</v>
      </c>
      <c r="F834" s="1459">
        <f>P834+W834</f>
        <v>0</v>
      </c>
      <c r="G834" s="1531" t="e">
        <f t="shared" si="235"/>
        <v>#DIV/0!</v>
      </c>
      <c r="H834" s="1532" t="e">
        <f t="shared" si="236"/>
        <v>#DIV/0!</v>
      </c>
      <c r="I834" s="1450"/>
      <c r="J834" s="1461"/>
      <c r="K834" s="1457">
        <v>0</v>
      </c>
      <c r="L834" s="1457"/>
      <c r="M834" s="1457"/>
      <c r="N834" s="1457"/>
      <c r="O834" s="1457"/>
      <c r="P834" s="1462">
        <f>SUM(K834:N834)</f>
        <v>0</v>
      </c>
      <c r="Q834" s="1495"/>
      <c r="R834" s="1461"/>
      <c r="S834" s="1457"/>
      <c r="T834" s="1457"/>
      <c r="U834" s="1457"/>
      <c r="V834" s="1457"/>
      <c r="W834" s="1462"/>
      <c r="X834" s="1496"/>
      <c r="Y834" s="1444"/>
    </row>
    <row r="835" spans="1:25" ht="12.75">
      <c r="A835" s="1497">
        <v>4300</v>
      </c>
      <c r="B835" s="1513" t="s">
        <v>564</v>
      </c>
      <c r="C835" s="1457">
        <v>3000</v>
      </c>
      <c r="D835" s="1457">
        <f>J835+R835</f>
        <v>3000</v>
      </c>
      <c r="E835" s="1458">
        <v>3040</v>
      </c>
      <c r="F835" s="1459">
        <f>P835+W835</f>
        <v>3000</v>
      </c>
      <c r="G835" s="1499">
        <f t="shared" si="235"/>
        <v>100</v>
      </c>
      <c r="H835" s="1499">
        <f t="shared" si="236"/>
        <v>100</v>
      </c>
      <c r="I835" s="1450"/>
      <c r="J835" s="1461">
        <v>3000</v>
      </c>
      <c r="K835" s="1457">
        <v>3000</v>
      </c>
      <c r="L835" s="1457"/>
      <c r="M835" s="1457"/>
      <c r="N835" s="1457"/>
      <c r="O835" s="1457"/>
      <c r="P835" s="1462">
        <f>SUM(K835:N835)</f>
        <v>3000</v>
      </c>
      <c r="Q835" s="1495">
        <f>P835/J835*100</f>
        <v>100</v>
      </c>
      <c r="R835" s="1461"/>
      <c r="S835" s="1457"/>
      <c r="T835" s="1457"/>
      <c r="U835" s="1457"/>
      <c r="V835" s="1457"/>
      <c r="W835" s="1462"/>
      <c r="X835" s="1496"/>
      <c r="Y835" s="1444"/>
    </row>
    <row r="836" spans="1:25" s="581" customFormat="1" ht="12.75">
      <c r="A836" s="1516">
        <v>85153</v>
      </c>
      <c r="B836" s="1550" t="s">
        <v>1002</v>
      </c>
      <c r="C836" s="1467">
        <f>SUM(C837:C840)</f>
        <v>55000</v>
      </c>
      <c r="D836" s="1467">
        <f>SUM(D837:D840)</f>
        <v>55000</v>
      </c>
      <c r="E836" s="1468">
        <f>SUM(E837:E840)</f>
        <v>80000</v>
      </c>
      <c r="F836" s="1469">
        <f>SUM(F837:F840)</f>
        <v>80000</v>
      </c>
      <c r="G836" s="1531">
        <f t="shared" si="235"/>
        <v>145.45454545454547</v>
      </c>
      <c r="H836" s="1532">
        <f t="shared" si="236"/>
        <v>145.45454545454547</v>
      </c>
      <c r="I836" s="1450"/>
      <c r="J836" s="1470">
        <f aca="true" t="shared" si="239" ref="J836:P836">SUM(J837:J840)</f>
        <v>55000</v>
      </c>
      <c r="K836" s="1467">
        <f>SUM(K837:K840)</f>
        <v>80000</v>
      </c>
      <c r="L836" s="1467">
        <f t="shared" si="239"/>
        <v>0</v>
      </c>
      <c r="M836" s="1467">
        <f t="shared" si="239"/>
        <v>0</v>
      </c>
      <c r="N836" s="1467">
        <f t="shared" si="239"/>
        <v>0</v>
      </c>
      <c r="O836" s="1467"/>
      <c r="P836" s="1471">
        <f t="shared" si="239"/>
        <v>80000</v>
      </c>
      <c r="Q836" s="1453">
        <f>P836/J836*100</f>
        <v>145.45454545454547</v>
      </c>
      <c r="R836" s="1470"/>
      <c r="S836" s="1467"/>
      <c r="T836" s="1467"/>
      <c r="U836" s="1467"/>
      <c r="V836" s="1467"/>
      <c r="W836" s="1471"/>
      <c r="X836" s="1454"/>
      <c r="Y836" s="1444"/>
    </row>
    <row r="837" spans="1:25" ht="48">
      <c r="A837" s="1551">
        <v>2820</v>
      </c>
      <c r="B837" s="1513" t="s">
        <v>1003</v>
      </c>
      <c r="C837" s="1457">
        <v>45000</v>
      </c>
      <c r="D837" s="1457">
        <f>J837+R837</f>
        <v>40000</v>
      </c>
      <c r="E837" s="1458">
        <v>50000</v>
      </c>
      <c r="F837" s="1459">
        <f>P837+W837</f>
        <v>50000</v>
      </c>
      <c r="G837" s="1499">
        <f t="shared" si="235"/>
        <v>111.11111111111111</v>
      </c>
      <c r="H837" s="1499">
        <f t="shared" si="236"/>
        <v>125</v>
      </c>
      <c r="I837" s="1450"/>
      <c r="J837" s="1461">
        <v>40000</v>
      </c>
      <c r="K837" s="1457">
        <v>50000</v>
      </c>
      <c r="L837" s="1457"/>
      <c r="M837" s="1457"/>
      <c r="N837" s="1457"/>
      <c r="O837" s="1457"/>
      <c r="P837" s="1462">
        <f>SUM(K837:N837)</f>
        <v>50000</v>
      </c>
      <c r="Q837" s="1495">
        <f>P837/J837*100</f>
        <v>125</v>
      </c>
      <c r="R837" s="1461"/>
      <c r="S837" s="1457"/>
      <c r="T837" s="1457"/>
      <c r="U837" s="1457"/>
      <c r="V837" s="1457"/>
      <c r="W837" s="1462"/>
      <c r="X837" s="1496"/>
      <c r="Y837" s="1444"/>
    </row>
    <row r="838" spans="1:25" ht="12.75">
      <c r="A838" s="1551">
        <v>4170</v>
      </c>
      <c r="B838" s="1513" t="s">
        <v>572</v>
      </c>
      <c r="C838" s="1457"/>
      <c r="D838" s="1457">
        <f>J838+R838</f>
        <v>500</v>
      </c>
      <c r="E838" s="1458"/>
      <c r="F838" s="1459">
        <f>P838+W838</f>
        <v>0</v>
      </c>
      <c r="G838" s="1499"/>
      <c r="H838" s="1499">
        <f t="shared" si="236"/>
        <v>0</v>
      </c>
      <c r="I838" s="1450"/>
      <c r="J838" s="1461">
        <v>500</v>
      </c>
      <c r="K838" s="1457"/>
      <c r="L838" s="1457"/>
      <c r="M838" s="1457"/>
      <c r="N838" s="1457"/>
      <c r="O838" s="1457"/>
      <c r="P838" s="1462">
        <f>SUM(K838:N838)</f>
        <v>0</v>
      </c>
      <c r="Q838" s="1495"/>
      <c r="R838" s="1461"/>
      <c r="S838" s="1457"/>
      <c r="T838" s="1457"/>
      <c r="U838" s="1457"/>
      <c r="V838" s="1457"/>
      <c r="W838" s="1462"/>
      <c r="X838" s="1496"/>
      <c r="Y838" s="1444"/>
    </row>
    <row r="839" spans="1:25" ht="12.75">
      <c r="A839" s="1551">
        <v>4210</v>
      </c>
      <c r="B839" s="1513" t="s">
        <v>560</v>
      </c>
      <c r="C839" s="1457"/>
      <c r="D839" s="1457">
        <f>J839+R839</f>
        <v>5000</v>
      </c>
      <c r="E839" s="1458">
        <v>6000</v>
      </c>
      <c r="F839" s="1459">
        <f>P839+W839</f>
        <v>6000</v>
      </c>
      <c r="G839" s="1499"/>
      <c r="H839" s="1499">
        <f t="shared" si="236"/>
        <v>120</v>
      </c>
      <c r="I839" s="1450"/>
      <c r="J839" s="1461">
        <v>5000</v>
      </c>
      <c r="K839" s="1457">
        <v>6000</v>
      </c>
      <c r="L839" s="1457"/>
      <c r="M839" s="1457"/>
      <c r="N839" s="1457"/>
      <c r="O839" s="1457"/>
      <c r="P839" s="1462">
        <f>SUM(K839:N839)</f>
        <v>6000</v>
      </c>
      <c r="Q839" s="1495"/>
      <c r="R839" s="1461"/>
      <c r="S839" s="1457"/>
      <c r="T839" s="1457"/>
      <c r="U839" s="1457"/>
      <c r="V839" s="1457"/>
      <c r="W839" s="1462"/>
      <c r="X839" s="1496"/>
      <c r="Y839" s="1444"/>
    </row>
    <row r="840" spans="1:25" ht="12.75">
      <c r="A840" s="1497">
        <v>4300</v>
      </c>
      <c r="B840" s="1513" t="s">
        <v>564</v>
      </c>
      <c r="C840" s="1457">
        <v>10000</v>
      </c>
      <c r="D840" s="1457">
        <f>J840+R840</f>
        <v>9500</v>
      </c>
      <c r="E840" s="1458">
        <v>24000</v>
      </c>
      <c r="F840" s="1459">
        <f>P840+W840</f>
        <v>24000</v>
      </c>
      <c r="G840" s="1499">
        <f t="shared" si="235"/>
        <v>240</v>
      </c>
      <c r="H840" s="1499">
        <f t="shared" si="236"/>
        <v>252.6315789473684</v>
      </c>
      <c r="I840" s="1450"/>
      <c r="J840" s="1461">
        <v>9500</v>
      </c>
      <c r="K840" s="1457">
        <v>24000</v>
      </c>
      <c r="L840" s="1457"/>
      <c r="M840" s="1457"/>
      <c r="N840" s="1457"/>
      <c r="O840" s="1457"/>
      <c r="P840" s="1462">
        <f>SUM(K840:N840)</f>
        <v>24000</v>
      </c>
      <c r="Q840" s="1495">
        <f>P840/J840*100</f>
        <v>252.6315789473684</v>
      </c>
      <c r="R840" s="1461"/>
      <c r="S840" s="1457"/>
      <c r="T840" s="1457"/>
      <c r="U840" s="1457"/>
      <c r="V840" s="1457"/>
      <c r="W840" s="1462"/>
      <c r="X840" s="1496"/>
      <c r="Y840" s="1444"/>
    </row>
    <row r="841" spans="1:25" s="581" customFormat="1" ht="12.75">
      <c r="A841" s="1516">
        <v>85154</v>
      </c>
      <c r="B841" s="1550" t="s">
        <v>228</v>
      </c>
      <c r="C841" s="1467">
        <f>SUM(C842:C850)</f>
        <v>1274400</v>
      </c>
      <c r="D841" s="1467">
        <f>SUM(D842:D850)</f>
        <v>1948100</v>
      </c>
      <c r="E841" s="1468">
        <f>SUM(E842:E850)</f>
        <v>1260000</v>
      </c>
      <c r="F841" s="1469">
        <f>SUM(F842:F850)</f>
        <v>1260000</v>
      </c>
      <c r="G841" s="1531">
        <f t="shared" si="235"/>
        <v>98.87005649717514</v>
      </c>
      <c r="H841" s="1532">
        <f t="shared" si="236"/>
        <v>64.67840459935321</v>
      </c>
      <c r="I841" s="1450"/>
      <c r="J841" s="1470">
        <f>SUM(J842:J850)</f>
        <v>1948100</v>
      </c>
      <c r="K841" s="1469">
        <f>SUM(K842:K850)</f>
        <v>1140000</v>
      </c>
      <c r="L841" s="1556">
        <f>SUM(L842:L850)</f>
        <v>120000</v>
      </c>
      <c r="M841" s="1467">
        <f>SUM(M842:M850)</f>
        <v>0</v>
      </c>
      <c r="N841" s="1467">
        <f>SUM(N842:N850)</f>
        <v>0</v>
      </c>
      <c r="O841" s="1556"/>
      <c r="P841" s="1467">
        <f>SUM(P842:P850)</f>
        <v>1260000</v>
      </c>
      <c r="Q841" s="1495">
        <f>P841/J841*100</f>
        <v>64.67840459935321</v>
      </c>
      <c r="R841" s="1470"/>
      <c r="S841" s="1467"/>
      <c r="T841" s="1467"/>
      <c r="U841" s="1467"/>
      <c r="V841" s="1467"/>
      <c r="W841" s="1471"/>
      <c r="X841" s="1606">
        <f>SUM(X842:X848)</f>
        <v>0</v>
      </c>
      <c r="Y841" s="1444"/>
    </row>
    <row r="842" spans="1:25" s="581" customFormat="1" ht="24">
      <c r="A842" s="1497">
        <v>2480</v>
      </c>
      <c r="B842" s="1513" t="s">
        <v>1004</v>
      </c>
      <c r="C842" s="1457">
        <v>120000</v>
      </c>
      <c r="D842" s="1457">
        <f>J842+R842</f>
        <v>120000</v>
      </c>
      <c r="E842" s="1458">
        <v>110000</v>
      </c>
      <c r="F842" s="1459">
        <f>P842+W842</f>
        <v>110000</v>
      </c>
      <c r="G842" s="1499">
        <f t="shared" si="235"/>
        <v>91.66666666666666</v>
      </c>
      <c r="H842" s="1499">
        <f t="shared" si="236"/>
        <v>91.66666666666666</v>
      </c>
      <c r="I842" s="1450"/>
      <c r="J842" s="1461">
        <v>120000</v>
      </c>
      <c r="K842" s="1457">
        <v>110000</v>
      </c>
      <c r="L842" s="1467"/>
      <c r="M842" s="1467"/>
      <c r="N842" s="1467"/>
      <c r="O842" s="1467"/>
      <c r="P842" s="1462">
        <f>SUM(K842:N842)</f>
        <v>110000</v>
      </c>
      <c r="Q842" s="1453"/>
      <c r="R842" s="1470"/>
      <c r="S842" s="1467"/>
      <c r="T842" s="1467"/>
      <c r="U842" s="1467"/>
      <c r="V842" s="1467"/>
      <c r="W842" s="1471"/>
      <c r="X842" s="1454"/>
      <c r="Y842" s="1444"/>
    </row>
    <row r="843" spans="1:25" ht="48">
      <c r="A843" s="1497">
        <v>2820</v>
      </c>
      <c r="B843" s="1513" t="s">
        <v>1005</v>
      </c>
      <c r="C843" s="1457">
        <v>500000</v>
      </c>
      <c r="D843" s="1457">
        <f aca="true" t="shared" si="240" ref="D843:D850">J843+R843</f>
        <v>500000</v>
      </c>
      <c r="E843" s="1458">
        <v>400000</v>
      </c>
      <c r="F843" s="1459">
        <f aca="true" t="shared" si="241" ref="F843:F849">P843+W843</f>
        <v>400000</v>
      </c>
      <c r="G843" s="1499">
        <f t="shared" si="235"/>
        <v>80</v>
      </c>
      <c r="H843" s="1499">
        <f t="shared" si="236"/>
        <v>80</v>
      </c>
      <c r="I843" s="1450"/>
      <c r="J843" s="1461">
        <v>500000</v>
      </c>
      <c r="K843" s="1457">
        <v>400000</v>
      </c>
      <c r="L843" s="1457"/>
      <c r="M843" s="1457"/>
      <c r="N843" s="1457"/>
      <c r="O843" s="1457"/>
      <c r="P843" s="1462">
        <f aca="true" t="shared" si="242" ref="P843:P849">SUM(K843:N843)</f>
        <v>400000</v>
      </c>
      <c r="Q843" s="1495">
        <f aca="true" t="shared" si="243" ref="Q843:Q849">P843/J843*100</f>
        <v>80</v>
      </c>
      <c r="R843" s="1461"/>
      <c r="S843" s="1457"/>
      <c r="T843" s="1457"/>
      <c r="U843" s="1457"/>
      <c r="V843" s="1457"/>
      <c r="W843" s="1462"/>
      <c r="X843" s="1496"/>
      <c r="Y843" s="1444"/>
    </row>
    <row r="844" spans="1:25" ht="24">
      <c r="A844" s="1497">
        <v>3030</v>
      </c>
      <c r="B844" s="1513" t="s">
        <v>624</v>
      </c>
      <c r="C844" s="1457">
        <v>36000</v>
      </c>
      <c r="D844" s="1457">
        <f t="shared" si="240"/>
        <v>45000</v>
      </c>
      <c r="E844" s="1458">
        <v>38000</v>
      </c>
      <c r="F844" s="1459">
        <f t="shared" si="241"/>
        <v>38000</v>
      </c>
      <c r="G844" s="1499">
        <f t="shared" si="235"/>
        <v>105.55555555555556</v>
      </c>
      <c r="H844" s="1499">
        <f t="shared" si="236"/>
        <v>84.44444444444444</v>
      </c>
      <c r="I844" s="1450"/>
      <c r="J844" s="1461">
        <v>45000</v>
      </c>
      <c r="K844" s="1457">
        <v>38000</v>
      </c>
      <c r="L844" s="1457"/>
      <c r="M844" s="1457"/>
      <c r="N844" s="1457"/>
      <c r="O844" s="1457"/>
      <c r="P844" s="1462">
        <f t="shared" si="242"/>
        <v>38000</v>
      </c>
      <c r="Q844" s="1495">
        <f t="shared" si="243"/>
        <v>84.44444444444444</v>
      </c>
      <c r="R844" s="1461"/>
      <c r="S844" s="1457"/>
      <c r="T844" s="1457"/>
      <c r="U844" s="1457"/>
      <c r="V844" s="1457"/>
      <c r="W844" s="1462"/>
      <c r="X844" s="1496"/>
      <c r="Y844" s="1444"/>
    </row>
    <row r="845" spans="1:25" ht="12.75">
      <c r="A845" s="1497">
        <v>4210</v>
      </c>
      <c r="B845" s="1513" t="s">
        <v>560</v>
      </c>
      <c r="C845" s="1457">
        <v>25000</v>
      </c>
      <c r="D845" s="1457">
        <f t="shared" si="240"/>
        <v>35000</v>
      </c>
      <c r="E845" s="1458">
        <v>25000</v>
      </c>
      <c r="F845" s="1459">
        <f t="shared" si="241"/>
        <v>25000</v>
      </c>
      <c r="G845" s="1499">
        <f t="shared" si="235"/>
        <v>100</v>
      </c>
      <c r="H845" s="1499">
        <f t="shared" si="236"/>
        <v>71.42857142857143</v>
      </c>
      <c r="I845" s="1450"/>
      <c r="J845" s="1461">
        <v>35000</v>
      </c>
      <c r="K845" s="1457">
        <v>25000</v>
      </c>
      <c r="L845" s="1457"/>
      <c r="M845" s="1457"/>
      <c r="N845" s="1457"/>
      <c r="O845" s="1457"/>
      <c r="P845" s="1462">
        <f t="shared" si="242"/>
        <v>25000</v>
      </c>
      <c r="Q845" s="1495">
        <f t="shared" si="243"/>
        <v>71.42857142857143</v>
      </c>
      <c r="R845" s="1461"/>
      <c r="S845" s="1457"/>
      <c r="T845" s="1457"/>
      <c r="U845" s="1457"/>
      <c r="V845" s="1457"/>
      <c r="W845" s="1462"/>
      <c r="X845" s="1496"/>
      <c r="Y845" s="1444"/>
    </row>
    <row r="846" spans="1:25" ht="24">
      <c r="A846" s="1497">
        <v>4240</v>
      </c>
      <c r="B846" s="1513" t="s">
        <v>1006</v>
      </c>
      <c r="C846" s="1457">
        <v>6000</v>
      </c>
      <c r="D846" s="1457">
        <f t="shared" si="240"/>
        <v>6000</v>
      </c>
      <c r="E846" s="1458">
        <v>6000</v>
      </c>
      <c r="F846" s="1459">
        <f t="shared" si="241"/>
        <v>6000</v>
      </c>
      <c r="G846" s="1499">
        <f t="shared" si="235"/>
        <v>100</v>
      </c>
      <c r="H846" s="1499">
        <f t="shared" si="236"/>
        <v>100</v>
      </c>
      <c r="I846" s="1450"/>
      <c r="J846" s="1461">
        <v>6000</v>
      </c>
      <c r="K846" s="1457">
        <v>6000</v>
      </c>
      <c r="L846" s="1457"/>
      <c r="M846" s="1457"/>
      <c r="N846" s="1457"/>
      <c r="O846" s="1457"/>
      <c r="P846" s="1462">
        <f t="shared" si="242"/>
        <v>6000</v>
      </c>
      <c r="Q846" s="1495">
        <f t="shared" si="243"/>
        <v>100</v>
      </c>
      <c r="R846" s="1461"/>
      <c r="S846" s="1457"/>
      <c r="T846" s="1457"/>
      <c r="U846" s="1457"/>
      <c r="V846" s="1457"/>
      <c r="W846" s="1462"/>
      <c r="X846" s="1496"/>
      <c r="Y846" s="1444"/>
    </row>
    <row r="847" spans="1:25" ht="15.75" customHeight="1">
      <c r="A847" s="1497">
        <v>4300</v>
      </c>
      <c r="B847" s="1513" t="s">
        <v>564</v>
      </c>
      <c r="C847" s="1457">
        <v>485900</v>
      </c>
      <c r="D847" s="1457">
        <f t="shared" si="240"/>
        <v>1109000</v>
      </c>
      <c r="E847" s="1458">
        <v>558000</v>
      </c>
      <c r="F847" s="1459">
        <f t="shared" si="241"/>
        <v>558000</v>
      </c>
      <c r="G847" s="1499">
        <f t="shared" si="235"/>
        <v>114.83844412430541</v>
      </c>
      <c r="H847" s="1499">
        <f t="shared" si="236"/>
        <v>50.3155996393147</v>
      </c>
      <c r="I847" s="1450"/>
      <c r="J847" s="1461">
        <v>1109000</v>
      </c>
      <c r="K847" s="1457">
        <v>558000</v>
      </c>
      <c r="L847" s="1457"/>
      <c r="M847" s="1457"/>
      <c r="N847" s="1457"/>
      <c r="O847" s="1457"/>
      <c r="P847" s="1462">
        <f t="shared" si="242"/>
        <v>558000</v>
      </c>
      <c r="Q847" s="1495">
        <f t="shared" si="243"/>
        <v>50.3155996393147</v>
      </c>
      <c r="R847" s="1461"/>
      <c r="S847" s="1457"/>
      <c r="T847" s="1457"/>
      <c r="U847" s="1457"/>
      <c r="V847" s="1457"/>
      <c r="W847" s="1462"/>
      <c r="X847" s="1496"/>
      <c r="Y847" s="1444"/>
    </row>
    <row r="848" spans="1:25" ht="15.75" customHeight="1">
      <c r="A848" s="1497">
        <v>4410</v>
      </c>
      <c r="B848" s="1513" t="s">
        <v>618</v>
      </c>
      <c r="C848" s="1457">
        <v>1500</v>
      </c>
      <c r="D848" s="1457">
        <f t="shared" si="240"/>
        <v>1500</v>
      </c>
      <c r="E848" s="1458">
        <v>1500</v>
      </c>
      <c r="F848" s="1459">
        <f t="shared" si="241"/>
        <v>1500</v>
      </c>
      <c r="G848" s="1499">
        <f t="shared" si="235"/>
        <v>100</v>
      </c>
      <c r="H848" s="1499">
        <f t="shared" si="236"/>
        <v>100</v>
      </c>
      <c r="I848" s="1450"/>
      <c r="J848" s="1461">
        <v>1500</v>
      </c>
      <c r="K848" s="1457">
        <v>1500</v>
      </c>
      <c r="L848" s="1457"/>
      <c r="M848" s="1457"/>
      <c r="N848" s="1457"/>
      <c r="O848" s="1457"/>
      <c r="P848" s="1462">
        <f t="shared" si="242"/>
        <v>1500</v>
      </c>
      <c r="Q848" s="1495">
        <f t="shared" si="243"/>
        <v>100</v>
      </c>
      <c r="R848" s="1461"/>
      <c r="S848" s="1457"/>
      <c r="T848" s="1457"/>
      <c r="U848" s="1457"/>
      <c r="V848" s="1457"/>
      <c r="W848" s="1462"/>
      <c r="X848" s="1496"/>
      <c r="Y848" s="1444"/>
    </row>
    <row r="849" spans="1:25" ht="15.75" customHeight="1">
      <c r="A849" s="1497">
        <v>4430</v>
      </c>
      <c r="B849" s="1513" t="s">
        <v>582</v>
      </c>
      <c r="C849" s="1457"/>
      <c r="D849" s="1457">
        <f t="shared" si="240"/>
        <v>1600</v>
      </c>
      <c r="E849" s="1458">
        <v>1500</v>
      </c>
      <c r="F849" s="1459">
        <f t="shared" si="241"/>
        <v>1500</v>
      </c>
      <c r="G849" s="1499"/>
      <c r="H849" s="1499">
        <f t="shared" si="236"/>
        <v>93.75</v>
      </c>
      <c r="I849" s="1450"/>
      <c r="J849" s="1461">
        <v>1600</v>
      </c>
      <c r="K849" s="1457">
        <v>1500</v>
      </c>
      <c r="L849" s="1457"/>
      <c r="M849" s="1457"/>
      <c r="N849" s="1457"/>
      <c r="O849" s="1457"/>
      <c r="P849" s="1462">
        <f t="shared" si="242"/>
        <v>1500</v>
      </c>
      <c r="Q849" s="1495">
        <f t="shared" si="243"/>
        <v>93.75</v>
      </c>
      <c r="R849" s="1461"/>
      <c r="S849" s="1457"/>
      <c r="T849" s="1457"/>
      <c r="U849" s="1457"/>
      <c r="V849" s="1457"/>
      <c r="W849" s="1462"/>
      <c r="X849" s="1496"/>
      <c r="Y849" s="1444"/>
    </row>
    <row r="850" spans="1:25" ht="24">
      <c r="A850" s="1497">
        <v>6050</v>
      </c>
      <c r="B850" s="1513" t="s">
        <v>892</v>
      </c>
      <c r="C850" s="1457">
        <v>100000</v>
      </c>
      <c r="D850" s="1457">
        <f t="shared" si="240"/>
        <v>130000</v>
      </c>
      <c r="E850" s="1458">
        <v>120000</v>
      </c>
      <c r="F850" s="1459">
        <f>P850+W850</f>
        <v>120000</v>
      </c>
      <c r="G850" s="1499">
        <f t="shared" si="235"/>
        <v>120</v>
      </c>
      <c r="H850" s="1499">
        <f t="shared" si="236"/>
        <v>92.3076923076923</v>
      </c>
      <c r="I850" s="1450"/>
      <c r="J850" s="1461">
        <v>130000</v>
      </c>
      <c r="K850" s="1457"/>
      <c r="L850" s="1457">
        <v>120000</v>
      </c>
      <c r="M850" s="1457"/>
      <c r="N850" s="1457"/>
      <c r="O850" s="1457"/>
      <c r="P850" s="1462">
        <f>SUM(K850:N850)</f>
        <v>120000</v>
      </c>
      <c r="Q850" s="1495"/>
      <c r="R850" s="1461"/>
      <c r="S850" s="1457"/>
      <c r="T850" s="1457"/>
      <c r="U850" s="1457"/>
      <c r="V850" s="1457"/>
      <c r="W850" s="1462"/>
      <c r="X850" s="1496"/>
      <c r="Y850" s="1444"/>
    </row>
    <row r="851" spans="1:25" s="581" customFormat="1" ht="12.75">
      <c r="A851" s="1516">
        <v>85195</v>
      </c>
      <c r="B851" s="1550" t="s">
        <v>209</v>
      </c>
      <c r="C851" s="1467">
        <f>SUM(C852:C858)</f>
        <v>510300</v>
      </c>
      <c r="D851" s="1467">
        <f>SUM(D852:D858)</f>
        <v>445310</v>
      </c>
      <c r="E851" s="1468">
        <f>SUM(E852:E858)</f>
        <v>519200</v>
      </c>
      <c r="F851" s="1469">
        <f>SUM(F852:F858)</f>
        <v>546000</v>
      </c>
      <c r="G851" s="1531">
        <f t="shared" si="235"/>
        <v>106.99588477366255</v>
      </c>
      <c r="H851" s="1532">
        <f t="shared" si="236"/>
        <v>122.61121465945072</v>
      </c>
      <c r="I851" s="1450"/>
      <c r="J851" s="1470">
        <f>SUM(J852:J858)</f>
        <v>445310</v>
      </c>
      <c r="K851" s="1467">
        <f>SUM(K852:K858)</f>
        <v>516000</v>
      </c>
      <c r="L851" s="1467">
        <f>SUM(L852:L858)</f>
        <v>0</v>
      </c>
      <c r="M851" s="1467">
        <f>SUM(M852:M858)</f>
        <v>0</v>
      </c>
      <c r="N851" s="1467">
        <f>SUM(N852:N858)</f>
        <v>0</v>
      </c>
      <c r="O851" s="1467"/>
      <c r="P851" s="1471">
        <f>SUM(P852:P858)</f>
        <v>546000</v>
      </c>
      <c r="Q851" s="1453">
        <f>P851/J851*100</f>
        <v>122.61121465945072</v>
      </c>
      <c r="R851" s="1470"/>
      <c r="S851" s="1467"/>
      <c r="T851" s="1467"/>
      <c r="U851" s="1467"/>
      <c r="V851" s="1467"/>
      <c r="W851" s="1471"/>
      <c r="X851" s="1454"/>
      <c r="Y851" s="1444"/>
    </row>
    <row r="852" spans="1:25" ht="12.75">
      <c r="A852" s="1497">
        <v>4210</v>
      </c>
      <c r="B852" s="1513" t="s">
        <v>560</v>
      </c>
      <c r="C852" s="1457"/>
      <c r="D852" s="1457">
        <f aca="true" t="shared" si="244" ref="D852:D861">J852+R852</f>
        <v>586</v>
      </c>
      <c r="E852" s="1458">
        <v>600</v>
      </c>
      <c r="F852" s="1459">
        <f aca="true" t="shared" si="245" ref="F852:F861">P852+W852</f>
        <v>0</v>
      </c>
      <c r="G852" s="1499"/>
      <c r="H852" s="1499">
        <f t="shared" si="236"/>
        <v>0</v>
      </c>
      <c r="I852" s="1450"/>
      <c r="J852" s="1461">
        <v>586</v>
      </c>
      <c r="K852" s="1457"/>
      <c r="L852" s="1457"/>
      <c r="M852" s="1457"/>
      <c r="N852" s="1457"/>
      <c r="O852" s="1457"/>
      <c r="P852" s="1462">
        <f aca="true" t="shared" si="246" ref="P852:P857">SUM(K852:N852)</f>
        <v>0</v>
      </c>
      <c r="Q852" s="1495">
        <f>P852/J852*100</f>
        <v>0</v>
      </c>
      <c r="R852" s="1461"/>
      <c r="S852" s="1457"/>
      <c r="T852" s="1457"/>
      <c r="U852" s="1457"/>
      <c r="V852" s="1457"/>
      <c r="W852" s="1462"/>
      <c r="X852" s="1496"/>
      <c r="Y852" s="1444"/>
    </row>
    <row r="853" spans="1:25" ht="48">
      <c r="A853" s="1497">
        <v>2820</v>
      </c>
      <c r="B853" s="1513" t="s">
        <v>734</v>
      </c>
      <c r="C853" s="1457">
        <v>70000</v>
      </c>
      <c r="D853" s="1457">
        <f t="shared" si="244"/>
        <v>71500</v>
      </c>
      <c r="E853" s="1458">
        <v>71000</v>
      </c>
      <c r="F853" s="1459">
        <f t="shared" si="245"/>
        <v>101000</v>
      </c>
      <c r="G853" s="1499">
        <f t="shared" si="235"/>
        <v>144.28571428571428</v>
      </c>
      <c r="H853" s="1499">
        <f t="shared" si="236"/>
        <v>141.25874125874125</v>
      </c>
      <c r="I853" s="1450"/>
      <c r="J853" s="1461">
        <v>71500</v>
      </c>
      <c r="K853" s="1457">
        <v>71000</v>
      </c>
      <c r="L853" s="1457"/>
      <c r="M853" s="1457"/>
      <c r="N853" s="1457"/>
      <c r="O853" s="1457"/>
      <c r="P853" s="1462">
        <v>101000</v>
      </c>
      <c r="Q853" s="1495">
        <f>P853/J853*100</f>
        <v>141.25874125874125</v>
      </c>
      <c r="R853" s="1461"/>
      <c r="S853" s="1457"/>
      <c r="T853" s="1457"/>
      <c r="U853" s="1457"/>
      <c r="V853" s="1457"/>
      <c r="W853" s="1462"/>
      <c r="X853" s="1496"/>
      <c r="Y853" s="1444"/>
    </row>
    <row r="854" spans="1:25" ht="24" hidden="1">
      <c r="A854" s="1497">
        <v>6050</v>
      </c>
      <c r="B854" s="1513" t="s">
        <v>1007</v>
      </c>
      <c r="C854" s="1457"/>
      <c r="D854" s="1457">
        <f t="shared" si="244"/>
        <v>0</v>
      </c>
      <c r="E854" s="1458"/>
      <c r="F854" s="1459">
        <f t="shared" si="245"/>
        <v>0</v>
      </c>
      <c r="G854" s="1499"/>
      <c r="H854" s="1499"/>
      <c r="I854" s="1450"/>
      <c r="J854" s="1461"/>
      <c r="K854" s="1457"/>
      <c r="L854" s="1457"/>
      <c r="M854" s="1457"/>
      <c r="N854" s="1457"/>
      <c r="O854" s="1457"/>
      <c r="P854" s="1462">
        <f t="shared" si="246"/>
        <v>0</v>
      </c>
      <c r="Q854" s="1495"/>
      <c r="R854" s="1461"/>
      <c r="S854" s="1457"/>
      <c r="T854" s="1457"/>
      <c r="U854" s="1457"/>
      <c r="V854" s="1457"/>
      <c r="W854" s="1462"/>
      <c r="X854" s="1496"/>
      <c r="Y854" s="1444"/>
    </row>
    <row r="855" spans="1:25" ht="12.75">
      <c r="A855" s="1497">
        <v>4260</v>
      </c>
      <c r="B855" s="1513" t="s">
        <v>575</v>
      </c>
      <c r="C855" s="1457"/>
      <c r="D855" s="1457">
        <f t="shared" si="244"/>
        <v>10180</v>
      </c>
      <c r="E855" s="1458"/>
      <c r="F855" s="1459">
        <f t="shared" si="245"/>
        <v>0</v>
      </c>
      <c r="G855" s="1499"/>
      <c r="H855" s="1499">
        <f t="shared" si="236"/>
        <v>0</v>
      </c>
      <c r="I855" s="1450"/>
      <c r="J855" s="1461">
        <v>10180</v>
      </c>
      <c r="K855" s="1457"/>
      <c r="L855" s="1457"/>
      <c r="M855" s="1457"/>
      <c r="N855" s="1457"/>
      <c r="O855" s="1457"/>
      <c r="P855" s="1462">
        <f t="shared" si="246"/>
        <v>0</v>
      </c>
      <c r="Q855" s="1495"/>
      <c r="R855" s="1461"/>
      <c r="S855" s="1457"/>
      <c r="T855" s="1457"/>
      <c r="U855" s="1457"/>
      <c r="V855" s="1457"/>
      <c r="W855" s="1462"/>
      <c r="X855" s="1496"/>
      <c r="Y855" s="1444"/>
    </row>
    <row r="856" spans="1:25" ht="12.75">
      <c r="A856" s="1497">
        <v>4410</v>
      </c>
      <c r="B856" s="1513" t="s">
        <v>618</v>
      </c>
      <c r="C856" s="1457"/>
      <c r="D856" s="1457">
        <f t="shared" si="244"/>
        <v>100</v>
      </c>
      <c r="E856" s="1458"/>
      <c r="F856" s="1459">
        <f t="shared" si="245"/>
        <v>0</v>
      </c>
      <c r="G856" s="1499"/>
      <c r="H856" s="1499">
        <f t="shared" si="236"/>
        <v>0</v>
      </c>
      <c r="I856" s="1450"/>
      <c r="J856" s="1461">
        <v>100</v>
      </c>
      <c r="K856" s="1457"/>
      <c r="L856" s="1457"/>
      <c r="M856" s="1457"/>
      <c r="N856" s="1457"/>
      <c r="O856" s="1457"/>
      <c r="P856" s="1462">
        <f t="shared" si="246"/>
        <v>0</v>
      </c>
      <c r="Q856" s="1495"/>
      <c r="R856" s="1461"/>
      <c r="S856" s="1457"/>
      <c r="T856" s="1457"/>
      <c r="U856" s="1457"/>
      <c r="V856" s="1457"/>
      <c r="W856" s="1462"/>
      <c r="X856" s="1496"/>
      <c r="Y856" s="1444"/>
    </row>
    <row r="857" spans="1:25" ht="24">
      <c r="A857" s="1497">
        <v>4610</v>
      </c>
      <c r="B857" s="1513" t="s">
        <v>751</v>
      </c>
      <c r="C857" s="1457"/>
      <c r="D857" s="1457">
        <f t="shared" si="244"/>
        <v>560</v>
      </c>
      <c r="E857" s="1458"/>
      <c r="F857" s="1459">
        <f t="shared" si="245"/>
        <v>0</v>
      </c>
      <c r="G857" s="1499"/>
      <c r="H857" s="1499">
        <f t="shared" si="236"/>
        <v>0</v>
      </c>
      <c r="I857" s="1450"/>
      <c r="J857" s="1461">
        <v>560</v>
      </c>
      <c r="K857" s="1457"/>
      <c r="L857" s="1457"/>
      <c r="M857" s="1457"/>
      <c r="N857" s="1457"/>
      <c r="O857" s="1457"/>
      <c r="P857" s="1462">
        <f t="shared" si="246"/>
        <v>0</v>
      </c>
      <c r="Q857" s="1495"/>
      <c r="R857" s="1461"/>
      <c r="S857" s="1457"/>
      <c r="T857" s="1457"/>
      <c r="U857" s="1457"/>
      <c r="V857" s="1457"/>
      <c r="W857" s="1462"/>
      <c r="X857" s="1496"/>
      <c r="Y857" s="1444"/>
    </row>
    <row r="858" spans="1:25" ht="17.25" customHeight="1">
      <c r="A858" s="1497">
        <v>4300</v>
      </c>
      <c r="B858" s="1513" t="s">
        <v>653</v>
      </c>
      <c r="C858" s="1457">
        <f>SUM(C859:C861)</f>
        <v>440300</v>
      </c>
      <c r="D858" s="1457">
        <f t="shared" si="244"/>
        <v>362384</v>
      </c>
      <c r="E858" s="1458">
        <f>SUM(E859:E861)</f>
        <v>447600</v>
      </c>
      <c r="F858" s="1459">
        <f t="shared" si="245"/>
        <v>445000</v>
      </c>
      <c r="G858" s="1499">
        <f t="shared" si="235"/>
        <v>101.06745400863049</v>
      </c>
      <c r="H858" s="1499">
        <f t="shared" si="236"/>
        <v>122.79791602278247</v>
      </c>
      <c r="I858" s="1460"/>
      <c r="J858" s="1461">
        <v>362384</v>
      </c>
      <c r="K858" s="1457">
        <f>SUM(K859:K861)</f>
        <v>445000</v>
      </c>
      <c r="L858" s="1457"/>
      <c r="M858" s="1457"/>
      <c r="N858" s="1457"/>
      <c r="O858" s="1457"/>
      <c r="P858" s="1462">
        <f>SUM(P859:P861)</f>
        <v>445000</v>
      </c>
      <c r="Q858" s="1463">
        <f>P858/J858*100</f>
        <v>122.79791602278247</v>
      </c>
      <c r="R858" s="1461"/>
      <c r="S858" s="1457"/>
      <c r="T858" s="1457"/>
      <c r="U858" s="1457"/>
      <c r="V858" s="1457"/>
      <c r="W858" s="1462"/>
      <c r="X858" s="1464"/>
      <c r="Y858" s="1444"/>
    </row>
    <row r="859" spans="1:25" s="618" customFormat="1" ht="24">
      <c r="A859" s="1521"/>
      <c r="B859" s="1522" t="s">
        <v>1008</v>
      </c>
      <c r="C859" s="1523">
        <f>1500+84000</f>
        <v>85500</v>
      </c>
      <c r="D859" s="1523">
        <f t="shared" si="244"/>
        <v>0</v>
      </c>
      <c r="E859" s="1543">
        <v>87000</v>
      </c>
      <c r="F859" s="1544">
        <f t="shared" si="245"/>
        <v>85000</v>
      </c>
      <c r="G859" s="1499">
        <f t="shared" si="235"/>
        <v>99.41520467836257</v>
      </c>
      <c r="H859" s="1499"/>
      <c r="I859" s="1696"/>
      <c r="J859" s="1526"/>
      <c r="K859" s="1544">
        <v>85000</v>
      </c>
      <c r="L859" s="1523"/>
      <c r="M859" s="1523"/>
      <c r="N859" s="1523"/>
      <c r="O859" s="1523"/>
      <c r="P859" s="1527">
        <f>SUM(K859:N859)</f>
        <v>85000</v>
      </c>
      <c r="Q859" s="1579"/>
      <c r="R859" s="1526"/>
      <c r="S859" s="1523"/>
      <c r="T859" s="1523"/>
      <c r="U859" s="1523"/>
      <c r="V859" s="1523"/>
      <c r="W859" s="1527"/>
      <c r="X859" s="1697"/>
      <c r="Y859" s="1444"/>
    </row>
    <row r="860" spans="1:25" s="618" customFormat="1" ht="12.75">
      <c r="A860" s="1521"/>
      <c r="B860" s="1522" t="s">
        <v>1009</v>
      </c>
      <c r="C860" s="1523">
        <v>4400</v>
      </c>
      <c r="D860" s="1523">
        <f t="shared" si="244"/>
        <v>0</v>
      </c>
      <c r="E860" s="1543">
        <v>5000</v>
      </c>
      <c r="F860" s="1544">
        <f t="shared" si="245"/>
        <v>4400</v>
      </c>
      <c r="G860" s="1499">
        <f t="shared" si="235"/>
        <v>100</v>
      </c>
      <c r="H860" s="1499"/>
      <c r="I860" s="1696"/>
      <c r="J860" s="1526"/>
      <c r="K860" s="1544">
        <v>4400</v>
      </c>
      <c r="L860" s="1523"/>
      <c r="M860" s="1523"/>
      <c r="N860" s="1523"/>
      <c r="O860" s="1523"/>
      <c r="P860" s="1527">
        <f>SUM(K860:N860)</f>
        <v>4400</v>
      </c>
      <c r="Q860" s="1579"/>
      <c r="R860" s="1526"/>
      <c r="S860" s="1523"/>
      <c r="T860" s="1523"/>
      <c r="U860" s="1523"/>
      <c r="V860" s="1523"/>
      <c r="W860" s="1527"/>
      <c r="X860" s="1697"/>
      <c r="Y860" s="1444"/>
    </row>
    <row r="861" spans="1:25" s="618" customFormat="1" ht="13.5" thickBot="1">
      <c r="A861" s="1583"/>
      <c r="B861" s="1584" t="s">
        <v>1010</v>
      </c>
      <c r="C861" s="1585">
        <v>350400</v>
      </c>
      <c r="D861" s="1523">
        <f t="shared" si="244"/>
        <v>0</v>
      </c>
      <c r="E861" s="1586">
        <v>355600</v>
      </c>
      <c r="F861" s="1544">
        <f t="shared" si="245"/>
        <v>355600</v>
      </c>
      <c r="G861" s="1481">
        <f t="shared" si="235"/>
        <v>101.48401826484019</v>
      </c>
      <c r="H861" s="1481"/>
      <c r="I861" s="1698"/>
      <c r="J861" s="1587"/>
      <c r="K861" s="1585">
        <v>355600</v>
      </c>
      <c r="L861" s="1585"/>
      <c r="M861" s="1585"/>
      <c r="N861" s="1585"/>
      <c r="O861" s="1585"/>
      <c r="P861" s="1527">
        <f>SUM(K861:N861)</f>
        <v>355600</v>
      </c>
      <c r="Q861" s="1699"/>
      <c r="R861" s="1587"/>
      <c r="S861" s="1585"/>
      <c r="T861" s="1585"/>
      <c r="U861" s="1585"/>
      <c r="V861" s="1585"/>
      <c r="W861" s="1588"/>
      <c r="X861" s="1700"/>
      <c r="Y861" s="1444"/>
    </row>
    <row r="862" spans="1:28" s="581" customFormat="1" ht="14.25" thickBot="1" thickTop="1">
      <c r="A862" s="1489">
        <v>852</v>
      </c>
      <c r="B862" s="1490" t="s">
        <v>1011</v>
      </c>
      <c r="C862" s="1434">
        <f>C863+C880+C920+C928+C937+C940+C943+C945+C958+C981+C997+C1011+C1016+C1018+C878</f>
        <v>19170002</v>
      </c>
      <c r="D862" s="1434">
        <f>D863+D880+D920+D928+D937+D940+D943+D945+D958+D981+D997+D1011+D1016+D1018+D878</f>
        <v>21711813</v>
      </c>
      <c r="E862" s="1435">
        <f>E863+E880+E920+E928+E937+E940+E943+E945+E958+E981+E997+E1011+E1016+E1018+E878</f>
        <v>25629392</v>
      </c>
      <c r="F862" s="1436">
        <f>F863+F880+F920+F928+F937+F940+F943+F945+F958+F981+F997+F1011+F1016+F1018+F878</f>
        <v>21241485</v>
      </c>
      <c r="G862" s="1602">
        <f t="shared" si="235"/>
        <v>110.80585698426113</v>
      </c>
      <c r="H862" s="1603">
        <f t="shared" si="236"/>
        <v>97.83376910993108</v>
      </c>
      <c r="I862" s="1439">
        <f>F862/F$1426*100</f>
        <v>7.747151004770069</v>
      </c>
      <c r="J862" s="1440">
        <f>J863+J880+J920+J928+J937+J940+J943+J945+J958+J981+J997+J1011+J1016+J1018+J878</f>
        <v>17447172</v>
      </c>
      <c r="K862" s="1434">
        <f>K863+K880+K920+K928+K937+K940+K943+K945+K958+K981+K997+K1011+K1016+K1018+K878</f>
        <v>15325871</v>
      </c>
      <c r="L862" s="1434">
        <f>L863+L880+L920+L928+L937+L940+L943+L945+L958+L981+L997+L1011+L1016+L1018+L878</f>
        <v>1000000</v>
      </c>
      <c r="M862" s="1434">
        <f>M863+M880+M920+M928+M937+M940+M943+M945+M958+M981+M997+M1011+M1016+M1018+M878</f>
        <v>19800</v>
      </c>
      <c r="N862" s="1434">
        <f>N863+N880+N920+N928+N937+N940+N943+N945+N958+N981+N997+N1011+N1016+N1018+N878</f>
        <v>112000</v>
      </c>
      <c r="O862" s="1434"/>
      <c r="P862" s="1441">
        <f aca="true" t="shared" si="247" ref="P862:W862">P863+P880+P920+P928+P937+P940+P943+P945+P958+P981+P997+P1011+P1016+P1018+P878</f>
        <v>16957671</v>
      </c>
      <c r="Q862" s="1701" t="e">
        <f t="shared" si="247"/>
        <v>#DIV/0!</v>
      </c>
      <c r="R862" s="1440">
        <f t="shared" si="247"/>
        <v>4264641</v>
      </c>
      <c r="S862" s="1434">
        <f t="shared" si="247"/>
        <v>4272614</v>
      </c>
      <c r="T862" s="1434">
        <f t="shared" si="247"/>
        <v>0</v>
      </c>
      <c r="U862" s="1434">
        <f t="shared" si="247"/>
        <v>10200</v>
      </c>
      <c r="V862" s="1434">
        <f t="shared" si="247"/>
        <v>1000</v>
      </c>
      <c r="W862" s="1441">
        <f t="shared" si="247"/>
        <v>4283814</v>
      </c>
      <c r="X862" s="1443">
        <f aca="true" t="shared" si="248" ref="X862:X874">W862/R862*100</f>
        <v>100.44958063293019</v>
      </c>
      <c r="Y862" s="1444"/>
      <c r="Z862" s="1504">
        <f>Z863+Z880+Z920+Z937+Z940+Z943+Z945+Z958+Z981+Z997+Z1011+Z1018</f>
        <v>4996759</v>
      </c>
      <c r="AA862" s="1592">
        <f>AA863+AA880+AA920+AA937+AA940+AA943+AA945+AA958+AA981+AA997+AA1011+AA1018</f>
        <v>903396</v>
      </c>
      <c r="AB862" s="1505">
        <f>Z862+AA862</f>
        <v>5900155</v>
      </c>
    </row>
    <row r="863" spans="1:28" s="581" customFormat="1" ht="24.75" thickTop="1">
      <c r="A863" s="1493">
        <v>85201</v>
      </c>
      <c r="B863" s="1506" t="s">
        <v>1012</v>
      </c>
      <c r="C863" s="1447">
        <f>SUM(C864:C877)</f>
        <v>702971</v>
      </c>
      <c r="D863" s="1447">
        <f>SUM(D864:D877)</f>
        <v>1165571</v>
      </c>
      <c r="E863" s="1448">
        <f>SUM(E864:E877)</f>
        <v>1155661</v>
      </c>
      <c r="F863" s="1449">
        <f>SUM(F864:F877)</f>
        <v>1080319</v>
      </c>
      <c r="G863" s="1474">
        <f t="shared" si="235"/>
        <v>153.67902801111285</v>
      </c>
      <c r="H863" s="1475">
        <f t="shared" si="236"/>
        <v>92.6858166512379</v>
      </c>
      <c r="I863" s="1450"/>
      <c r="J863" s="1451"/>
      <c r="K863" s="1447"/>
      <c r="L863" s="1447"/>
      <c r="M863" s="1447"/>
      <c r="N863" s="1447"/>
      <c r="O863" s="1447"/>
      <c r="P863" s="1452"/>
      <c r="Q863" s="1453"/>
      <c r="R863" s="1451">
        <f aca="true" t="shared" si="249" ref="R863:W863">SUM(R864:R877)</f>
        <v>1165571</v>
      </c>
      <c r="S863" s="1447">
        <f t="shared" si="249"/>
        <v>1079319</v>
      </c>
      <c r="T863" s="1447">
        <f t="shared" si="249"/>
        <v>0</v>
      </c>
      <c r="U863" s="1447">
        <f t="shared" si="249"/>
        <v>0</v>
      </c>
      <c r="V863" s="1447">
        <f t="shared" si="249"/>
        <v>1000</v>
      </c>
      <c r="W863" s="1452">
        <f t="shared" si="249"/>
        <v>1080319</v>
      </c>
      <c r="X863" s="1454">
        <f t="shared" si="248"/>
        <v>92.6858166512379</v>
      </c>
      <c r="Y863" s="1444"/>
      <c r="AA863" s="1444">
        <f>SUM(S867:S870)</f>
        <v>71816</v>
      </c>
      <c r="AB863" s="1505">
        <f>Z863+AA863</f>
        <v>71816</v>
      </c>
    </row>
    <row r="864" spans="1:25" ht="48">
      <c r="A864" s="1497">
        <v>2820</v>
      </c>
      <c r="B864" s="1513" t="s">
        <v>867</v>
      </c>
      <c r="C864" s="1457">
        <v>72000</v>
      </c>
      <c r="D864" s="1457">
        <f>J864+R864</f>
        <v>72000</v>
      </c>
      <c r="E864" s="1458">
        <v>72000</v>
      </c>
      <c r="F864" s="1459">
        <f>P864+W864</f>
        <v>72000</v>
      </c>
      <c r="G864" s="1499">
        <f t="shared" si="235"/>
        <v>100</v>
      </c>
      <c r="H864" s="1499">
        <f t="shared" si="236"/>
        <v>100</v>
      </c>
      <c r="I864" s="1450"/>
      <c r="J864" s="1461"/>
      <c r="K864" s="1457"/>
      <c r="L864" s="1457"/>
      <c r="M864" s="1457"/>
      <c r="N864" s="1457"/>
      <c r="O864" s="1457"/>
      <c r="P864" s="1462"/>
      <c r="Q864" s="1495"/>
      <c r="R864" s="1461">
        <v>72000</v>
      </c>
      <c r="S864" s="1457">
        <v>72000</v>
      </c>
      <c r="T864" s="1457"/>
      <c r="U864" s="1457"/>
      <c r="V864" s="1457"/>
      <c r="W864" s="1462">
        <f>SUM(S864:V864)</f>
        <v>72000</v>
      </c>
      <c r="X864" s="1496">
        <f t="shared" si="248"/>
        <v>100</v>
      </c>
      <c r="Y864" s="1444"/>
    </row>
    <row r="865" spans="1:25" ht="48">
      <c r="A865" s="1497">
        <v>2320</v>
      </c>
      <c r="B865" s="1513" t="s">
        <v>1013</v>
      </c>
      <c r="C865" s="1457">
        <v>270000</v>
      </c>
      <c r="D865" s="1457">
        <f>J865+R865</f>
        <v>100000</v>
      </c>
      <c r="E865" s="1458">
        <v>650560</v>
      </c>
      <c r="F865" s="1459">
        <f>P865+W865</f>
        <v>650560</v>
      </c>
      <c r="G865" s="1499">
        <f aca="true" t="shared" si="250" ref="G865:G926">F865/C865*100</f>
        <v>240.94814814814814</v>
      </c>
      <c r="H865" s="1499">
        <f t="shared" si="236"/>
        <v>650.5600000000001</v>
      </c>
      <c r="I865" s="1450"/>
      <c r="J865" s="1461"/>
      <c r="K865" s="1457"/>
      <c r="L865" s="1457"/>
      <c r="M865" s="1457"/>
      <c r="N865" s="1457"/>
      <c r="O865" s="1457"/>
      <c r="P865" s="1462"/>
      <c r="Q865" s="1495"/>
      <c r="R865" s="1461">
        <v>100000</v>
      </c>
      <c r="S865" s="1457">
        <v>650560</v>
      </c>
      <c r="T865" s="1457"/>
      <c r="U865" s="1457"/>
      <c r="V865" s="1457"/>
      <c r="W865" s="1462">
        <f>SUM(S865:V865)</f>
        <v>650560</v>
      </c>
      <c r="X865" s="1496">
        <f t="shared" si="248"/>
        <v>650.5600000000001</v>
      </c>
      <c r="Y865" s="1444"/>
    </row>
    <row r="866" spans="1:25" ht="12.75">
      <c r="A866" s="1497">
        <v>3110</v>
      </c>
      <c r="B866" s="1513" t="s">
        <v>1014</v>
      </c>
      <c r="C866" s="1457">
        <v>120000</v>
      </c>
      <c r="D866" s="1457">
        <f aca="true" t="shared" si="251" ref="D866:D879">J866+R866</f>
        <v>120000</v>
      </c>
      <c r="E866" s="1458">
        <v>195342</v>
      </c>
      <c r="F866" s="1459">
        <f aca="true" t="shared" si="252" ref="F866:F879">P866+W866</f>
        <v>120000</v>
      </c>
      <c r="G866" s="1499">
        <f t="shared" si="250"/>
        <v>100</v>
      </c>
      <c r="H866" s="1499">
        <f t="shared" si="236"/>
        <v>100</v>
      </c>
      <c r="I866" s="1450"/>
      <c r="J866" s="1461"/>
      <c r="K866" s="1457"/>
      <c r="L866" s="1457"/>
      <c r="M866" s="1457"/>
      <c r="N866" s="1457"/>
      <c r="O866" s="1457"/>
      <c r="P866" s="1462"/>
      <c r="Q866" s="1495"/>
      <c r="R866" s="1461">
        <v>120000</v>
      </c>
      <c r="S866" s="1457">
        <v>120000</v>
      </c>
      <c r="T866" s="1457"/>
      <c r="U866" s="1457"/>
      <c r="V866" s="1457"/>
      <c r="W866" s="1462">
        <f aca="true" t="shared" si="253" ref="W866:W877">SUM(S866:V866)</f>
        <v>120000</v>
      </c>
      <c r="X866" s="1496">
        <f t="shared" si="248"/>
        <v>100</v>
      </c>
      <c r="Y866" s="1444"/>
    </row>
    <row r="867" spans="1:25" ht="24">
      <c r="A867" s="1497">
        <v>4010</v>
      </c>
      <c r="B867" s="1513" t="s">
        <v>626</v>
      </c>
      <c r="C867" s="1457">
        <v>54810</v>
      </c>
      <c r="D867" s="1457">
        <f t="shared" si="251"/>
        <v>55810</v>
      </c>
      <c r="E867" s="1458">
        <v>55098</v>
      </c>
      <c r="F867" s="1459">
        <f t="shared" si="252"/>
        <v>55098</v>
      </c>
      <c r="G867" s="1499">
        <f t="shared" si="250"/>
        <v>100.52545155993431</v>
      </c>
      <c r="H867" s="1499">
        <f aca="true" t="shared" si="254" ref="H867:H930">F867/D867*100</f>
        <v>98.72424296721017</v>
      </c>
      <c r="I867" s="1450"/>
      <c r="J867" s="1461"/>
      <c r="K867" s="1457"/>
      <c r="L867" s="1457"/>
      <c r="M867" s="1457"/>
      <c r="N867" s="1457"/>
      <c r="O867" s="1457"/>
      <c r="P867" s="1462"/>
      <c r="Q867" s="1495"/>
      <c r="R867" s="1461">
        <v>55810</v>
      </c>
      <c r="S867" s="1457">
        <v>55098</v>
      </c>
      <c r="T867" s="1457"/>
      <c r="U867" s="1457"/>
      <c r="V867" s="1457"/>
      <c r="W867" s="1462">
        <f t="shared" si="253"/>
        <v>55098</v>
      </c>
      <c r="X867" s="1496">
        <f t="shared" si="248"/>
        <v>98.72424296721017</v>
      </c>
      <c r="Y867" s="1444"/>
    </row>
    <row r="868" spans="1:25" ht="12.75">
      <c r="A868" s="1497">
        <v>4040</v>
      </c>
      <c r="B868" s="1513" t="s">
        <v>719</v>
      </c>
      <c r="C868" s="1457">
        <v>4660</v>
      </c>
      <c r="D868" s="1457">
        <f t="shared" si="251"/>
        <v>4330</v>
      </c>
      <c r="E868" s="1458">
        <v>4659</v>
      </c>
      <c r="F868" s="1459">
        <f t="shared" si="252"/>
        <v>4659</v>
      </c>
      <c r="G868" s="1499">
        <f t="shared" si="250"/>
        <v>99.97854077253218</v>
      </c>
      <c r="H868" s="1499">
        <f t="shared" si="254"/>
        <v>107.59815242494226</v>
      </c>
      <c r="I868" s="1450"/>
      <c r="J868" s="1461"/>
      <c r="K868" s="1457"/>
      <c r="L868" s="1457"/>
      <c r="M868" s="1457"/>
      <c r="N868" s="1457"/>
      <c r="O868" s="1457"/>
      <c r="P868" s="1462"/>
      <c r="Q868" s="1495"/>
      <c r="R868" s="1461">
        <v>4330</v>
      </c>
      <c r="S868" s="1457">
        <v>4659</v>
      </c>
      <c r="T868" s="1457"/>
      <c r="U868" s="1457"/>
      <c r="V868" s="1457"/>
      <c r="W868" s="1462">
        <f t="shared" si="253"/>
        <v>4659</v>
      </c>
      <c r="X868" s="1496">
        <f t="shared" si="248"/>
        <v>107.59815242494226</v>
      </c>
      <c r="Y868" s="1444"/>
    </row>
    <row r="869" spans="1:25" ht="12.75">
      <c r="A869" s="1497">
        <v>4110</v>
      </c>
      <c r="B869" s="1513" t="s">
        <v>568</v>
      </c>
      <c r="C869" s="1457">
        <v>10550</v>
      </c>
      <c r="D869" s="1457">
        <f t="shared" si="251"/>
        <v>10550</v>
      </c>
      <c r="E869" s="1458">
        <v>10595</v>
      </c>
      <c r="F869" s="1459">
        <f t="shared" si="252"/>
        <v>10595</v>
      </c>
      <c r="G869" s="1499">
        <f t="shared" si="250"/>
        <v>100.4265402843602</v>
      </c>
      <c r="H869" s="1499">
        <f t="shared" si="254"/>
        <v>100.4265402843602</v>
      </c>
      <c r="I869" s="1450"/>
      <c r="J869" s="1461"/>
      <c r="K869" s="1457"/>
      <c r="L869" s="1457"/>
      <c r="M869" s="1457"/>
      <c r="N869" s="1457"/>
      <c r="O869" s="1457"/>
      <c r="P869" s="1462"/>
      <c r="Q869" s="1495"/>
      <c r="R869" s="1461">
        <v>10550</v>
      </c>
      <c r="S869" s="1457">
        <v>10595</v>
      </c>
      <c r="T869" s="1457"/>
      <c r="U869" s="1457"/>
      <c r="V869" s="1457"/>
      <c r="W869" s="1462">
        <f t="shared" si="253"/>
        <v>10595</v>
      </c>
      <c r="X869" s="1496">
        <f t="shared" si="248"/>
        <v>100.4265402843602</v>
      </c>
      <c r="Y869" s="1444"/>
    </row>
    <row r="870" spans="1:25" ht="12.75">
      <c r="A870" s="1497">
        <v>4120</v>
      </c>
      <c r="B870" s="1513" t="s">
        <v>758</v>
      </c>
      <c r="C870" s="1457">
        <v>1460</v>
      </c>
      <c r="D870" s="1457">
        <f t="shared" si="251"/>
        <v>1460</v>
      </c>
      <c r="E870" s="1458">
        <v>1464</v>
      </c>
      <c r="F870" s="1459">
        <f t="shared" si="252"/>
        <v>1464</v>
      </c>
      <c r="G870" s="1499">
        <f t="shared" si="250"/>
        <v>100.27397260273973</v>
      </c>
      <c r="H870" s="1499">
        <f t="shared" si="254"/>
        <v>100.27397260273973</v>
      </c>
      <c r="I870" s="1450"/>
      <c r="J870" s="1461"/>
      <c r="K870" s="1457"/>
      <c r="L870" s="1457"/>
      <c r="M870" s="1457"/>
      <c r="N870" s="1457"/>
      <c r="O870" s="1457"/>
      <c r="P870" s="1462"/>
      <c r="Q870" s="1495"/>
      <c r="R870" s="1461">
        <v>1460</v>
      </c>
      <c r="S870" s="1457">
        <v>1464</v>
      </c>
      <c r="T870" s="1457"/>
      <c r="U870" s="1457"/>
      <c r="V870" s="1457"/>
      <c r="W870" s="1462">
        <f t="shared" si="253"/>
        <v>1464</v>
      </c>
      <c r="X870" s="1496">
        <f t="shared" si="248"/>
        <v>100.27397260273973</v>
      </c>
      <c r="Y870" s="1444"/>
    </row>
    <row r="871" spans="1:25" ht="12.75">
      <c r="A871" s="1497">
        <v>4210</v>
      </c>
      <c r="B871" s="1513" t="s">
        <v>560</v>
      </c>
      <c r="C871" s="1457">
        <v>12950</v>
      </c>
      <c r="D871" s="1457">
        <f t="shared" si="251"/>
        <v>12950</v>
      </c>
      <c r="E871" s="1458">
        <v>16260</v>
      </c>
      <c r="F871" s="1459">
        <f t="shared" si="252"/>
        <v>16260</v>
      </c>
      <c r="G871" s="1499">
        <f t="shared" si="250"/>
        <v>125.55984555984556</v>
      </c>
      <c r="H871" s="1499">
        <f t="shared" si="254"/>
        <v>125.55984555984556</v>
      </c>
      <c r="I871" s="1450"/>
      <c r="J871" s="1461"/>
      <c r="K871" s="1457"/>
      <c r="L871" s="1457"/>
      <c r="M871" s="1457"/>
      <c r="N871" s="1457"/>
      <c r="O871" s="1457"/>
      <c r="P871" s="1462"/>
      <c r="Q871" s="1495"/>
      <c r="R871" s="1461">
        <v>12950</v>
      </c>
      <c r="S871" s="1457">
        <v>16260</v>
      </c>
      <c r="T871" s="1457"/>
      <c r="U871" s="1457"/>
      <c r="V871" s="1457"/>
      <c r="W871" s="1462">
        <f t="shared" si="253"/>
        <v>16260</v>
      </c>
      <c r="X871" s="1496">
        <f t="shared" si="248"/>
        <v>125.55984555984556</v>
      </c>
      <c r="Y871" s="1444"/>
    </row>
    <row r="872" spans="1:25" ht="12.75">
      <c r="A872" s="1497">
        <v>4260</v>
      </c>
      <c r="B872" s="1513" t="s">
        <v>575</v>
      </c>
      <c r="C872" s="1457">
        <v>6400</v>
      </c>
      <c r="D872" s="1457">
        <f t="shared" si="251"/>
        <v>6730</v>
      </c>
      <c r="E872" s="1458">
        <v>8400</v>
      </c>
      <c r="F872" s="1459">
        <f t="shared" si="252"/>
        <v>8400</v>
      </c>
      <c r="G872" s="1499">
        <f t="shared" si="250"/>
        <v>131.25</v>
      </c>
      <c r="H872" s="1499">
        <f t="shared" si="254"/>
        <v>124.81426448736998</v>
      </c>
      <c r="I872" s="1450"/>
      <c r="J872" s="1461"/>
      <c r="K872" s="1457"/>
      <c r="L872" s="1457"/>
      <c r="M872" s="1457"/>
      <c r="N872" s="1457"/>
      <c r="O872" s="1457"/>
      <c r="P872" s="1462"/>
      <c r="Q872" s="1495"/>
      <c r="R872" s="1461">
        <v>6730</v>
      </c>
      <c r="S872" s="1457">
        <v>8400</v>
      </c>
      <c r="T872" s="1457"/>
      <c r="U872" s="1457"/>
      <c r="V872" s="1457"/>
      <c r="W872" s="1462">
        <f t="shared" si="253"/>
        <v>8400</v>
      </c>
      <c r="X872" s="1496">
        <f t="shared" si="248"/>
        <v>124.81426448736998</v>
      </c>
      <c r="Y872" s="1444"/>
    </row>
    <row r="873" spans="1:25" ht="12.75">
      <c r="A873" s="1497">
        <v>4270</v>
      </c>
      <c r="B873" s="1513" t="s">
        <v>576</v>
      </c>
      <c r="C873" s="1457">
        <v>1150</v>
      </c>
      <c r="D873" s="1457">
        <f t="shared" si="251"/>
        <v>1150</v>
      </c>
      <c r="E873" s="1458">
        <v>1000</v>
      </c>
      <c r="F873" s="1459">
        <f t="shared" si="252"/>
        <v>1000</v>
      </c>
      <c r="G873" s="1499">
        <f t="shared" si="250"/>
        <v>86.95652173913044</v>
      </c>
      <c r="H873" s="1499">
        <f t="shared" si="254"/>
        <v>86.95652173913044</v>
      </c>
      <c r="I873" s="1450"/>
      <c r="J873" s="1461"/>
      <c r="K873" s="1457"/>
      <c r="L873" s="1457"/>
      <c r="M873" s="1457"/>
      <c r="N873" s="1457"/>
      <c r="O873" s="1457"/>
      <c r="P873" s="1462"/>
      <c r="Q873" s="1495"/>
      <c r="R873" s="1461">
        <v>1150</v>
      </c>
      <c r="S873" s="1457"/>
      <c r="T873" s="1457"/>
      <c r="U873" s="1457"/>
      <c r="V873" s="1457">
        <v>1000</v>
      </c>
      <c r="W873" s="1462">
        <f t="shared" si="253"/>
        <v>1000</v>
      </c>
      <c r="X873" s="1496">
        <f t="shared" si="248"/>
        <v>86.95652173913044</v>
      </c>
      <c r="Y873" s="1444"/>
    </row>
    <row r="874" spans="1:25" ht="12.75">
      <c r="A874" s="1497">
        <v>4280</v>
      </c>
      <c r="B874" s="1513" t="s">
        <v>1015</v>
      </c>
      <c r="C874" s="1457">
        <v>6240</v>
      </c>
      <c r="D874" s="1457">
        <f t="shared" si="251"/>
        <v>6240</v>
      </c>
      <c r="E874" s="1458">
        <v>2600</v>
      </c>
      <c r="F874" s="1459">
        <f t="shared" si="252"/>
        <v>2600</v>
      </c>
      <c r="G874" s="1499">
        <f t="shared" si="250"/>
        <v>41.66666666666667</v>
      </c>
      <c r="H874" s="1499">
        <f t="shared" si="254"/>
        <v>41.66666666666667</v>
      </c>
      <c r="I874" s="1450"/>
      <c r="J874" s="1461"/>
      <c r="K874" s="1457"/>
      <c r="L874" s="1457"/>
      <c r="M874" s="1457"/>
      <c r="N874" s="1457"/>
      <c r="O874" s="1457"/>
      <c r="P874" s="1462"/>
      <c r="Q874" s="1495"/>
      <c r="R874" s="1461">
        <v>6240</v>
      </c>
      <c r="S874" s="1457">
        <v>2600</v>
      </c>
      <c r="T874" s="1457"/>
      <c r="U874" s="1457"/>
      <c r="V874" s="1457"/>
      <c r="W874" s="1462">
        <f t="shared" si="253"/>
        <v>2600</v>
      </c>
      <c r="X874" s="1496">
        <f t="shared" si="248"/>
        <v>41.66666666666667</v>
      </c>
      <c r="Y874" s="1444"/>
    </row>
    <row r="875" spans="1:25" ht="12.75">
      <c r="A875" s="1497">
        <v>4300</v>
      </c>
      <c r="B875" s="1513" t="s">
        <v>564</v>
      </c>
      <c r="C875" s="1457">
        <v>138366</v>
      </c>
      <c r="D875" s="1457">
        <f t="shared" si="251"/>
        <v>138366</v>
      </c>
      <c r="E875" s="1458">
        <v>133000</v>
      </c>
      <c r="F875" s="1459">
        <f t="shared" si="252"/>
        <v>133000</v>
      </c>
      <c r="G875" s="1499">
        <f t="shared" si="250"/>
        <v>96.1218796525158</v>
      </c>
      <c r="H875" s="1499">
        <f t="shared" si="254"/>
        <v>96.1218796525158</v>
      </c>
      <c r="I875" s="1450"/>
      <c r="J875" s="1461"/>
      <c r="K875" s="1457"/>
      <c r="L875" s="1457"/>
      <c r="M875" s="1457"/>
      <c r="N875" s="1457"/>
      <c r="O875" s="1457"/>
      <c r="P875" s="1462"/>
      <c r="Q875" s="1495"/>
      <c r="R875" s="1461">
        <v>138366</v>
      </c>
      <c r="S875" s="1457">
        <v>133000</v>
      </c>
      <c r="T875" s="1457"/>
      <c r="U875" s="1457"/>
      <c r="V875" s="1457"/>
      <c r="W875" s="1462">
        <f t="shared" si="253"/>
        <v>133000</v>
      </c>
      <c r="X875" s="1496">
        <f>W875/R875*100</f>
        <v>96.1218796525158</v>
      </c>
      <c r="Y875" s="1444"/>
    </row>
    <row r="876" spans="1:25" ht="24">
      <c r="A876" s="1497">
        <v>4330</v>
      </c>
      <c r="B876" s="1513" t="s">
        <v>1016</v>
      </c>
      <c r="C876" s="1457"/>
      <c r="D876" s="1457">
        <f t="shared" si="251"/>
        <v>631600</v>
      </c>
      <c r="E876" s="1458">
        <v>0</v>
      </c>
      <c r="F876" s="1459">
        <f t="shared" si="252"/>
        <v>0</v>
      </c>
      <c r="G876" s="1499"/>
      <c r="H876" s="1499">
        <f t="shared" si="254"/>
        <v>0</v>
      </c>
      <c r="I876" s="1450"/>
      <c r="J876" s="1461"/>
      <c r="K876" s="1457"/>
      <c r="L876" s="1457"/>
      <c r="M876" s="1457"/>
      <c r="N876" s="1457"/>
      <c r="O876" s="1457"/>
      <c r="P876" s="1462"/>
      <c r="Q876" s="1495"/>
      <c r="R876" s="1461">
        <v>631600</v>
      </c>
      <c r="S876" s="1457"/>
      <c r="T876" s="1457"/>
      <c r="U876" s="1457"/>
      <c r="V876" s="1457"/>
      <c r="W876" s="1462"/>
      <c r="X876" s="1496"/>
      <c r="Y876" s="1444"/>
    </row>
    <row r="877" spans="1:25" ht="12.75">
      <c r="A877" s="1497">
        <v>4440</v>
      </c>
      <c r="B877" s="1513" t="s">
        <v>641</v>
      </c>
      <c r="C877" s="1457">
        <v>4385</v>
      </c>
      <c r="D877" s="1457">
        <f t="shared" si="251"/>
        <v>4385</v>
      </c>
      <c r="E877" s="1458">
        <v>4683</v>
      </c>
      <c r="F877" s="1459">
        <f t="shared" si="252"/>
        <v>4683</v>
      </c>
      <c r="G877" s="1499">
        <f t="shared" si="250"/>
        <v>106.79589509692131</v>
      </c>
      <c r="H877" s="1499">
        <f t="shared" si="254"/>
        <v>106.79589509692131</v>
      </c>
      <c r="I877" s="1450"/>
      <c r="J877" s="1461"/>
      <c r="K877" s="1457"/>
      <c r="L877" s="1457"/>
      <c r="M877" s="1457"/>
      <c r="N877" s="1457"/>
      <c r="O877" s="1457"/>
      <c r="P877" s="1462"/>
      <c r="Q877" s="1495"/>
      <c r="R877" s="1461">
        <v>4385</v>
      </c>
      <c r="S877" s="1457">
        <v>4683</v>
      </c>
      <c r="T877" s="1457"/>
      <c r="U877" s="1457"/>
      <c r="V877" s="1457"/>
      <c r="W877" s="1462">
        <f t="shared" si="253"/>
        <v>4683</v>
      </c>
      <c r="X877" s="1496">
        <f>W877/R877*100</f>
        <v>106.79589509692131</v>
      </c>
      <c r="Y877" s="1444"/>
    </row>
    <row r="878" spans="1:25" ht="12.75">
      <c r="A878" s="1516">
        <v>85202</v>
      </c>
      <c r="B878" s="1550" t="s">
        <v>1017</v>
      </c>
      <c r="C878" s="1467">
        <f>C879</f>
        <v>300600</v>
      </c>
      <c r="D878" s="1467">
        <f>D879</f>
        <v>204500</v>
      </c>
      <c r="E878" s="1468">
        <f>E879</f>
        <v>405600</v>
      </c>
      <c r="F878" s="1469">
        <f t="shared" si="252"/>
        <v>200000</v>
      </c>
      <c r="G878" s="1531">
        <f t="shared" si="250"/>
        <v>66.53359946773121</v>
      </c>
      <c r="H878" s="1532">
        <f t="shared" si="254"/>
        <v>97.79951100244499</v>
      </c>
      <c r="I878" s="1450"/>
      <c r="J878" s="1470">
        <f aca="true" t="shared" si="255" ref="J878:X878">J879</f>
        <v>204500</v>
      </c>
      <c r="K878" s="1467">
        <f t="shared" si="255"/>
        <v>200000</v>
      </c>
      <c r="L878" s="1467">
        <f t="shared" si="255"/>
        <v>0</v>
      </c>
      <c r="M878" s="1467">
        <f t="shared" si="255"/>
        <v>0</v>
      </c>
      <c r="N878" s="1467">
        <f t="shared" si="255"/>
        <v>0</v>
      </c>
      <c r="O878" s="1467"/>
      <c r="P878" s="1471">
        <f t="shared" si="255"/>
        <v>200000</v>
      </c>
      <c r="Q878" s="1472">
        <f t="shared" si="255"/>
        <v>0</v>
      </c>
      <c r="R878" s="1470"/>
      <c r="S878" s="1467"/>
      <c r="T878" s="1467"/>
      <c r="U878" s="1467"/>
      <c r="V878" s="1467"/>
      <c r="W878" s="1471"/>
      <c r="X878" s="1606">
        <f t="shared" si="255"/>
        <v>0</v>
      </c>
      <c r="Y878" s="1444"/>
    </row>
    <row r="879" spans="1:25" ht="12.75">
      <c r="A879" s="1497">
        <v>4300</v>
      </c>
      <c r="B879" s="1513" t="s">
        <v>564</v>
      </c>
      <c r="C879" s="1457">
        <v>300600</v>
      </c>
      <c r="D879" s="1457">
        <f t="shared" si="251"/>
        <v>204500</v>
      </c>
      <c r="E879" s="1458">
        <v>405600</v>
      </c>
      <c r="F879" s="1459">
        <f t="shared" si="252"/>
        <v>200000</v>
      </c>
      <c r="G879" s="1499">
        <f t="shared" si="250"/>
        <v>66.53359946773121</v>
      </c>
      <c r="H879" s="1499">
        <f t="shared" si="254"/>
        <v>97.79951100244499</v>
      </c>
      <c r="I879" s="1450"/>
      <c r="J879" s="1461">
        <v>204500</v>
      </c>
      <c r="K879" s="1457">
        <v>200000</v>
      </c>
      <c r="L879" s="1457"/>
      <c r="M879" s="1457"/>
      <c r="N879" s="1457"/>
      <c r="O879" s="1457"/>
      <c r="P879" s="1462">
        <f>SUM(K879:N879)</f>
        <v>200000</v>
      </c>
      <c r="Q879" s="1495"/>
      <c r="R879" s="1461"/>
      <c r="S879" s="1457"/>
      <c r="T879" s="1457"/>
      <c r="U879" s="1457"/>
      <c r="V879" s="1457"/>
      <c r="W879" s="1462"/>
      <c r="X879" s="1496"/>
      <c r="Y879" s="1444"/>
    </row>
    <row r="880" spans="1:28" s="581" customFormat="1" ht="12.75">
      <c r="A880" s="1516">
        <v>85203</v>
      </c>
      <c r="B880" s="1550" t="s">
        <v>409</v>
      </c>
      <c r="C880" s="1467">
        <f>C881+C895+C907</f>
        <v>492920</v>
      </c>
      <c r="D880" s="1467">
        <f aca="true" t="shared" si="256" ref="D880:P880">D881+D895+D907</f>
        <v>511525</v>
      </c>
      <c r="E880" s="1468">
        <f t="shared" si="256"/>
        <v>555318</v>
      </c>
      <c r="F880" s="1469">
        <f t="shared" si="256"/>
        <v>505318</v>
      </c>
      <c r="G880" s="1519">
        <f t="shared" si="250"/>
        <v>102.51521545078307</v>
      </c>
      <c r="H880" s="1519">
        <f t="shared" si="254"/>
        <v>98.7865695713797</v>
      </c>
      <c r="I880" s="1450"/>
      <c r="J880" s="1470">
        <f t="shared" si="256"/>
        <v>511525</v>
      </c>
      <c r="K880" s="1467">
        <f t="shared" si="256"/>
        <v>498318</v>
      </c>
      <c r="L880" s="1467">
        <f t="shared" si="256"/>
        <v>0</v>
      </c>
      <c r="M880" s="1467">
        <f t="shared" si="256"/>
        <v>0</v>
      </c>
      <c r="N880" s="1467">
        <f t="shared" si="256"/>
        <v>7000</v>
      </c>
      <c r="O880" s="1467"/>
      <c r="P880" s="1471">
        <f t="shared" si="256"/>
        <v>505318</v>
      </c>
      <c r="Q880" s="1453">
        <f aca="true" t="shared" si="257" ref="Q880:Q943">P880/J880*100</f>
        <v>98.7865695713797</v>
      </c>
      <c r="R880" s="1470"/>
      <c r="S880" s="1467"/>
      <c r="T880" s="1467"/>
      <c r="U880" s="1467"/>
      <c r="V880" s="1467"/>
      <c r="W880" s="1471"/>
      <c r="X880" s="1454"/>
      <c r="Y880" s="1444"/>
      <c r="Z880" s="581">
        <f>Z881+Z895+Z907</f>
        <v>348619</v>
      </c>
      <c r="AA880" s="581">
        <f>AA881+AA895+AA907</f>
        <v>0</v>
      </c>
      <c r="AB880" s="581">
        <f>Z880+AA880</f>
        <v>348619</v>
      </c>
    </row>
    <row r="881" spans="1:28" s="581" customFormat="1" ht="12.75">
      <c r="A881" s="1516"/>
      <c r="B881" s="1550" t="s">
        <v>1018</v>
      </c>
      <c r="C881" s="1467">
        <f>SUM(C882:C894)</f>
        <v>174429</v>
      </c>
      <c r="D881" s="1467">
        <f aca="true" t="shared" si="258" ref="D881:P881">SUM(D882:D894)</f>
        <v>175634</v>
      </c>
      <c r="E881" s="1468">
        <f t="shared" si="258"/>
        <v>166373</v>
      </c>
      <c r="F881" s="1469">
        <f t="shared" si="258"/>
        <v>166373</v>
      </c>
      <c r="G881" s="1519">
        <f t="shared" si="250"/>
        <v>95.3815019291517</v>
      </c>
      <c r="H881" s="1519">
        <f t="shared" si="254"/>
        <v>94.72710295273124</v>
      </c>
      <c r="I881" s="1450"/>
      <c r="J881" s="1470">
        <f t="shared" si="258"/>
        <v>175634</v>
      </c>
      <c r="K881" s="1467">
        <f t="shared" si="258"/>
        <v>166373</v>
      </c>
      <c r="L881" s="1467">
        <f t="shared" si="258"/>
        <v>0</v>
      </c>
      <c r="M881" s="1467">
        <f t="shared" si="258"/>
        <v>0</v>
      </c>
      <c r="N881" s="1467">
        <f t="shared" si="258"/>
        <v>0</v>
      </c>
      <c r="O881" s="1467"/>
      <c r="P881" s="1471">
        <f t="shared" si="258"/>
        <v>166373</v>
      </c>
      <c r="Q881" s="1453">
        <f t="shared" si="257"/>
        <v>94.72710295273124</v>
      </c>
      <c r="R881" s="1470"/>
      <c r="S881" s="1467"/>
      <c r="T881" s="1467"/>
      <c r="U881" s="1467"/>
      <c r="V881" s="1467"/>
      <c r="W881" s="1471"/>
      <c r="X881" s="1454"/>
      <c r="Y881" s="1444"/>
      <c r="Z881" s="1444">
        <f>SUM(K882:K885)</f>
        <v>85084</v>
      </c>
      <c r="AB881" s="581">
        <f>Z881+AA881</f>
        <v>85084</v>
      </c>
    </row>
    <row r="882" spans="1:25" ht="24">
      <c r="A882" s="1497">
        <v>4010</v>
      </c>
      <c r="B882" s="1513" t="s">
        <v>626</v>
      </c>
      <c r="C882" s="1457">
        <v>68810</v>
      </c>
      <c r="D882" s="1457">
        <f>J882+R882</f>
        <v>64810</v>
      </c>
      <c r="E882" s="1458">
        <v>64948</v>
      </c>
      <c r="F882" s="1459">
        <f>P882+W882</f>
        <v>64948</v>
      </c>
      <c r="G882" s="1499">
        <f t="shared" si="250"/>
        <v>94.38744368551083</v>
      </c>
      <c r="H882" s="1499">
        <f t="shared" si="254"/>
        <v>100.21293010337911</v>
      </c>
      <c r="I882" s="1450"/>
      <c r="J882" s="1461">
        <f>68810-4000</f>
        <v>64810</v>
      </c>
      <c r="K882" s="1457">
        <v>64948</v>
      </c>
      <c r="L882" s="1457"/>
      <c r="M882" s="1457"/>
      <c r="N882" s="1457"/>
      <c r="O882" s="1457"/>
      <c r="P882" s="1462">
        <f>SUM(K882:N882)</f>
        <v>64948</v>
      </c>
      <c r="Q882" s="1495">
        <f t="shared" si="257"/>
        <v>100.21293010337911</v>
      </c>
      <c r="R882" s="1461"/>
      <c r="S882" s="1457"/>
      <c r="T882" s="1457"/>
      <c r="U882" s="1457"/>
      <c r="V882" s="1457"/>
      <c r="W882" s="1462"/>
      <c r="X882" s="1496"/>
      <c r="Y882" s="1444"/>
    </row>
    <row r="883" spans="1:25" ht="12.75">
      <c r="A883" s="1497">
        <v>4040</v>
      </c>
      <c r="B883" s="1513" t="s">
        <v>719</v>
      </c>
      <c r="C883" s="1457">
        <v>7140</v>
      </c>
      <c r="D883" s="1457">
        <f aca="true" t="shared" si="259" ref="D883:D894">J883+R883</f>
        <v>4140</v>
      </c>
      <c r="E883" s="1458">
        <v>5849</v>
      </c>
      <c r="F883" s="1459">
        <f aca="true" t="shared" si="260" ref="F883:F894">P883+W883</f>
        <v>5849</v>
      </c>
      <c r="G883" s="1499">
        <f t="shared" si="250"/>
        <v>81.9187675070028</v>
      </c>
      <c r="H883" s="1499">
        <f t="shared" si="254"/>
        <v>141.28019323671498</v>
      </c>
      <c r="I883" s="1450"/>
      <c r="J883" s="1461">
        <v>4140</v>
      </c>
      <c r="K883" s="1457">
        <v>5849</v>
      </c>
      <c r="L883" s="1457"/>
      <c r="M883" s="1457"/>
      <c r="N883" s="1457"/>
      <c r="O883" s="1457"/>
      <c r="P883" s="1462">
        <f aca="true" t="shared" si="261" ref="P883:P894">SUM(K883:N883)</f>
        <v>5849</v>
      </c>
      <c r="Q883" s="1495">
        <f t="shared" si="257"/>
        <v>141.28019323671498</v>
      </c>
      <c r="R883" s="1461"/>
      <c r="S883" s="1457"/>
      <c r="T883" s="1457"/>
      <c r="U883" s="1457"/>
      <c r="V883" s="1457"/>
      <c r="W883" s="1462"/>
      <c r="X883" s="1496"/>
      <c r="Y883" s="1444"/>
    </row>
    <row r="884" spans="1:25" ht="12.75">
      <c r="A884" s="1497">
        <v>4110</v>
      </c>
      <c r="B884" s="1513" t="s">
        <v>568</v>
      </c>
      <c r="C884" s="1457">
        <v>13465</v>
      </c>
      <c r="D884" s="1457">
        <f t="shared" si="259"/>
        <v>13465</v>
      </c>
      <c r="E884" s="1458">
        <v>12552</v>
      </c>
      <c r="F884" s="1459">
        <f t="shared" si="260"/>
        <v>12552</v>
      </c>
      <c r="G884" s="1499">
        <f t="shared" si="250"/>
        <v>93.21945785369476</v>
      </c>
      <c r="H884" s="1499">
        <f t="shared" si="254"/>
        <v>93.21945785369476</v>
      </c>
      <c r="I884" s="1450"/>
      <c r="J884" s="1461">
        <v>13465</v>
      </c>
      <c r="K884" s="1457">
        <v>12552</v>
      </c>
      <c r="L884" s="1457"/>
      <c r="M884" s="1457"/>
      <c r="N884" s="1457"/>
      <c r="O884" s="1457"/>
      <c r="P884" s="1462">
        <f t="shared" si="261"/>
        <v>12552</v>
      </c>
      <c r="Q884" s="1495">
        <f t="shared" si="257"/>
        <v>93.21945785369476</v>
      </c>
      <c r="R884" s="1461"/>
      <c r="S884" s="1457"/>
      <c r="T884" s="1457"/>
      <c r="U884" s="1457"/>
      <c r="V884" s="1457"/>
      <c r="W884" s="1462"/>
      <c r="X884" s="1496"/>
      <c r="Y884" s="1444"/>
    </row>
    <row r="885" spans="1:25" ht="12.75">
      <c r="A885" s="1497">
        <v>4120</v>
      </c>
      <c r="B885" s="1513" t="s">
        <v>758</v>
      </c>
      <c r="C885" s="1457">
        <v>1860</v>
      </c>
      <c r="D885" s="1457">
        <f t="shared" si="259"/>
        <v>1860</v>
      </c>
      <c r="E885" s="1458">
        <v>1735</v>
      </c>
      <c r="F885" s="1459">
        <f t="shared" si="260"/>
        <v>1735</v>
      </c>
      <c r="G885" s="1499">
        <f t="shared" si="250"/>
        <v>93.27956989247312</v>
      </c>
      <c r="H885" s="1499">
        <f t="shared" si="254"/>
        <v>93.27956989247312</v>
      </c>
      <c r="I885" s="1450"/>
      <c r="J885" s="1461">
        <v>1860</v>
      </c>
      <c r="K885" s="1457">
        <v>1735</v>
      </c>
      <c r="L885" s="1457"/>
      <c r="M885" s="1457"/>
      <c r="N885" s="1457"/>
      <c r="O885" s="1457"/>
      <c r="P885" s="1462">
        <f t="shared" si="261"/>
        <v>1735</v>
      </c>
      <c r="Q885" s="1495">
        <f t="shared" si="257"/>
        <v>93.27956989247312</v>
      </c>
      <c r="R885" s="1461"/>
      <c r="S885" s="1457"/>
      <c r="T885" s="1457"/>
      <c r="U885" s="1457"/>
      <c r="V885" s="1457"/>
      <c r="W885" s="1462"/>
      <c r="X885" s="1496"/>
      <c r="Y885" s="1444"/>
    </row>
    <row r="886" spans="1:25" ht="12.75">
      <c r="A886" s="1497">
        <v>4210</v>
      </c>
      <c r="B886" s="1513" t="s">
        <v>560</v>
      </c>
      <c r="C886" s="1457">
        <v>40798</v>
      </c>
      <c r="D886" s="1457">
        <f t="shared" si="259"/>
        <v>3203</v>
      </c>
      <c r="E886" s="1458">
        <v>5500</v>
      </c>
      <c r="F886" s="1459">
        <f t="shared" si="260"/>
        <v>5500</v>
      </c>
      <c r="G886" s="1499">
        <f t="shared" si="250"/>
        <v>13.481052992793765</v>
      </c>
      <c r="H886" s="1499">
        <f t="shared" si="254"/>
        <v>171.71401810802374</v>
      </c>
      <c r="I886" s="1450"/>
      <c r="J886" s="1461">
        <f>11203-8000</f>
        <v>3203</v>
      </c>
      <c r="K886" s="1457">
        <v>5500</v>
      </c>
      <c r="L886" s="1457"/>
      <c r="M886" s="1457"/>
      <c r="N886" s="1457"/>
      <c r="O886" s="1457"/>
      <c r="P886" s="1462">
        <f t="shared" si="261"/>
        <v>5500</v>
      </c>
      <c r="Q886" s="1495">
        <f t="shared" si="257"/>
        <v>171.71401810802374</v>
      </c>
      <c r="R886" s="1461"/>
      <c r="S886" s="1457"/>
      <c r="T886" s="1457"/>
      <c r="U886" s="1457"/>
      <c r="V886" s="1457"/>
      <c r="W886" s="1462"/>
      <c r="X886" s="1496"/>
      <c r="Y886" s="1444"/>
    </row>
    <row r="887" spans="1:25" ht="24">
      <c r="A887" s="1497">
        <v>4230</v>
      </c>
      <c r="B887" s="1513" t="s">
        <v>635</v>
      </c>
      <c r="C887" s="1457"/>
      <c r="D887" s="1457">
        <f t="shared" si="259"/>
        <v>0</v>
      </c>
      <c r="E887" s="1458">
        <v>200</v>
      </c>
      <c r="F887" s="1459">
        <f t="shared" si="260"/>
        <v>200</v>
      </c>
      <c r="G887" s="1499"/>
      <c r="H887" s="1499"/>
      <c r="I887" s="1450"/>
      <c r="J887" s="1461"/>
      <c r="K887" s="1457">
        <v>200</v>
      </c>
      <c r="L887" s="1457"/>
      <c r="M887" s="1457"/>
      <c r="N887" s="1457"/>
      <c r="O887" s="1457"/>
      <c r="P887" s="1462">
        <f t="shared" si="261"/>
        <v>200</v>
      </c>
      <c r="Q887" s="1495" t="e">
        <f t="shared" si="257"/>
        <v>#DIV/0!</v>
      </c>
      <c r="R887" s="1461"/>
      <c r="S887" s="1457"/>
      <c r="T887" s="1457"/>
      <c r="U887" s="1457"/>
      <c r="V887" s="1457"/>
      <c r="W887" s="1462"/>
      <c r="X887" s="1496"/>
      <c r="Y887" s="1444"/>
    </row>
    <row r="888" spans="1:25" ht="12.75">
      <c r="A888" s="1497">
        <v>4260</v>
      </c>
      <c r="B888" s="1513" t="s">
        <v>575</v>
      </c>
      <c r="C888" s="1457">
        <v>18682</v>
      </c>
      <c r="D888" s="1457">
        <f t="shared" si="259"/>
        <v>18682</v>
      </c>
      <c r="E888" s="1458">
        <v>15100</v>
      </c>
      <c r="F888" s="1459">
        <f t="shared" si="260"/>
        <v>15100</v>
      </c>
      <c r="G888" s="1499">
        <f t="shared" si="250"/>
        <v>80.8264639760197</v>
      </c>
      <c r="H888" s="1499">
        <f t="shared" si="254"/>
        <v>80.8264639760197</v>
      </c>
      <c r="I888" s="1450"/>
      <c r="J888" s="1461">
        <v>18682</v>
      </c>
      <c r="K888" s="1457">
        <v>15100</v>
      </c>
      <c r="L888" s="1457"/>
      <c r="M888" s="1457"/>
      <c r="N888" s="1457"/>
      <c r="O888" s="1457"/>
      <c r="P888" s="1462">
        <f t="shared" si="261"/>
        <v>15100</v>
      </c>
      <c r="Q888" s="1495">
        <f t="shared" si="257"/>
        <v>80.8264639760197</v>
      </c>
      <c r="R888" s="1461"/>
      <c r="S888" s="1457"/>
      <c r="T888" s="1457"/>
      <c r="U888" s="1457"/>
      <c r="V888" s="1457"/>
      <c r="W888" s="1462"/>
      <c r="X888" s="1496"/>
      <c r="Y888" s="1444"/>
    </row>
    <row r="889" spans="1:25" ht="12.75">
      <c r="A889" s="1497">
        <v>4270</v>
      </c>
      <c r="B889" s="1513" t="s">
        <v>576</v>
      </c>
      <c r="C889" s="1457"/>
      <c r="D889" s="1457">
        <f t="shared" si="259"/>
        <v>19000</v>
      </c>
      <c r="E889" s="1458">
        <v>0</v>
      </c>
      <c r="F889" s="1459"/>
      <c r="G889" s="1499"/>
      <c r="H889" s="1499">
        <f t="shared" si="254"/>
        <v>0</v>
      </c>
      <c r="I889" s="1450"/>
      <c r="J889" s="1461">
        <v>19000</v>
      </c>
      <c r="K889" s="1457"/>
      <c r="L889" s="1457"/>
      <c r="M889" s="1457"/>
      <c r="N889" s="1457"/>
      <c r="O889" s="1457"/>
      <c r="P889" s="1462">
        <f t="shared" si="261"/>
        <v>0</v>
      </c>
      <c r="Q889" s="1495"/>
      <c r="R889" s="1461"/>
      <c r="S889" s="1457"/>
      <c r="T889" s="1457"/>
      <c r="U889" s="1457"/>
      <c r="V889" s="1457"/>
      <c r="W889" s="1462"/>
      <c r="X889" s="1496"/>
      <c r="Y889" s="1444"/>
    </row>
    <row r="890" spans="1:25" ht="12.75">
      <c r="A890" s="1497">
        <v>4300</v>
      </c>
      <c r="B890" s="1513" t="s">
        <v>564</v>
      </c>
      <c r="C890" s="1457">
        <v>19629</v>
      </c>
      <c r="D890" s="1457">
        <f t="shared" si="259"/>
        <v>46429</v>
      </c>
      <c r="E890" s="1458">
        <v>56916</v>
      </c>
      <c r="F890" s="1459">
        <f t="shared" si="260"/>
        <v>56916</v>
      </c>
      <c r="G890" s="1499">
        <f t="shared" si="250"/>
        <v>289.958734525447</v>
      </c>
      <c r="H890" s="1499">
        <f t="shared" si="254"/>
        <v>122.58717611837429</v>
      </c>
      <c r="I890" s="1450"/>
      <c r="J890" s="1461">
        <f>57429-11000</f>
        <v>46429</v>
      </c>
      <c r="K890" s="1457">
        <v>56916</v>
      </c>
      <c r="L890" s="1457"/>
      <c r="M890" s="1457"/>
      <c r="N890" s="1457"/>
      <c r="O890" s="1457"/>
      <c r="P890" s="1462">
        <f t="shared" si="261"/>
        <v>56916</v>
      </c>
      <c r="Q890" s="1495">
        <f t="shared" si="257"/>
        <v>122.58717611837429</v>
      </c>
      <c r="R890" s="1461"/>
      <c r="S890" s="1457"/>
      <c r="T890" s="1457"/>
      <c r="U890" s="1457"/>
      <c r="V890" s="1457"/>
      <c r="W890" s="1462"/>
      <c r="X890" s="1496"/>
      <c r="Y890" s="1444"/>
    </row>
    <row r="891" spans="1:25" ht="12.75">
      <c r="A891" s="1497">
        <v>4410</v>
      </c>
      <c r="B891" s="1513" t="s">
        <v>618</v>
      </c>
      <c r="C891" s="1457"/>
      <c r="D891" s="1457"/>
      <c r="E891" s="1458">
        <v>150</v>
      </c>
      <c r="F891" s="1459">
        <f t="shared" si="260"/>
        <v>150</v>
      </c>
      <c r="G891" s="1499"/>
      <c r="H891" s="1499"/>
      <c r="I891" s="1450"/>
      <c r="J891" s="1461"/>
      <c r="K891" s="1457">
        <v>150</v>
      </c>
      <c r="L891" s="1457"/>
      <c r="M891" s="1457"/>
      <c r="N891" s="1457"/>
      <c r="O891" s="1457"/>
      <c r="P891" s="1462">
        <f t="shared" si="261"/>
        <v>150</v>
      </c>
      <c r="Q891" s="1495"/>
      <c r="R891" s="1461"/>
      <c r="S891" s="1457"/>
      <c r="T891" s="1457"/>
      <c r="U891" s="1457"/>
      <c r="V891" s="1457"/>
      <c r="W891" s="1462"/>
      <c r="X891" s="1496"/>
      <c r="Y891" s="1444"/>
    </row>
    <row r="892" spans="1:25" ht="12.75">
      <c r="A892" s="1497">
        <v>4430</v>
      </c>
      <c r="B892" s="1513" t="s">
        <v>582</v>
      </c>
      <c r="C892" s="1457">
        <v>100</v>
      </c>
      <c r="D892" s="1457">
        <f t="shared" si="259"/>
        <v>100</v>
      </c>
      <c r="E892" s="1458">
        <v>100</v>
      </c>
      <c r="F892" s="1459">
        <f t="shared" si="260"/>
        <v>100</v>
      </c>
      <c r="G892" s="1499">
        <f t="shared" si="250"/>
        <v>100</v>
      </c>
      <c r="H892" s="1499">
        <f t="shared" si="254"/>
        <v>100</v>
      </c>
      <c r="I892" s="1450"/>
      <c r="J892" s="1461">
        <v>100</v>
      </c>
      <c r="K892" s="1457">
        <v>100</v>
      </c>
      <c r="L892" s="1457"/>
      <c r="M892" s="1457"/>
      <c r="N892" s="1457"/>
      <c r="O892" s="1457"/>
      <c r="P892" s="1462">
        <f t="shared" si="261"/>
        <v>100</v>
      </c>
      <c r="Q892" s="1495">
        <f t="shared" si="257"/>
        <v>100</v>
      </c>
      <c r="R892" s="1461"/>
      <c r="S892" s="1457"/>
      <c r="T892" s="1457"/>
      <c r="U892" s="1457"/>
      <c r="V892" s="1457"/>
      <c r="W892" s="1462"/>
      <c r="X892" s="1496"/>
      <c r="Y892" s="1444"/>
    </row>
    <row r="893" spans="1:25" ht="12.75">
      <c r="A893" s="1497">
        <v>4480</v>
      </c>
      <c r="B893" s="1513" t="s">
        <v>1327</v>
      </c>
      <c r="C893" s="1457">
        <v>2725</v>
      </c>
      <c r="D893" s="1457">
        <f t="shared" si="259"/>
        <v>1220</v>
      </c>
      <c r="E893" s="1458">
        <v>1260</v>
      </c>
      <c r="F893" s="1459">
        <f t="shared" si="260"/>
        <v>1260</v>
      </c>
      <c r="G893" s="1499">
        <f t="shared" si="250"/>
        <v>46.23853211009175</v>
      </c>
      <c r="H893" s="1499">
        <f t="shared" si="254"/>
        <v>103.27868852459017</v>
      </c>
      <c r="I893" s="1450"/>
      <c r="J893" s="1461">
        <v>1220</v>
      </c>
      <c r="K893" s="1457">
        <v>1260</v>
      </c>
      <c r="L893" s="1457"/>
      <c r="M893" s="1457"/>
      <c r="N893" s="1457"/>
      <c r="O893" s="1457"/>
      <c r="P893" s="1462">
        <f t="shared" si="261"/>
        <v>1260</v>
      </c>
      <c r="Q893" s="1495">
        <f t="shared" si="257"/>
        <v>103.27868852459017</v>
      </c>
      <c r="R893" s="1461"/>
      <c r="S893" s="1457"/>
      <c r="T893" s="1457"/>
      <c r="U893" s="1457"/>
      <c r="V893" s="1457"/>
      <c r="W893" s="1462"/>
      <c r="X893" s="1496"/>
      <c r="Y893" s="1444"/>
    </row>
    <row r="894" spans="1:25" ht="12.75">
      <c r="A894" s="1497">
        <v>4440</v>
      </c>
      <c r="B894" s="1513" t="s">
        <v>641</v>
      </c>
      <c r="C894" s="1457">
        <v>1220</v>
      </c>
      <c r="D894" s="1457">
        <f t="shared" si="259"/>
        <v>2725</v>
      </c>
      <c r="E894" s="1458">
        <v>2063</v>
      </c>
      <c r="F894" s="1459">
        <f t="shared" si="260"/>
        <v>2063</v>
      </c>
      <c r="G894" s="1499">
        <f t="shared" si="250"/>
        <v>169.0983606557377</v>
      </c>
      <c r="H894" s="1499">
        <f t="shared" si="254"/>
        <v>75.70642201834863</v>
      </c>
      <c r="I894" s="1450"/>
      <c r="J894" s="1461">
        <v>2725</v>
      </c>
      <c r="K894" s="1457">
        <v>2063</v>
      </c>
      <c r="L894" s="1457"/>
      <c r="M894" s="1457"/>
      <c r="N894" s="1457"/>
      <c r="O894" s="1457"/>
      <c r="P894" s="1462">
        <f t="shared" si="261"/>
        <v>2063</v>
      </c>
      <c r="Q894" s="1495">
        <f t="shared" si="257"/>
        <v>75.70642201834863</v>
      </c>
      <c r="R894" s="1461"/>
      <c r="S894" s="1457"/>
      <c r="T894" s="1457"/>
      <c r="U894" s="1457"/>
      <c r="V894" s="1457"/>
      <c r="W894" s="1462"/>
      <c r="X894" s="1496"/>
      <c r="Y894" s="1444"/>
    </row>
    <row r="895" spans="1:28" s="581" customFormat="1" ht="24">
      <c r="A895" s="1516"/>
      <c r="B895" s="1550" t="s">
        <v>1019</v>
      </c>
      <c r="C895" s="1467">
        <f>SUM(C896:C906)</f>
        <v>318491</v>
      </c>
      <c r="D895" s="1467">
        <f>SUM(D896:D906)</f>
        <v>335891</v>
      </c>
      <c r="E895" s="1468">
        <f>SUM(E896:E906)</f>
        <v>388945</v>
      </c>
      <c r="F895" s="1469">
        <f>SUM(F896:F906)</f>
        <v>338945</v>
      </c>
      <c r="G895" s="1531">
        <f t="shared" si="250"/>
        <v>106.42215949587272</v>
      </c>
      <c r="H895" s="1532">
        <f t="shared" si="254"/>
        <v>100.90922352787064</v>
      </c>
      <c r="I895" s="1450"/>
      <c r="J895" s="1470">
        <f>SUM(J896:J906)</f>
        <v>335891</v>
      </c>
      <c r="K895" s="1467">
        <f>SUM(K896:K906)</f>
        <v>331945</v>
      </c>
      <c r="L895" s="1467">
        <f>SUM(L896:L906)</f>
        <v>0</v>
      </c>
      <c r="M895" s="1467">
        <f>SUM(M896:M906)</f>
        <v>0</v>
      </c>
      <c r="N895" s="1467">
        <f>SUM(N896:N906)</f>
        <v>7000</v>
      </c>
      <c r="O895" s="1467"/>
      <c r="P895" s="1471">
        <f>SUM(P896:P906)</f>
        <v>338945</v>
      </c>
      <c r="Q895" s="1453">
        <f t="shared" si="257"/>
        <v>100.90922352787064</v>
      </c>
      <c r="R895" s="1470"/>
      <c r="S895" s="1467"/>
      <c r="T895" s="1467"/>
      <c r="U895" s="1467"/>
      <c r="V895" s="1467"/>
      <c r="W895" s="1471"/>
      <c r="X895" s="1454"/>
      <c r="Y895" s="1444"/>
      <c r="Z895" s="1444">
        <f>SUM(K896:K899)</f>
        <v>263535</v>
      </c>
      <c r="AB895" s="1444">
        <f>Z895+AA895</f>
        <v>263535</v>
      </c>
    </row>
    <row r="896" spans="1:25" ht="24">
      <c r="A896" s="1497">
        <v>4010</v>
      </c>
      <c r="B896" s="1513" t="s">
        <v>626</v>
      </c>
      <c r="C896" s="1457">
        <v>172300</v>
      </c>
      <c r="D896" s="1457">
        <f>J896+R896</f>
        <v>192700</v>
      </c>
      <c r="E896" s="1458">
        <v>204638</v>
      </c>
      <c r="F896" s="1459">
        <f>P896+W896</f>
        <v>204638</v>
      </c>
      <c r="G896" s="1499">
        <f t="shared" si="250"/>
        <v>118.76842716192688</v>
      </c>
      <c r="H896" s="1499">
        <f t="shared" si="254"/>
        <v>106.19512195121952</v>
      </c>
      <c r="I896" s="1450"/>
      <c r="J896" s="1461">
        <f>172300+20400</f>
        <v>192700</v>
      </c>
      <c r="K896" s="1457">
        <v>204638</v>
      </c>
      <c r="L896" s="1457"/>
      <c r="M896" s="1457"/>
      <c r="N896" s="1457"/>
      <c r="O896" s="1457"/>
      <c r="P896" s="1462">
        <f>SUM(K896:N896)</f>
        <v>204638</v>
      </c>
      <c r="Q896" s="1495">
        <f t="shared" si="257"/>
        <v>106.19512195121952</v>
      </c>
      <c r="R896" s="1461"/>
      <c r="S896" s="1457"/>
      <c r="T896" s="1457"/>
      <c r="U896" s="1457"/>
      <c r="V896" s="1457"/>
      <c r="W896" s="1462"/>
      <c r="X896" s="1496"/>
      <c r="Y896" s="1444"/>
    </row>
    <row r="897" spans="1:25" ht="12.75">
      <c r="A897" s="1497">
        <v>4040</v>
      </c>
      <c r="B897" s="1513" t="s">
        <v>719</v>
      </c>
      <c r="C897" s="1457">
        <v>14450</v>
      </c>
      <c r="D897" s="1457">
        <f aca="true" t="shared" si="262" ref="D897:D906">J897+R897</f>
        <v>15811</v>
      </c>
      <c r="E897" s="1458">
        <v>14646</v>
      </c>
      <c r="F897" s="1459">
        <f aca="true" t="shared" si="263" ref="F897:F906">P897+W897</f>
        <v>14646</v>
      </c>
      <c r="G897" s="1499">
        <f t="shared" si="250"/>
        <v>101.35640138408304</v>
      </c>
      <c r="H897" s="1499">
        <f t="shared" si="254"/>
        <v>92.63171209917147</v>
      </c>
      <c r="I897" s="1450"/>
      <c r="J897" s="1461">
        <v>15811</v>
      </c>
      <c r="K897" s="1457">
        <v>14646</v>
      </c>
      <c r="L897" s="1457"/>
      <c r="M897" s="1457"/>
      <c r="N897" s="1457"/>
      <c r="O897" s="1457"/>
      <c r="P897" s="1462">
        <f aca="true" t="shared" si="264" ref="P897:P906">SUM(K897:N897)</f>
        <v>14646</v>
      </c>
      <c r="Q897" s="1495">
        <f t="shared" si="257"/>
        <v>92.63171209917147</v>
      </c>
      <c r="R897" s="1461"/>
      <c r="S897" s="1457"/>
      <c r="T897" s="1457"/>
      <c r="U897" s="1457"/>
      <c r="V897" s="1457"/>
      <c r="W897" s="1462"/>
      <c r="X897" s="1496"/>
      <c r="Y897" s="1444"/>
    </row>
    <row r="898" spans="1:25" ht="12.75">
      <c r="A898" s="1497">
        <v>4110</v>
      </c>
      <c r="B898" s="1513" t="s">
        <v>568</v>
      </c>
      <c r="C898" s="1457">
        <v>33110</v>
      </c>
      <c r="D898" s="1457">
        <f t="shared" si="262"/>
        <v>33110</v>
      </c>
      <c r="E898" s="1458">
        <v>38879</v>
      </c>
      <c r="F898" s="1459">
        <f t="shared" si="263"/>
        <v>38879</v>
      </c>
      <c r="G898" s="1499">
        <f t="shared" si="250"/>
        <v>117.42373905164602</v>
      </c>
      <c r="H898" s="1499">
        <f t="shared" si="254"/>
        <v>117.42373905164602</v>
      </c>
      <c r="I898" s="1450"/>
      <c r="J898" s="1461">
        <v>33110</v>
      </c>
      <c r="K898" s="1457">
        <v>38879</v>
      </c>
      <c r="L898" s="1457"/>
      <c r="M898" s="1457"/>
      <c r="N898" s="1457"/>
      <c r="O898" s="1457"/>
      <c r="P898" s="1462">
        <f t="shared" si="264"/>
        <v>38879</v>
      </c>
      <c r="Q898" s="1495">
        <f t="shared" si="257"/>
        <v>117.42373905164602</v>
      </c>
      <c r="R898" s="1461"/>
      <c r="S898" s="1457"/>
      <c r="T898" s="1457"/>
      <c r="U898" s="1457"/>
      <c r="V898" s="1457"/>
      <c r="W898" s="1462"/>
      <c r="X898" s="1496"/>
      <c r="Y898" s="1444"/>
    </row>
    <row r="899" spans="1:25" ht="12.75">
      <c r="A899" s="1497">
        <v>4120</v>
      </c>
      <c r="B899" s="1513" t="s">
        <v>758</v>
      </c>
      <c r="C899" s="1457">
        <v>4575</v>
      </c>
      <c r="D899" s="1457">
        <f t="shared" si="262"/>
        <v>4575</v>
      </c>
      <c r="E899" s="1458">
        <v>5372</v>
      </c>
      <c r="F899" s="1459">
        <f t="shared" si="263"/>
        <v>5372</v>
      </c>
      <c r="G899" s="1499">
        <f t="shared" si="250"/>
        <v>117.42076502732239</v>
      </c>
      <c r="H899" s="1499">
        <f t="shared" si="254"/>
        <v>117.42076502732239</v>
      </c>
      <c r="I899" s="1450"/>
      <c r="J899" s="1461">
        <v>4575</v>
      </c>
      <c r="K899" s="1457">
        <v>5372</v>
      </c>
      <c r="L899" s="1457"/>
      <c r="M899" s="1457"/>
      <c r="N899" s="1457"/>
      <c r="O899" s="1457"/>
      <c r="P899" s="1462">
        <f t="shared" si="264"/>
        <v>5372</v>
      </c>
      <c r="Q899" s="1495">
        <f t="shared" si="257"/>
        <v>117.42076502732239</v>
      </c>
      <c r="R899" s="1461"/>
      <c r="S899" s="1457"/>
      <c r="T899" s="1457"/>
      <c r="U899" s="1457"/>
      <c r="V899" s="1457"/>
      <c r="W899" s="1462"/>
      <c r="X899" s="1496"/>
      <c r="Y899" s="1444"/>
    </row>
    <row r="900" spans="1:25" ht="12.75">
      <c r="A900" s="1497">
        <v>4210</v>
      </c>
      <c r="B900" s="1513" t="s">
        <v>560</v>
      </c>
      <c r="C900" s="1457">
        <v>8200</v>
      </c>
      <c r="D900" s="1457">
        <f t="shared" si="262"/>
        <v>9839</v>
      </c>
      <c r="E900" s="1458">
        <v>19000</v>
      </c>
      <c r="F900" s="1459">
        <f t="shared" si="263"/>
        <v>19000</v>
      </c>
      <c r="G900" s="1499">
        <f t="shared" si="250"/>
        <v>231.7073170731707</v>
      </c>
      <c r="H900" s="1499">
        <f t="shared" si="254"/>
        <v>193.1090557983535</v>
      </c>
      <c r="I900" s="1450"/>
      <c r="J900" s="1461">
        <v>9839</v>
      </c>
      <c r="K900" s="1457">
        <v>19000</v>
      </c>
      <c r="L900" s="1457"/>
      <c r="M900" s="1457"/>
      <c r="N900" s="1457"/>
      <c r="O900" s="1457"/>
      <c r="P900" s="1462">
        <f t="shared" si="264"/>
        <v>19000</v>
      </c>
      <c r="Q900" s="1495">
        <f t="shared" si="257"/>
        <v>193.1090557983535</v>
      </c>
      <c r="R900" s="1461"/>
      <c r="S900" s="1457"/>
      <c r="T900" s="1457"/>
      <c r="U900" s="1457"/>
      <c r="V900" s="1457"/>
      <c r="W900" s="1462"/>
      <c r="X900" s="1496"/>
      <c r="Y900" s="1444"/>
    </row>
    <row r="901" spans="1:25" ht="12.75">
      <c r="A901" s="1497">
        <v>4260</v>
      </c>
      <c r="B901" s="1513" t="s">
        <v>575</v>
      </c>
      <c r="C901" s="1457"/>
      <c r="D901" s="1457">
        <f t="shared" si="262"/>
        <v>30000</v>
      </c>
      <c r="E901" s="1458">
        <v>30450</v>
      </c>
      <c r="F901" s="1459">
        <f t="shared" si="263"/>
        <v>30450</v>
      </c>
      <c r="G901" s="1499"/>
      <c r="H901" s="1499">
        <f t="shared" si="254"/>
        <v>101.49999999999999</v>
      </c>
      <c r="I901" s="1450"/>
      <c r="J901" s="1461">
        <v>30000</v>
      </c>
      <c r="K901" s="1457">
        <v>30450</v>
      </c>
      <c r="L901" s="1457"/>
      <c r="M901" s="1457"/>
      <c r="N901" s="1457"/>
      <c r="O901" s="1457"/>
      <c r="P901" s="1462">
        <f t="shared" si="264"/>
        <v>30450</v>
      </c>
      <c r="Q901" s="1495">
        <f t="shared" si="257"/>
        <v>101.49999999999999</v>
      </c>
      <c r="R901" s="1461"/>
      <c r="S901" s="1457"/>
      <c r="T901" s="1457"/>
      <c r="U901" s="1457"/>
      <c r="V901" s="1457"/>
      <c r="W901" s="1462"/>
      <c r="X901" s="1496"/>
      <c r="Y901" s="1444"/>
    </row>
    <row r="902" spans="1:25" ht="12.75">
      <c r="A902" s="1497">
        <v>4270</v>
      </c>
      <c r="B902" s="1513" t="s">
        <v>576</v>
      </c>
      <c r="C902" s="1457">
        <v>2000</v>
      </c>
      <c r="D902" s="1457">
        <f t="shared" si="262"/>
        <v>16000</v>
      </c>
      <c r="E902" s="1458">
        <v>57000</v>
      </c>
      <c r="F902" s="1459">
        <f t="shared" si="263"/>
        <v>7000</v>
      </c>
      <c r="G902" s="1499">
        <f t="shared" si="250"/>
        <v>350</v>
      </c>
      <c r="H902" s="1499">
        <f t="shared" si="254"/>
        <v>43.75</v>
      </c>
      <c r="I902" s="1450"/>
      <c r="J902" s="1461">
        <v>16000</v>
      </c>
      <c r="K902" s="1457"/>
      <c r="L902" s="1457"/>
      <c r="M902" s="1457"/>
      <c r="N902" s="1457">
        <f>57000-50000</f>
        <v>7000</v>
      </c>
      <c r="O902" s="1457"/>
      <c r="P902" s="1462">
        <f t="shared" si="264"/>
        <v>7000</v>
      </c>
      <c r="Q902" s="1495">
        <f t="shared" si="257"/>
        <v>43.75</v>
      </c>
      <c r="R902" s="1461"/>
      <c r="S902" s="1457"/>
      <c r="T902" s="1457"/>
      <c r="U902" s="1457"/>
      <c r="V902" s="1457"/>
      <c r="W902" s="1462"/>
      <c r="X902" s="1496"/>
      <c r="Y902" s="1444"/>
    </row>
    <row r="903" spans="1:25" ht="12.75">
      <c r="A903" s="1497">
        <v>4300</v>
      </c>
      <c r="B903" s="1513" t="s">
        <v>577</v>
      </c>
      <c r="C903" s="1457">
        <v>79166</v>
      </c>
      <c r="D903" s="1457">
        <f t="shared" si="262"/>
        <v>29166</v>
      </c>
      <c r="E903" s="1458">
        <v>10700</v>
      </c>
      <c r="F903" s="1459">
        <f t="shared" si="263"/>
        <v>10700</v>
      </c>
      <c r="G903" s="1499">
        <f t="shared" si="250"/>
        <v>13.515903291817194</v>
      </c>
      <c r="H903" s="1499">
        <f t="shared" si="254"/>
        <v>36.68655283549338</v>
      </c>
      <c r="I903" s="1450"/>
      <c r="J903" s="1461">
        <f>49166-20000</f>
        <v>29166</v>
      </c>
      <c r="K903" s="1457">
        <v>10700</v>
      </c>
      <c r="L903" s="1457"/>
      <c r="M903" s="1457"/>
      <c r="N903" s="1457"/>
      <c r="O903" s="1457"/>
      <c r="P903" s="1462">
        <f t="shared" si="264"/>
        <v>10700</v>
      </c>
      <c r="Q903" s="1495">
        <f t="shared" si="257"/>
        <v>36.68655283549338</v>
      </c>
      <c r="R903" s="1461"/>
      <c r="S903" s="1457"/>
      <c r="T903" s="1457"/>
      <c r="U903" s="1457"/>
      <c r="V903" s="1457"/>
      <c r="W903" s="1462"/>
      <c r="X903" s="1496"/>
      <c r="Y903" s="1444"/>
    </row>
    <row r="904" spans="1:25" ht="12.75">
      <c r="A904" s="1497">
        <v>4410</v>
      </c>
      <c r="B904" s="1513" t="s">
        <v>618</v>
      </c>
      <c r="C904" s="1457">
        <v>200</v>
      </c>
      <c r="D904" s="1457">
        <f t="shared" si="262"/>
        <v>200</v>
      </c>
      <c r="E904" s="1458">
        <v>400</v>
      </c>
      <c r="F904" s="1459">
        <f t="shared" si="263"/>
        <v>400</v>
      </c>
      <c r="G904" s="1499">
        <f t="shared" si="250"/>
        <v>200</v>
      </c>
      <c r="H904" s="1499">
        <f t="shared" si="254"/>
        <v>200</v>
      </c>
      <c r="I904" s="1450"/>
      <c r="J904" s="1461">
        <v>200</v>
      </c>
      <c r="K904" s="1457">
        <v>400</v>
      </c>
      <c r="L904" s="1457"/>
      <c r="M904" s="1457"/>
      <c r="N904" s="1457"/>
      <c r="O904" s="1457"/>
      <c r="P904" s="1462">
        <f t="shared" si="264"/>
        <v>400</v>
      </c>
      <c r="Q904" s="1495">
        <f t="shared" si="257"/>
        <v>200</v>
      </c>
      <c r="R904" s="1461"/>
      <c r="S904" s="1457"/>
      <c r="T904" s="1457"/>
      <c r="U904" s="1457"/>
      <c r="V904" s="1457"/>
      <c r="W904" s="1462"/>
      <c r="X904" s="1496"/>
      <c r="Y904" s="1444"/>
    </row>
    <row r="905" spans="1:25" ht="12.75">
      <c r="A905" s="1497">
        <v>4480</v>
      </c>
      <c r="B905" s="1513" t="s">
        <v>1327</v>
      </c>
      <c r="C905" s="1457">
        <v>2000</v>
      </c>
      <c r="D905" s="1457">
        <f t="shared" si="262"/>
        <v>2000</v>
      </c>
      <c r="E905" s="1458">
        <v>2610</v>
      </c>
      <c r="F905" s="1459">
        <f t="shared" si="263"/>
        <v>2610</v>
      </c>
      <c r="G905" s="1499">
        <f t="shared" si="250"/>
        <v>130.5</v>
      </c>
      <c r="H905" s="1499">
        <f t="shared" si="254"/>
        <v>130.5</v>
      </c>
      <c r="I905" s="1450"/>
      <c r="J905" s="1461">
        <v>2000</v>
      </c>
      <c r="K905" s="1457">
        <v>2610</v>
      </c>
      <c r="L905" s="1457"/>
      <c r="M905" s="1457"/>
      <c r="N905" s="1457"/>
      <c r="O905" s="1457"/>
      <c r="P905" s="1462">
        <f t="shared" si="264"/>
        <v>2610</v>
      </c>
      <c r="Q905" s="1495">
        <f t="shared" si="257"/>
        <v>130.5</v>
      </c>
      <c r="R905" s="1461"/>
      <c r="S905" s="1457"/>
      <c r="T905" s="1457"/>
      <c r="U905" s="1457"/>
      <c r="V905" s="1457"/>
      <c r="W905" s="1462"/>
      <c r="X905" s="1496"/>
      <c r="Y905" s="1444"/>
    </row>
    <row r="906" spans="1:25" ht="12.75">
      <c r="A906" s="1497">
        <v>4440</v>
      </c>
      <c r="B906" s="1513" t="s">
        <v>641</v>
      </c>
      <c r="C906" s="1457">
        <v>2490</v>
      </c>
      <c r="D906" s="1457">
        <f t="shared" si="262"/>
        <v>2490</v>
      </c>
      <c r="E906" s="1458">
        <v>5250</v>
      </c>
      <c r="F906" s="1459">
        <f t="shared" si="263"/>
        <v>5250</v>
      </c>
      <c r="G906" s="1499">
        <f t="shared" si="250"/>
        <v>210.84337349397592</v>
      </c>
      <c r="H906" s="1499">
        <f t="shared" si="254"/>
        <v>210.84337349397592</v>
      </c>
      <c r="I906" s="1450"/>
      <c r="J906" s="1461">
        <v>2490</v>
      </c>
      <c r="K906" s="1457">
        <v>5250</v>
      </c>
      <c r="L906" s="1457"/>
      <c r="M906" s="1457"/>
      <c r="N906" s="1457"/>
      <c r="O906" s="1457"/>
      <c r="P906" s="1462">
        <f t="shared" si="264"/>
        <v>5250</v>
      </c>
      <c r="Q906" s="1495">
        <f t="shared" si="257"/>
        <v>210.84337349397592</v>
      </c>
      <c r="R906" s="1461"/>
      <c r="S906" s="1457"/>
      <c r="T906" s="1457"/>
      <c r="U906" s="1457"/>
      <c r="V906" s="1457"/>
      <c r="W906" s="1462"/>
      <c r="X906" s="1496"/>
      <c r="Y906" s="1444"/>
    </row>
    <row r="907" spans="1:25" s="581" customFormat="1" ht="36.75" hidden="1" thickBot="1">
      <c r="A907" s="1516"/>
      <c r="B907" s="1550" t="s">
        <v>1020</v>
      </c>
      <c r="C907" s="1467">
        <f>SUM(C908:C919)</f>
        <v>0</v>
      </c>
      <c r="D907" s="1467">
        <f aca="true" t="shared" si="265" ref="D907:W907">SUM(D908:D919)</f>
        <v>0</v>
      </c>
      <c r="E907" s="1468">
        <f t="shared" si="265"/>
        <v>0</v>
      </c>
      <c r="F907" s="1469">
        <f t="shared" si="265"/>
        <v>0</v>
      </c>
      <c r="G907" s="1602" t="e">
        <f t="shared" si="250"/>
        <v>#DIV/0!</v>
      </c>
      <c r="H907" s="1603" t="e">
        <f t="shared" si="254"/>
        <v>#DIV/0!</v>
      </c>
      <c r="I907" s="1450"/>
      <c r="J907" s="1470">
        <f t="shared" si="265"/>
        <v>0</v>
      </c>
      <c r="K907" s="1467">
        <f t="shared" si="265"/>
        <v>0</v>
      </c>
      <c r="L907" s="1467">
        <f t="shared" si="265"/>
        <v>0</v>
      </c>
      <c r="M907" s="1467">
        <f t="shared" si="265"/>
        <v>0</v>
      </c>
      <c r="N907" s="1467">
        <f t="shared" si="265"/>
        <v>0</v>
      </c>
      <c r="O907" s="1467"/>
      <c r="P907" s="1471">
        <f t="shared" si="265"/>
        <v>0</v>
      </c>
      <c r="Q907" s="1453"/>
      <c r="R907" s="1470">
        <f t="shared" si="265"/>
        <v>0</v>
      </c>
      <c r="S907" s="1467">
        <f t="shared" si="265"/>
        <v>0</v>
      </c>
      <c r="T907" s="1467">
        <f t="shared" si="265"/>
        <v>0</v>
      </c>
      <c r="U907" s="1467">
        <f t="shared" si="265"/>
        <v>0</v>
      </c>
      <c r="V907" s="1467">
        <f t="shared" si="265"/>
        <v>0</v>
      </c>
      <c r="W907" s="1471">
        <f t="shared" si="265"/>
        <v>0</v>
      </c>
      <c r="X907" s="1454" t="e">
        <f aca="true" t="shared" si="266" ref="X907:X925">W907/R907*100</f>
        <v>#DIV/0!</v>
      </c>
      <c r="Y907" s="1444"/>
    </row>
    <row r="908" spans="1:25" ht="25.5" hidden="1" thickBot="1" thickTop="1">
      <c r="A908" s="1497">
        <v>4010</v>
      </c>
      <c r="B908" s="1513" t="s">
        <v>626</v>
      </c>
      <c r="C908" s="1457"/>
      <c r="D908" s="1457">
        <f>J908+R908</f>
        <v>0</v>
      </c>
      <c r="E908" s="1458"/>
      <c r="F908" s="1459">
        <f>P908+W908</f>
        <v>0</v>
      </c>
      <c r="G908" s="1437" t="e">
        <f t="shared" si="250"/>
        <v>#DIV/0!</v>
      </c>
      <c r="H908" s="1438" t="e">
        <f t="shared" si="254"/>
        <v>#DIV/0!</v>
      </c>
      <c r="I908" s="1450"/>
      <c r="J908" s="1461"/>
      <c r="K908" s="1457"/>
      <c r="L908" s="1457"/>
      <c r="M908" s="1457"/>
      <c r="N908" s="1457"/>
      <c r="O908" s="1457"/>
      <c r="P908" s="1462">
        <f>SUM(K908:N908)</f>
        <v>0</v>
      </c>
      <c r="Q908" s="1495"/>
      <c r="R908" s="1461"/>
      <c r="S908" s="1457"/>
      <c r="T908" s="1457"/>
      <c r="U908" s="1457"/>
      <c r="V908" s="1457"/>
      <c r="W908" s="1462">
        <f>SUM(S908:V908)</f>
        <v>0</v>
      </c>
      <c r="X908" s="1496" t="e">
        <f t="shared" si="266"/>
        <v>#DIV/0!</v>
      </c>
      <c r="Y908" s="1444"/>
    </row>
    <row r="909" spans="1:25" ht="14.25" hidden="1" thickBot="1" thickTop="1">
      <c r="A909" s="1497">
        <v>4040</v>
      </c>
      <c r="B909" s="1513" t="s">
        <v>719</v>
      </c>
      <c r="C909" s="1457"/>
      <c r="D909" s="1457">
        <f aca="true" t="shared" si="267" ref="D909:D919">J909+R909</f>
        <v>0</v>
      </c>
      <c r="E909" s="1458"/>
      <c r="F909" s="1459">
        <f aca="true" t="shared" si="268" ref="F909:F919">P909+W909</f>
        <v>0</v>
      </c>
      <c r="G909" s="1437" t="e">
        <f t="shared" si="250"/>
        <v>#DIV/0!</v>
      </c>
      <c r="H909" s="1438" t="e">
        <f t="shared" si="254"/>
        <v>#DIV/0!</v>
      </c>
      <c r="I909" s="1450"/>
      <c r="J909" s="1461"/>
      <c r="K909" s="1457"/>
      <c r="L909" s="1457"/>
      <c r="M909" s="1457"/>
      <c r="N909" s="1457"/>
      <c r="O909" s="1457"/>
      <c r="P909" s="1462">
        <f aca="true" t="shared" si="269" ref="P909:P919">SUM(K909:N909)</f>
        <v>0</v>
      </c>
      <c r="Q909" s="1495"/>
      <c r="R909" s="1461"/>
      <c r="S909" s="1457"/>
      <c r="T909" s="1457"/>
      <c r="U909" s="1457"/>
      <c r="V909" s="1457"/>
      <c r="W909" s="1462">
        <f aca="true" t="shared" si="270" ref="W909:W919">SUM(S909:V909)</f>
        <v>0</v>
      </c>
      <c r="X909" s="1496" t="e">
        <f t="shared" si="266"/>
        <v>#DIV/0!</v>
      </c>
      <c r="Y909" s="1444"/>
    </row>
    <row r="910" spans="1:25" ht="14.25" hidden="1" thickBot="1" thickTop="1">
      <c r="A910" s="1497">
        <v>4110</v>
      </c>
      <c r="B910" s="1513" t="s">
        <v>568</v>
      </c>
      <c r="C910" s="1457"/>
      <c r="D910" s="1457">
        <f t="shared" si="267"/>
        <v>0</v>
      </c>
      <c r="E910" s="1458"/>
      <c r="F910" s="1459">
        <f t="shared" si="268"/>
        <v>0</v>
      </c>
      <c r="G910" s="1437" t="e">
        <f t="shared" si="250"/>
        <v>#DIV/0!</v>
      </c>
      <c r="H910" s="1438" t="e">
        <f t="shared" si="254"/>
        <v>#DIV/0!</v>
      </c>
      <c r="I910" s="1450"/>
      <c r="J910" s="1461"/>
      <c r="K910" s="1457"/>
      <c r="L910" s="1457"/>
      <c r="M910" s="1457"/>
      <c r="N910" s="1457"/>
      <c r="O910" s="1457"/>
      <c r="P910" s="1462">
        <f t="shared" si="269"/>
        <v>0</v>
      </c>
      <c r="Q910" s="1495"/>
      <c r="R910" s="1461"/>
      <c r="S910" s="1457"/>
      <c r="T910" s="1457"/>
      <c r="U910" s="1457"/>
      <c r="V910" s="1457"/>
      <c r="W910" s="1462">
        <f t="shared" si="270"/>
        <v>0</v>
      </c>
      <c r="X910" s="1496" t="e">
        <f t="shared" si="266"/>
        <v>#DIV/0!</v>
      </c>
      <c r="Y910" s="1444"/>
    </row>
    <row r="911" spans="1:25" ht="14.25" hidden="1" thickBot="1" thickTop="1">
      <c r="A911" s="1497">
        <v>4120</v>
      </c>
      <c r="B911" s="1513" t="s">
        <v>758</v>
      </c>
      <c r="C911" s="1457"/>
      <c r="D911" s="1457">
        <f t="shared" si="267"/>
        <v>0</v>
      </c>
      <c r="E911" s="1458"/>
      <c r="F911" s="1459">
        <f t="shared" si="268"/>
        <v>0</v>
      </c>
      <c r="G911" s="1437" t="e">
        <f t="shared" si="250"/>
        <v>#DIV/0!</v>
      </c>
      <c r="H911" s="1438" t="e">
        <f t="shared" si="254"/>
        <v>#DIV/0!</v>
      </c>
      <c r="I911" s="1450"/>
      <c r="J911" s="1461"/>
      <c r="K911" s="1457"/>
      <c r="L911" s="1457"/>
      <c r="M911" s="1457"/>
      <c r="N911" s="1457"/>
      <c r="O911" s="1457"/>
      <c r="P911" s="1462">
        <f t="shared" si="269"/>
        <v>0</v>
      </c>
      <c r="Q911" s="1495"/>
      <c r="R911" s="1461"/>
      <c r="S911" s="1457"/>
      <c r="T911" s="1457"/>
      <c r="U911" s="1457"/>
      <c r="V911" s="1457"/>
      <c r="W911" s="1462">
        <f t="shared" si="270"/>
        <v>0</v>
      </c>
      <c r="X911" s="1496" t="e">
        <f t="shared" si="266"/>
        <v>#DIV/0!</v>
      </c>
      <c r="Y911" s="1444"/>
    </row>
    <row r="912" spans="1:25" ht="14.25" hidden="1" thickBot="1" thickTop="1">
      <c r="A912" s="1497">
        <v>4210</v>
      </c>
      <c r="B912" s="1513" t="s">
        <v>560</v>
      </c>
      <c r="C912" s="1457">
        <v>0</v>
      </c>
      <c r="D912" s="1457">
        <f t="shared" si="267"/>
        <v>0</v>
      </c>
      <c r="E912" s="1458"/>
      <c r="F912" s="1459">
        <f t="shared" si="268"/>
        <v>0</v>
      </c>
      <c r="G912" s="1437" t="e">
        <f t="shared" si="250"/>
        <v>#DIV/0!</v>
      </c>
      <c r="H912" s="1438" t="e">
        <f t="shared" si="254"/>
        <v>#DIV/0!</v>
      </c>
      <c r="I912" s="1450"/>
      <c r="J912" s="1461">
        <v>0</v>
      </c>
      <c r="K912" s="1457"/>
      <c r="L912" s="1457"/>
      <c r="M912" s="1457"/>
      <c r="N912" s="1457"/>
      <c r="O912" s="1457"/>
      <c r="P912" s="1462">
        <f t="shared" si="269"/>
        <v>0</v>
      </c>
      <c r="Q912" s="1495"/>
      <c r="R912" s="1461"/>
      <c r="S912" s="1457"/>
      <c r="T912" s="1457"/>
      <c r="U912" s="1457"/>
      <c r="V912" s="1457"/>
      <c r="W912" s="1462">
        <f t="shared" si="270"/>
        <v>0</v>
      </c>
      <c r="X912" s="1496" t="e">
        <f t="shared" si="266"/>
        <v>#DIV/0!</v>
      </c>
      <c r="Y912" s="1444"/>
    </row>
    <row r="913" spans="1:25" ht="25.5" hidden="1" thickBot="1" thickTop="1">
      <c r="A913" s="1497">
        <v>4230</v>
      </c>
      <c r="B913" s="1513" t="s">
        <v>635</v>
      </c>
      <c r="C913" s="1457"/>
      <c r="D913" s="1457">
        <f t="shared" si="267"/>
        <v>0</v>
      </c>
      <c r="E913" s="1458"/>
      <c r="F913" s="1459">
        <f t="shared" si="268"/>
        <v>0</v>
      </c>
      <c r="G913" s="1437" t="e">
        <f t="shared" si="250"/>
        <v>#DIV/0!</v>
      </c>
      <c r="H913" s="1438" t="e">
        <f t="shared" si="254"/>
        <v>#DIV/0!</v>
      </c>
      <c r="I913" s="1450"/>
      <c r="J913" s="1461"/>
      <c r="K913" s="1457"/>
      <c r="L913" s="1457"/>
      <c r="M913" s="1457"/>
      <c r="N913" s="1457"/>
      <c r="O913" s="1457"/>
      <c r="P913" s="1462">
        <f t="shared" si="269"/>
        <v>0</v>
      </c>
      <c r="Q913" s="1495"/>
      <c r="R913" s="1461"/>
      <c r="S913" s="1457"/>
      <c r="T913" s="1457"/>
      <c r="U913" s="1457"/>
      <c r="V913" s="1457"/>
      <c r="W913" s="1462">
        <f t="shared" si="270"/>
        <v>0</v>
      </c>
      <c r="X913" s="1496" t="e">
        <f t="shared" si="266"/>
        <v>#DIV/0!</v>
      </c>
      <c r="Y913" s="1444"/>
    </row>
    <row r="914" spans="1:25" ht="14.25" hidden="1" thickBot="1" thickTop="1">
      <c r="A914" s="1497">
        <v>4260</v>
      </c>
      <c r="B914" s="1513" t="s">
        <v>575</v>
      </c>
      <c r="C914" s="1457">
        <v>0</v>
      </c>
      <c r="D914" s="1457">
        <f t="shared" si="267"/>
        <v>0</v>
      </c>
      <c r="E914" s="1458"/>
      <c r="F914" s="1459">
        <f t="shared" si="268"/>
        <v>0</v>
      </c>
      <c r="G914" s="1437" t="e">
        <f t="shared" si="250"/>
        <v>#DIV/0!</v>
      </c>
      <c r="H914" s="1438" t="e">
        <f t="shared" si="254"/>
        <v>#DIV/0!</v>
      </c>
      <c r="I914" s="1450"/>
      <c r="J914" s="1461">
        <v>0</v>
      </c>
      <c r="K914" s="1457"/>
      <c r="L914" s="1457"/>
      <c r="M914" s="1457"/>
      <c r="N914" s="1457"/>
      <c r="O914" s="1457"/>
      <c r="P914" s="1462">
        <f t="shared" si="269"/>
        <v>0</v>
      </c>
      <c r="Q914" s="1495"/>
      <c r="R914" s="1461"/>
      <c r="S914" s="1457"/>
      <c r="T914" s="1457"/>
      <c r="U914" s="1457"/>
      <c r="V914" s="1457"/>
      <c r="W914" s="1462">
        <f t="shared" si="270"/>
        <v>0</v>
      </c>
      <c r="X914" s="1496" t="e">
        <f t="shared" si="266"/>
        <v>#DIV/0!</v>
      </c>
      <c r="Y914" s="1444"/>
    </row>
    <row r="915" spans="1:25" ht="14.25" hidden="1" thickBot="1" thickTop="1">
      <c r="A915" s="1497">
        <v>4300</v>
      </c>
      <c r="B915" s="1513" t="s">
        <v>577</v>
      </c>
      <c r="C915" s="1457">
        <v>0</v>
      </c>
      <c r="D915" s="1457">
        <f t="shared" si="267"/>
        <v>0</v>
      </c>
      <c r="E915" s="1458"/>
      <c r="F915" s="1459">
        <f t="shared" si="268"/>
        <v>0</v>
      </c>
      <c r="G915" s="1437" t="e">
        <f t="shared" si="250"/>
        <v>#DIV/0!</v>
      </c>
      <c r="H915" s="1438" t="e">
        <f t="shared" si="254"/>
        <v>#DIV/0!</v>
      </c>
      <c r="I915" s="1450"/>
      <c r="J915" s="1461">
        <v>0</v>
      </c>
      <c r="K915" s="1457"/>
      <c r="L915" s="1457"/>
      <c r="M915" s="1457"/>
      <c r="N915" s="1457"/>
      <c r="O915" s="1457"/>
      <c r="P915" s="1462">
        <f t="shared" si="269"/>
        <v>0</v>
      </c>
      <c r="Q915" s="1495"/>
      <c r="R915" s="1461"/>
      <c r="S915" s="1457"/>
      <c r="T915" s="1457"/>
      <c r="U915" s="1457"/>
      <c r="V915" s="1457"/>
      <c r="W915" s="1462">
        <f t="shared" si="270"/>
        <v>0</v>
      </c>
      <c r="X915" s="1496" t="e">
        <f t="shared" si="266"/>
        <v>#DIV/0!</v>
      </c>
      <c r="Y915" s="1444"/>
    </row>
    <row r="916" spans="1:25" ht="14.25" hidden="1" thickBot="1" thickTop="1">
      <c r="A916" s="1497">
        <v>4410</v>
      </c>
      <c r="B916" s="1513" t="s">
        <v>618</v>
      </c>
      <c r="C916" s="1457"/>
      <c r="D916" s="1457">
        <f t="shared" si="267"/>
        <v>0</v>
      </c>
      <c r="E916" s="1458"/>
      <c r="F916" s="1459">
        <f t="shared" si="268"/>
        <v>0</v>
      </c>
      <c r="G916" s="1437" t="e">
        <f t="shared" si="250"/>
        <v>#DIV/0!</v>
      </c>
      <c r="H916" s="1438" t="e">
        <f t="shared" si="254"/>
        <v>#DIV/0!</v>
      </c>
      <c r="I916" s="1450"/>
      <c r="J916" s="1461">
        <v>0</v>
      </c>
      <c r="K916" s="1457"/>
      <c r="L916" s="1457"/>
      <c r="M916" s="1457"/>
      <c r="N916" s="1457"/>
      <c r="O916" s="1457"/>
      <c r="P916" s="1462">
        <f t="shared" si="269"/>
        <v>0</v>
      </c>
      <c r="Q916" s="1495" t="e">
        <f t="shared" si="257"/>
        <v>#DIV/0!</v>
      </c>
      <c r="R916" s="1461"/>
      <c r="S916" s="1457"/>
      <c r="T916" s="1457"/>
      <c r="U916" s="1457"/>
      <c r="V916" s="1457"/>
      <c r="W916" s="1462">
        <f t="shared" si="270"/>
        <v>0</v>
      </c>
      <c r="X916" s="1496" t="e">
        <f t="shared" si="266"/>
        <v>#DIV/0!</v>
      </c>
      <c r="Y916" s="1444"/>
    </row>
    <row r="917" spans="1:25" ht="14.25" hidden="1" thickBot="1" thickTop="1">
      <c r="A917" s="1497">
        <v>4430</v>
      </c>
      <c r="B917" s="1513" t="s">
        <v>582</v>
      </c>
      <c r="C917" s="1457"/>
      <c r="D917" s="1457">
        <f t="shared" si="267"/>
        <v>0</v>
      </c>
      <c r="E917" s="1458"/>
      <c r="F917" s="1459">
        <f t="shared" si="268"/>
        <v>0</v>
      </c>
      <c r="G917" s="1437" t="e">
        <f t="shared" si="250"/>
        <v>#DIV/0!</v>
      </c>
      <c r="H917" s="1438" t="e">
        <f t="shared" si="254"/>
        <v>#DIV/0!</v>
      </c>
      <c r="I917" s="1450"/>
      <c r="J917" s="1461">
        <v>0</v>
      </c>
      <c r="K917" s="1457"/>
      <c r="L917" s="1457"/>
      <c r="M917" s="1457"/>
      <c r="N917" s="1457"/>
      <c r="O917" s="1457"/>
      <c r="P917" s="1462">
        <f t="shared" si="269"/>
        <v>0</v>
      </c>
      <c r="Q917" s="1495" t="e">
        <f t="shared" si="257"/>
        <v>#DIV/0!</v>
      </c>
      <c r="R917" s="1461"/>
      <c r="S917" s="1457"/>
      <c r="T917" s="1457"/>
      <c r="U917" s="1457"/>
      <c r="V917" s="1457"/>
      <c r="W917" s="1462">
        <f t="shared" si="270"/>
        <v>0</v>
      </c>
      <c r="X917" s="1496" t="e">
        <f t="shared" si="266"/>
        <v>#DIV/0!</v>
      </c>
      <c r="Y917" s="1444"/>
    </row>
    <row r="918" spans="1:25" ht="14.25" hidden="1" thickBot="1" thickTop="1">
      <c r="A918" s="1497">
        <v>4440</v>
      </c>
      <c r="B918" s="1513" t="s">
        <v>641</v>
      </c>
      <c r="C918" s="1457"/>
      <c r="D918" s="1457">
        <f t="shared" si="267"/>
        <v>0</v>
      </c>
      <c r="E918" s="1458"/>
      <c r="F918" s="1459">
        <f t="shared" si="268"/>
        <v>0</v>
      </c>
      <c r="G918" s="1437" t="e">
        <f t="shared" si="250"/>
        <v>#DIV/0!</v>
      </c>
      <c r="H918" s="1438" t="e">
        <f t="shared" si="254"/>
        <v>#DIV/0!</v>
      </c>
      <c r="I918" s="1450"/>
      <c r="J918" s="1461">
        <v>0</v>
      </c>
      <c r="K918" s="1457"/>
      <c r="L918" s="1457"/>
      <c r="M918" s="1457"/>
      <c r="N918" s="1457"/>
      <c r="O918" s="1457"/>
      <c r="P918" s="1462">
        <f t="shared" si="269"/>
        <v>0</v>
      </c>
      <c r="Q918" s="1495" t="e">
        <f t="shared" si="257"/>
        <v>#DIV/0!</v>
      </c>
      <c r="R918" s="1461"/>
      <c r="S918" s="1457"/>
      <c r="T918" s="1457"/>
      <c r="U918" s="1457"/>
      <c r="V918" s="1457"/>
      <c r="W918" s="1462">
        <f t="shared" si="270"/>
        <v>0</v>
      </c>
      <c r="X918" s="1496" t="e">
        <f t="shared" si="266"/>
        <v>#DIV/0!</v>
      </c>
      <c r="Y918" s="1444"/>
    </row>
    <row r="919" spans="1:25" ht="13.5" hidden="1" thickTop="1">
      <c r="A919" s="1497">
        <v>4480</v>
      </c>
      <c r="B919" s="1513" t="s">
        <v>1327</v>
      </c>
      <c r="C919" s="1457"/>
      <c r="D919" s="1457">
        <f t="shared" si="267"/>
        <v>0</v>
      </c>
      <c r="E919" s="1458"/>
      <c r="F919" s="1459">
        <f t="shared" si="268"/>
        <v>0</v>
      </c>
      <c r="G919" s="1474" t="e">
        <f t="shared" si="250"/>
        <v>#DIV/0!</v>
      </c>
      <c r="H919" s="1475" t="e">
        <f t="shared" si="254"/>
        <v>#DIV/0!</v>
      </c>
      <c r="I919" s="1450"/>
      <c r="J919" s="1461">
        <v>0</v>
      </c>
      <c r="K919" s="1457"/>
      <c r="L919" s="1457"/>
      <c r="M919" s="1457"/>
      <c r="N919" s="1457"/>
      <c r="O919" s="1457"/>
      <c r="P919" s="1462">
        <f t="shared" si="269"/>
        <v>0</v>
      </c>
      <c r="Q919" s="1495" t="e">
        <f t="shared" si="257"/>
        <v>#DIV/0!</v>
      </c>
      <c r="R919" s="1461"/>
      <c r="S919" s="1457"/>
      <c r="T919" s="1457"/>
      <c r="U919" s="1457"/>
      <c r="V919" s="1457"/>
      <c r="W919" s="1462">
        <f t="shared" si="270"/>
        <v>0</v>
      </c>
      <c r="X919" s="1496" t="e">
        <f t="shared" si="266"/>
        <v>#DIV/0!</v>
      </c>
      <c r="Y919" s="1444"/>
    </row>
    <row r="920" spans="1:28" s="581" customFormat="1" ht="12.75">
      <c r="A920" s="1516">
        <v>85204</v>
      </c>
      <c r="B920" s="1550" t="s">
        <v>1021</v>
      </c>
      <c r="C920" s="1467">
        <f>SUM(C921:C927)</f>
        <v>2223575</v>
      </c>
      <c r="D920" s="1467">
        <f>SUM(D921:D927)</f>
        <v>2223575</v>
      </c>
      <c r="E920" s="1468">
        <f>SUM(E921:E927)</f>
        <v>3243965</v>
      </c>
      <c r="F920" s="1469">
        <f>SUM(F921:F927)</f>
        <v>2181000</v>
      </c>
      <c r="G920" s="1519">
        <f t="shared" si="250"/>
        <v>98.08529057935982</v>
      </c>
      <c r="H920" s="1519">
        <f t="shared" si="254"/>
        <v>98.08529057935982</v>
      </c>
      <c r="I920" s="1450"/>
      <c r="J920" s="1470"/>
      <c r="K920" s="1467"/>
      <c r="L920" s="1467"/>
      <c r="M920" s="1467"/>
      <c r="N920" s="1467"/>
      <c r="O920" s="1467"/>
      <c r="P920" s="1471"/>
      <c r="Q920" s="1453"/>
      <c r="R920" s="1470">
        <f aca="true" t="shared" si="271" ref="R920:W920">SUM(R921:R927)</f>
        <v>2223575</v>
      </c>
      <c r="S920" s="1467">
        <f t="shared" si="271"/>
        <v>2181000</v>
      </c>
      <c r="T920" s="1467">
        <f t="shared" si="271"/>
        <v>0</v>
      </c>
      <c r="U920" s="1467">
        <f t="shared" si="271"/>
        <v>0</v>
      </c>
      <c r="V920" s="1467">
        <f t="shared" si="271"/>
        <v>0</v>
      </c>
      <c r="W920" s="1471">
        <f t="shared" si="271"/>
        <v>2181000</v>
      </c>
      <c r="X920" s="1702">
        <f t="shared" si="266"/>
        <v>98.08529057935982</v>
      </c>
      <c r="Y920" s="1444"/>
      <c r="AA920" s="1444">
        <f>SUM(S923:S924)</f>
        <v>51000</v>
      </c>
      <c r="AB920" s="1444">
        <f>Z920+AA920</f>
        <v>51000</v>
      </c>
    </row>
    <row r="921" spans="1:28" s="571" customFormat="1" ht="48">
      <c r="A921" s="1497">
        <v>2320</v>
      </c>
      <c r="B921" s="1513" t="s">
        <v>1022</v>
      </c>
      <c r="C921" s="1457">
        <v>100000</v>
      </c>
      <c r="D921" s="1457">
        <f aca="true" t="shared" si="272" ref="D921:D927">J921+R921</f>
        <v>20000</v>
      </c>
      <c r="E921" s="1458">
        <v>150000</v>
      </c>
      <c r="F921" s="1459">
        <f aca="true" t="shared" si="273" ref="F921:F926">P921+W921</f>
        <v>30000</v>
      </c>
      <c r="G921" s="1499">
        <f t="shared" si="250"/>
        <v>30</v>
      </c>
      <c r="H921" s="1499">
        <f t="shared" si="254"/>
        <v>150</v>
      </c>
      <c r="I921" s="1450"/>
      <c r="J921" s="1461"/>
      <c r="K921" s="1457"/>
      <c r="L921" s="1457"/>
      <c r="M921" s="1457"/>
      <c r="N921" s="1457"/>
      <c r="O921" s="1457"/>
      <c r="P921" s="1462"/>
      <c r="Q921" s="1495"/>
      <c r="R921" s="1461">
        <v>20000</v>
      </c>
      <c r="S921" s="1457">
        <f>100000-70000</f>
        <v>30000</v>
      </c>
      <c r="T921" s="1457"/>
      <c r="U921" s="1457"/>
      <c r="V921" s="1457"/>
      <c r="W921" s="1462">
        <f>SUM(S921:V921)</f>
        <v>30000</v>
      </c>
      <c r="X921" s="1496"/>
      <c r="Y921" s="1444"/>
      <c r="AA921" s="1300"/>
      <c r="AB921" s="1300"/>
    </row>
    <row r="922" spans="1:25" ht="12.75">
      <c r="A922" s="1497">
        <v>3110</v>
      </c>
      <c r="B922" s="1513" t="s">
        <v>1014</v>
      </c>
      <c r="C922" s="1457">
        <v>1800000</v>
      </c>
      <c r="D922" s="1457">
        <f t="shared" si="272"/>
        <v>1972000</v>
      </c>
      <c r="E922" s="1458">
        <v>2673172</v>
      </c>
      <c r="F922" s="1459">
        <f t="shared" si="273"/>
        <v>2000000</v>
      </c>
      <c r="G922" s="1499">
        <f t="shared" si="250"/>
        <v>111.11111111111111</v>
      </c>
      <c r="H922" s="1499">
        <f t="shared" si="254"/>
        <v>101.41987829614605</v>
      </c>
      <c r="I922" s="1450"/>
      <c r="J922" s="1461"/>
      <c r="K922" s="1457"/>
      <c r="L922" s="1457"/>
      <c r="M922" s="1457"/>
      <c r="N922" s="1457"/>
      <c r="O922" s="1457"/>
      <c r="P922" s="1462"/>
      <c r="Q922" s="1495"/>
      <c r="R922" s="1461">
        <v>1972000</v>
      </c>
      <c r="S922" s="1457">
        <v>2000000</v>
      </c>
      <c r="T922" s="1457"/>
      <c r="U922" s="1457"/>
      <c r="V922" s="1457"/>
      <c r="W922" s="1462">
        <f>SUM(S922:V922)</f>
        <v>2000000</v>
      </c>
      <c r="X922" s="1496">
        <f t="shared" si="266"/>
        <v>101.41987829614605</v>
      </c>
      <c r="Y922" s="1444"/>
    </row>
    <row r="923" spans="1:25" ht="12.75">
      <c r="A923" s="1497">
        <v>4110</v>
      </c>
      <c r="B923" s="1513" t="s">
        <v>568</v>
      </c>
      <c r="C923" s="1457">
        <v>44320</v>
      </c>
      <c r="D923" s="1457">
        <f t="shared" si="272"/>
        <v>44320</v>
      </c>
      <c r="E923" s="1458">
        <v>62078</v>
      </c>
      <c r="F923" s="1459">
        <f t="shared" si="273"/>
        <v>44300</v>
      </c>
      <c r="G923" s="1499">
        <f t="shared" si="250"/>
        <v>99.95487364620939</v>
      </c>
      <c r="H923" s="1499">
        <f t="shared" si="254"/>
        <v>99.95487364620939</v>
      </c>
      <c r="I923" s="1450"/>
      <c r="J923" s="1461"/>
      <c r="K923" s="1457"/>
      <c r="L923" s="1457"/>
      <c r="M923" s="1457"/>
      <c r="N923" s="1457"/>
      <c r="O923" s="1457"/>
      <c r="P923" s="1462"/>
      <c r="Q923" s="1495"/>
      <c r="R923" s="1461">
        <v>44320</v>
      </c>
      <c r="S923" s="1457">
        <v>44300</v>
      </c>
      <c r="T923" s="1457"/>
      <c r="U923" s="1457"/>
      <c r="V923" s="1457"/>
      <c r="W923" s="1462">
        <f>SUM(S923:V923)</f>
        <v>44300</v>
      </c>
      <c r="X923" s="1496">
        <f t="shared" si="266"/>
        <v>99.95487364620939</v>
      </c>
      <c r="Y923" s="1444"/>
    </row>
    <row r="924" spans="1:25" ht="12.75">
      <c r="A924" s="1497">
        <v>4120</v>
      </c>
      <c r="B924" s="1513" t="s">
        <v>763</v>
      </c>
      <c r="C924" s="1457">
        <v>6680</v>
      </c>
      <c r="D924" s="1457">
        <f t="shared" si="272"/>
        <v>6680</v>
      </c>
      <c r="E924" s="1458">
        <v>8579</v>
      </c>
      <c r="F924" s="1459">
        <f t="shared" si="273"/>
        <v>6700</v>
      </c>
      <c r="G924" s="1499">
        <f t="shared" si="250"/>
        <v>100.2994011976048</v>
      </c>
      <c r="H924" s="1499">
        <f t="shared" si="254"/>
        <v>100.2994011976048</v>
      </c>
      <c r="I924" s="1450"/>
      <c r="J924" s="1461"/>
      <c r="K924" s="1457"/>
      <c r="L924" s="1457"/>
      <c r="M924" s="1457"/>
      <c r="N924" s="1457"/>
      <c r="O924" s="1457"/>
      <c r="P924" s="1462"/>
      <c r="Q924" s="1495"/>
      <c r="R924" s="1461">
        <v>6680</v>
      </c>
      <c r="S924" s="1457">
        <v>6700</v>
      </c>
      <c r="T924" s="1457"/>
      <c r="U924" s="1457"/>
      <c r="V924" s="1457"/>
      <c r="W924" s="1462">
        <f>SUM(S924:V924)</f>
        <v>6700</v>
      </c>
      <c r="X924" s="1496">
        <f t="shared" si="266"/>
        <v>100.2994011976048</v>
      </c>
      <c r="Y924" s="1444"/>
    </row>
    <row r="925" spans="1:25" ht="12.75">
      <c r="A925" s="1497">
        <v>4170</v>
      </c>
      <c r="B925" s="1513" t="s">
        <v>572</v>
      </c>
      <c r="C925" s="1457"/>
      <c r="D925" s="1457">
        <f t="shared" si="272"/>
        <v>100000</v>
      </c>
      <c r="E925" s="1458">
        <v>350136</v>
      </c>
      <c r="F925" s="1459">
        <f t="shared" si="273"/>
        <v>100000</v>
      </c>
      <c r="G925" s="1499"/>
      <c r="H925" s="1499">
        <f t="shared" si="254"/>
        <v>100</v>
      </c>
      <c r="I925" s="1450"/>
      <c r="J925" s="1461"/>
      <c r="K925" s="1457"/>
      <c r="L925" s="1457"/>
      <c r="M925" s="1457"/>
      <c r="N925" s="1457"/>
      <c r="O925" s="1457"/>
      <c r="P925" s="1462"/>
      <c r="Q925" s="1495"/>
      <c r="R925" s="1461">
        <v>100000</v>
      </c>
      <c r="S925" s="1457">
        <v>100000</v>
      </c>
      <c r="T925" s="1457"/>
      <c r="U925" s="1457"/>
      <c r="V925" s="1457"/>
      <c r="W925" s="1462">
        <f>SUM(S925:V925)</f>
        <v>100000</v>
      </c>
      <c r="X925" s="1496">
        <f t="shared" si="266"/>
        <v>100</v>
      </c>
      <c r="Y925" s="1444"/>
    </row>
    <row r="926" spans="1:25" ht="12.75">
      <c r="A926" s="1497">
        <v>4300</v>
      </c>
      <c r="B926" s="1513" t="s">
        <v>1023</v>
      </c>
      <c r="C926" s="1457">
        <v>272575</v>
      </c>
      <c r="D926" s="1457">
        <f t="shared" si="272"/>
        <v>575</v>
      </c>
      <c r="E926" s="1458">
        <v>0</v>
      </c>
      <c r="F926" s="1459">
        <f t="shared" si="273"/>
        <v>0</v>
      </c>
      <c r="G926" s="1499">
        <f t="shared" si="250"/>
        <v>0</v>
      </c>
      <c r="H926" s="1499">
        <f t="shared" si="254"/>
        <v>0</v>
      </c>
      <c r="I926" s="1450"/>
      <c r="J926" s="1461"/>
      <c r="K926" s="1457"/>
      <c r="L926" s="1457"/>
      <c r="M926" s="1457"/>
      <c r="N926" s="1457"/>
      <c r="O926" s="1457"/>
      <c r="P926" s="1462"/>
      <c r="Q926" s="1495"/>
      <c r="R926" s="1461">
        <v>575</v>
      </c>
      <c r="S926" s="1457"/>
      <c r="T926" s="1457"/>
      <c r="U926" s="1457"/>
      <c r="V926" s="1457"/>
      <c r="W926" s="1462"/>
      <c r="X926" s="1496"/>
      <c r="Y926" s="1444"/>
    </row>
    <row r="927" spans="1:25" ht="24">
      <c r="A927" s="1497">
        <v>4330</v>
      </c>
      <c r="B927" s="1513" t="s">
        <v>1016</v>
      </c>
      <c r="C927" s="1457"/>
      <c r="D927" s="1457">
        <f t="shared" si="272"/>
        <v>80000</v>
      </c>
      <c r="E927" s="1458">
        <v>0</v>
      </c>
      <c r="F927" s="1459"/>
      <c r="G927" s="1499"/>
      <c r="H927" s="1499">
        <f t="shared" si="254"/>
        <v>0</v>
      </c>
      <c r="I927" s="1450"/>
      <c r="J927" s="1461"/>
      <c r="K927" s="1457"/>
      <c r="L927" s="1457"/>
      <c r="M927" s="1457"/>
      <c r="N927" s="1457"/>
      <c r="O927" s="1457"/>
      <c r="P927" s="1462"/>
      <c r="Q927" s="1495"/>
      <c r="R927" s="1461">
        <v>80000</v>
      </c>
      <c r="S927" s="1457"/>
      <c r="T927" s="1457"/>
      <c r="U927" s="1457"/>
      <c r="V927" s="1457"/>
      <c r="W927" s="1462"/>
      <c r="X927" s="1496"/>
      <c r="Y927" s="1444"/>
    </row>
    <row r="928" spans="1:25" s="581" customFormat="1" ht="48">
      <c r="A928" s="1516">
        <v>85212</v>
      </c>
      <c r="B928" s="1550" t="s">
        <v>1024</v>
      </c>
      <c r="C928" s="1467">
        <f>SUM(C929:C936)</f>
        <v>0</v>
      </c>
      <c r="D928" s="1467">
        <f>SUM(D929:D936)</f>
        <v>304500</v>
      </c>
      <c r="E928" s="1468">
        <f>SUM(E929:E936)</f>
        <v>0</v>
      </c>
      <c r="F928" s="1469">
        <f>F935</f>
        <v>0</v>
      </c>
      <c r="G928" s="1531"/>
      <c r="H928" s="1532">
        <f t="shared" si="254"/>
        <v>0</v>
      </c>
      <c r="I928" s="1450"/>
      <c r="J928" s="1470">
        <f>SUM(J929:J936)</f>
        <v>289500</v>
      </c>
      <c r="K928" s="1467">
        <f>SUM(K929:K936)</f>
        <v>0</v>
      </c>
      <c r="L928" s="1467">
        <f>SUM(L929:L936)</f>
        <v>0</v>
      </c>
      <c r="M928" s="1467">
        <f>SUM(M929:M936)</f>
        <v>0</v>
      </c>
      <c r="N928" s="1467">
        <f>SUM(N929:N936)</f>
        <v>0</v>
      </c>
      <c r="O928" s="1467"/>
      <c r="P928" s="1467">
        <f>SUM(P929:P936)</f>
        <v>0</v>
      </c>
      <c r="Q928" s="1453">
        <f t="shared" si="257"/>
        <v>0</v>
      </c>
      <c r="R928" s="1470">
        <f>SUM(R929:R936)</f>
        <v>15000</v>
      </c>
      <c r="S928" s="1467">
        <f>S935</f>
        <v>0</v>
      </c>
      <c r="T928" s="1467">
        <f>T935</f>
        <v>0</v>
      </c>
      <c r="U928" s="1467">
        <f>U935</f>
        <v>0</v>
      </c>
      <c r="V928" s="1467">
        <f>V935</f>
        <v>0</v>
      </c>
      <c r="W928" s="1471">
        <f>W935</f>
        <v>0</v>
      </c>
      <c r="X928" s="1454">
        <f>W928/R928*100</f>
        <v>0</v>
      </c>
      <c r="Y928" s="1444"/>
    </row>
    <row r="929" spans="1:25" s="571" customFormat="1" ht="12.75">
      <c r="A929" s="1497">
        <v>3110</v>
      </c>
      <c r="B929" s="1513" t="s">
        <v>1014</v>
      </c>
      <c r="C929" s="1457"/>
      <c r="D929" s="1457">
        <f aca="true" t="shared" si="274" ref="D929:D936">J929+R929</f>
        <v>15000</v>
      </c>
      <c r="E929" s="1458"/>
      <c r="F929" s="1459"/>
      <c r="G929" s="1499"/>
      <c r="H929" s="1499">
        <f t="shared" si="254"/>
        <v>0</v>
      </c>
      <c r="I929" s="1581"/>
      <c r="J929" s="1461"/>
      <c r="K929" s="1457"/>
      <c r="L929" s="1457"/>
      <c r="M929" s="1457"/>
      <c r="N929" s="1457"/>
      <c r="O929" s="1457"/>
      <c r="P929" s="1462"/>
      <c r="Q929" s="1495"/>
      <c r="R929" s="1461">
        <v>15000</v>
      </c>
      <c r="S929" s="1457"/>
      <c r="T929" s="1457"/>
      <c r="U929" s="1457"/>
      <c r="V929" s="1457"/>
      <c r="W929" s="1462"/>
      <c r="X929" s="1496"/>
      <c r="Y929" s="1300"/>
    </row>
    <row r="930" spans="1:25" s="571" customFormat="1" ht="24">
      <c r="A930" s="1497">
        <v>4010</v>
      </c>
      <c r="B930" s="1513" t="s">
        <v>626</v>
      </c>
      <c r="C930" s="1457"/>
      <c r="D930" s="1457">
        <f t="shared" si="274"/>
        <v>94770</v>
      </c>
      <c r="E930" s="1458">
        <v>0</v>
      </c>
      <c r="F930" s="1459"/>
      <c r="G930" s="1499"/>
      <c r="H930" s="1499">
        <f t="shared" si="254"/>
        <v>0</v>
      </c>
      <c r="I930" s="1581"/>
      <c r="J930" s="1461">
        <v>94770</v>
      </c>
      <c r="K930" s="1457"/>
      <c r="L930" s="1457"/>
      <c r="M930" s="1457"/>
      <c r="N930" s="1457"/>
      <c r="O930" s="1457"/>
      <c r="P930" s="1462"/>
      <c r="Q930" s="1495"/>
      <c r="R930" s="1461"/>
      <c r="S930" s="1457"/>
      <c r="T930" s="1457"/>
      <c r="U930" s="1457"/>
      <c r="V930" s="1457"/>
      <c r="W930" s="1462"/>
      <c r="X930" s="1496"/>
      <c r="Y930" s="1300"/>
    </row>
    <row r="931" spans="1:25" s="571" customFormat="1" ht="12.75">
      <c r="A931" s="1497">
        <v>4110</v>
      </c>
      <c r="B931" s="1513" t="s">
        <v>568</v>
      </c>
      <c r="C931" s="1457"/>
      <c r="D931" s="1457">
        <f t="shared" si="274"/>
        <v>15640</v>
      </c>
      <c r="E931" s="1458">
        <v>0</v>
      </c>
      <c r="F931" s="1459"/>
      <c r="G931" s="1499"/>
      <c r="H931" s="1499">
        <f aca="true" t="shared" si="275" ref="H931:H995">F931/D931*100</f>
        <v>0</v>
      </c>
      <c r="I931" s="1581"/>
      <c r="J931" s="1461">
        <v>15640</v>
      </c>
      <c r="K931" s="1457"/>
      <c r="L931" s="1457"/>
      <c r="M931" s="1457"/>
      <c r="N931" s="1457"/>
      <c r="O931" s="1457"/>
      <c r="P931" s="1462"/>
      <c r="Q931" s="1495"/>
      <c r="R931" s="1461"/>
      <c r="S931" s="1457"/>
      <c r="T931" s="1457"/>
      <c r="U931" s="1457"/>
      <c r="V931" s="1457"/>
      <c r="W931" s="1462"/>
      <c r="X931" s="1496"/>
      <c r="Y931" s="1300"/>
    </row>
    <row r="932" spans="1:25" s="571" customFormat="1" ht="12.75">
      <c r="A932" s="1497">
        <v>4120</v>
      </c>
      <c r="B932" s="1513" t="s">
        <v>763</v>
      </c>
      <c r="C932" s="1457"/>
      <c r="D932" s="1457">
        <f t="shared" si="274"/>
        <v>2200</v>
      </c>
      <c r="E932" s="1458">
        <v>0</v>
      </c>
      <c r="F932" s="1459"/>
      <c r="G932" s="1499"/>
      <c r="H932" s="1499">
        <f t="shared" si="275"/>
        <v>0</v>
      </c>
      <c r="I932" s="1581"/>
      <c r="J932" s="1461">
        <v>2200</v>
      </c>
      <c r="K932" s="1457"/>
      <c r="L932" s="1457"/>
      <c r="M932" s="1457"/>
      <c r="N932" s="1457"/>
      <c r="O932" s="1457"/>
      <c r="P932" s="1462"/>
      <c r="Q932" s="1495"/>
      <c r="R932" s="1461"/>
      <c r="S932" s="1457"/>
      <c r="T932" s="1457"/>
      <c r="U932" s="1457"/>
      <c r="V932" s="1457"/>
      <c r="W932" s="1462"/>
      <c r="X932" s="1496"/>
      <c r="Y932" s="1300"/>
    </row>
    <row r="933" spans="1:25" s="571" customFormat="1" ht="12.75">
      <c r="A933" s="1497">
        <v>4210</v>
      </c>
      <c r="B933" s="1513" t="s">
        <v>560</v>
      </c>
      <c r="C933" s="1457"/>
      <c r="D933" s="1457">
        <f t="shared" si="274"/>
        <v>40000</v>
      </c>
      <c r="E933" s="1458">
        <v>0</v>
      </c>
      <c r="F933" s="1459"/>
      <c r="G933" s="1499"/>
      <c r="H933" s="1499">
        <f t="shared" si="275"/>
        <v>0</v>
      </c>
      <c r="I933" s="1581"/>
      <c r="J933" s="1461">
        <v>40000</v>
      </c>
      <c r="K933" s="1457"/>
      <c r="L933" s="1457"/>
      <c r="M933" s="1457"/>
      <c r="N933" s="1457"/>
      <c r="O933" s="1457"/>
      <c r="P933" s="1462"/>
      <c r="Q933" s="1495"/>
      <c r="R933" s="1461"/>
      <c r="S933" s="1457"/>
      <c r="T933" s="1457"/>
      <c r="U933" s="1457"/>
      <c r="V933" s="1457"/>
      <c r="W933" s="1462"/>
      <c r="X933" s="1496"/>
      <c r="Y933" s="1300"/>
    </row>
    <row r="934" spans="1:25" s="571" customFormat="1" ht="12.75">
      <c r="A934" s="1497">
        <v>4300</v>
      </c>
      <c r="B934" s="1513" t="s">
        <v>1023</v>
      </c>
      <c r="C934" s="1457"/>
      <c r="D934" s="1457">
        <f t="shared" si="274"/>
        <v>49000</v>
      </c>
      <c r="E934" s="1458">
        <v>0</v>
      </c>
      <c r="F934" s="1459"/>
      <c r="G934" s="1499"/>
      <c r="H934" s="1499">
        <f t="shared" si="275"/>
        <v>0</v>
      </c>
      <c r="I934" s="1581"/>
      <c r="J934" s="1461">
        <v>49000</v>
      </c>
      <c r="K934" s="1457"/>
      <c r="L934" s="1457"/>
      <c r="M934" s="1457"/>
      <c r="N934" s="1457"/>
      <c r="O934" s="1457"/>
      <c r="P934" s="1462"/>
      <c r="Q934" s="1495"/>
      <c r="R934" s="1461"/>
      <c r="S934" s="1457"/>
      <c r="T934" s="1457"/>
      <c r="U934" s="1457"/>
      <c r="V934" s="1457"/>
      <c r="W934" s="1462"/>
      <c r="X934" s="1496"/>
      <c r="Y934" s="1300"/>
    </row>
    <row r="935" spans="1:25" s="571" customFormat="1" ht="12.75">
      <c r="A935" s="1497">
        <v>4440</v>
      </c>
      <c r="B935" s="1513" t="s">
        <v>641</v>
      </c>
      <c r="C935" s="1457"/>
      <c r="D935" s="1457">
        <f>J935+R935</f>
        <v>1890</v>
      </c>
      <c r="E935" s="1458">
        <v>0</v>
      </c>
      <c r="F935" s="1459">
        <f>P935+W935</f>
        <v>0</v>
      </c>
      <c r="G935" s="1499"/>
      <c r="H935" s="1499">
        <f t="shared" si="275"/>
        <v>0</v>
      </c>
      <c r="I935" s="1581"/>
      <c r="J935" s="1461">
        <v>1890</v>
      </c>
      <c r="K935" s="1457"/>
      <c r="L935" s="1457"/>
      <c r="M935" s="1457"/>
      <c r="N935" s="1457"/>
      <c r="O935" s="1457"/>
      <c r="P935" s="1462">
        <f>SUM(K935:N935)</f>
        <v>0</v>
      </c>
      <c r="Q935" s="1495">
        <f t="shared" si="257"/>
        <v>0</v>
      </c>
      <c r="R935" s="1461"/>
      <c r="S935" s="1457"/>
      <c r="T935" s="1457"/>
      <c r="U935" s="1457"/>
      <c r="V935" s="1457"/>
      <c r="W935" s="1462">
        <f>SUM(S935:V935)</f>
        <v>0</v>
      </c>
      <c r="X935" s="1496" t="e">
        <f>W935/R935*100</f>
        <v>#DIV/0!</v>
      </c>
      <c r="Y935" s="1300"/>
    </row>
    <row r="936" spans="1:25" s="571" customFormat="1" ht="24">
      <c r="A936" s="1497">
        <v>6060</v>
      </c>
      <c r="B936" s="1513" t="s">
        <v>870</v>
      </c>
      <c r="C936" s="1457"/>
      <c r="D936" s="1457">
        <f t="shared" si="274"/>
        <v>86000</v>
      </c>
      <c r="E936" s="1458">
        <v>0</v>
      </c>
      <c r="F936" s="1459"/>
      <c r="G936" s="1499"/>
      <c r="H936" s="1499">
        <f t="shared" si="275"/>
        <v>0</v>
      </c>
      <c r="I936" s="1581"/>
      <c r="J936" s="1461">
        <v>86000</v>
      </c>
      <c r="K936" s="1457"/>
      <c r="L936" s="1457"/>
      <c r="M936" s="1457"/>
      <c r="N936" s="1457"/>
      <c r="O936" s="1457"/>
      <c r="P936" s="1462"/>
      <c r="Q936" s="1495"/>
      <c r="R936" s="1461"/>
      <c r="S936" s="1457"/>
      <c r="T936" s="1457"/>
      <c r="U936" s="1457"/>
      <c r="V936" s="1457"/>
      <c r="W936" s="1462"/>
      <c r="X936" s="1496"/>
      <c r="Y936" s="1300"/>
    </row>
    <row r="937" spans="1:25" s="581" customFormat="1" ht="36">
      <c r="A937" s="1516">
        <v>85214</v>
      </c>
      <c r="B937" s="1550" t="s">
        <v>1025</v>
      </c>
      <c r="C937" s="1467">
        <f>SUM(C938:C939)</f>
        <v>3700000</v>
      </c>
      <c r="D937" s="1467">
        <f>SUM(D938:D939)</f>
        <v>5118000</v>
      </c>
      <c r="E937" s="1468">
        <f>SUM(E938:E939)</f>
        <v>6725500</v>
      </c>
      <c r="F937" s="1469">
        <f>SUM(F938:F939)</f>
        <v>3702000</v>
      </c>
      <c r="G937" s="1531">
        <f aca="true" t="shared" si="276" ref="G937:G1000">F937/C937*100</f>
        <v>100.05405405405405</v>
      </c>
      <c r="H937" s="1532">
        <f t="shared" si="275"/>
        <v>72.33294255568582</v>
      </c>
      <c r="I937" s="1450"/>
      <c r="J937" s="1470">
        <f>SUM(J938:J939)</f>
        <v>5118000</v>
      </c>
      <c r="K937" s="1467">
        <f>SUM(K938:K939)</f>
        <v>3202000</v>
      </c>
      <c r="L937" s="1467">
        <f>SUM(L938:L939)</f>
        <v>0</v>
      </c>
      <c r="M937" s="1467">
        <f>SUM(M938:M939)</f>
        <v>0</v>
      </c>
      <c r="N937" s="1467">
        <f>SUM(N938:N939)</f>
        <v>0</v>
      </c>
      <c r="O937" s="1467"/>
      <c r="P937" s="1471">
        <f>SUM(P938:P939)</f>
        <v>3702000</v>
      </c>
      <c r="Q937" s="1453">
        <f t="shared" si="257"/>
        <v>72.33294255568582</v>
      </c>
      <c r="R937" s="1470"/>
      <c r="S937" s="1467"/>
      <c r="T937" s="1467"/>
      <c r="U937" s="1467"/>
      <c r="V937" s="1467"/>
      <c r="W937" s="1471"/>
      <c r="X937" s="1454"/>
      <c r="Y937" s="1444"/>
    </row>
    <row r="938" spans="1:25" ht="12.75">
      <c r="A938" s="1497">
        <v>3110</v>
      </c>
      <c r="B938" s="1513" t="s">
        <v>1014</v>
      </c>
      <c r="C938" s="1457">
        <v>3700000</v>
      </c>
      <c r="D938" s="1457">
        <f>J938+R938</f>
        <v>5113000</v>
      </c>
      <c r="E938" s="1458">
        <v>6723500</v>
      </c>
      <c r="F938" s="1459">
        <f>P938+W938</f>
        <v>3700000</v>
      </c>
      <c r="G938" s="1499">
        <f t="shared" si="276"/>
        <v>100</v>
      </c>
      <c r="H938" s="1499">
        <f t="shared" si="275"/>
        <v>72.3645609231371</v>
      </c>
      <c r="I938" s="1450"/>
      <c r="J938" s="1461">
        <v>5113000</v>
      </c>
      <c r="K938" s="1457">
        <f>4000000-500000-300000</f>
        <v>3200000</v>
      </c>
      <c r="L938" s="1457"/>
      <c r="M938" s="1457"/>
      <c r="N938" s="1457"/>
      <c r="O938" s="1457"/>
      <c r="P938" s="1462">
        <v>3700000</v>
      </c>
      <c r="Q938" s="1495">
        <f t="shared" si="257"/>
        <v>72.3645609231371</v>
      </c>
      <c r="R938" s="1461"/>
      <c r="S938" s="1457"/>
      <c r="T938" s="1457"/>
      <c r="U938" s="1457"/>
      <c r="V938" s="1457"/>
      <c r="W938" s="1462"/>
      <c r="X938" s="1496"/>
      <c r="Y938" s="1444"/>
    </row>
    <row r="939" spans="1:25" ht="12.75">
      <c r="A939" s="1497">
        <v>3110</v>
      </c>
      <c r="B939" s="1513" t="s">
        <v>1026</v>
      </c>
      <c r="C939" s="1457"/>
      <c r="D939" s="1457">
        <f>J939+R939</f>
        <v>5000</v>
      </c>
      <c r="E939" s="1458">
        <v>2000</v>
      </c>
      <c r="F939" s="1459">
        <f>P939+W939</f>
        <v>2000</v>
      </c>
      <c r="G939" s="1499"/>
      <c r="H939" s="1499">
        <f t="shared" si="275"/>
        <v>40</v>
      </c>
      <c r="I939" s="1450"/>
      <c r="J939" s="1461">
        <v>5000</v>
      </c>
      <c r="K939" s="1457">
        <v>2000</v>
      </c>
      <c r="L939" s="1457"/>
      <c r="M939" s="1457"/>
      <c r="N939" s="1457"/>
      <c r="O939" s="1457"/>
      <c r="P939" s="1462">
        <f>SUM(K939:N939)</f>
        <v>2000</v>
      </c>
      <c r="Q939" s="1495">
        <f t="shared" si="257"/>
        <v>40</v>
      </c>
      <c r="R939" s="1461"/>
      <c r="S939" s="1457"/>
      <c r="T939" s="1457"/>
      <c r="U939" s="1457"/>
      <c r="V939" s="1457"/>
      <c r="W939" s="1462"/>
      <c r="X939" s="1496"/>
      <c r="Y939" s="1444"/>
    </row>
    <row r="940" spans="1:25" s="581" customFormat="1" ht="12.75">
      <c r="A940" s="1516">
        <v>85215</v>
      </c>
      <c r="B940" s="1550" t="s">
        <v>1027</v>
      </c>
      <c r="C940" s="1467">
        <f>C942+C941</f>
        <v>5800000</v>
      </c>
      <c r="D940" s="1467">
        <f>D942+D941</f>
        <v>5593231</v>
      </c>
      <c r="E940" s="1468">
        <f>E942+E941</f>
        <v>5785500</v>
      </c>
      <c r="F940" s="1469">
        <f>F942+F941</f>
        <v>5400000</v>
      </c>
      <c r="G940" s="1519">
        <f t="shared" si="276"/>
        <v>93.10344827586206</v>
      </c>
      <c r="H940" s="1519">
        <f t="shared" si="275"/>
        <v>96.5452705243177</v>
      </c>
      <c r="I940" s="1450"/>
      <c r="J940" s="1470">
        <f aca="true" t="shared" si="277" ref="J940:P940">J942+J941</f>
        <v>5593231</v>
      </c>
      <c r="K940" s="1467">
        <f>K942+K941</f>
        <v>5400000</v>
      </c>
      <c r="L940" s="1467">
        <f t="shared" si="277"/>
        <v>0</v>
      </c>
      <c r="M940" s="1467">
        <f t="shared" si="277"/>
        <v>0</v>
      </c>
      <c r="N940" s="1467">
        <f t="shared" si="277"/>
        <v>0</v>
      </c>
      <c r="O940" s="1467"/>
      <c r="P940" s="1471">
        <f t="shared" si="277"/>
        <v>5400000</v>
      </c>
      <c r="Q940" s="1453">
        <f t="shared" si="257"/>
        <v>96.5452705243177</v>
      </c>
      <c r="R940" s="1470"/>
      <c r="S940" s="1467"/>
      <c r="T940" s="1467"/>
      <c r="U940" s="1467"/>
      <c r="V940" s="1467"/>
      <c r="W940" s="1471"/>
      <c r="X940" s="1454"/>
      <c r="Y940" s="1444"/>
    </row>
    <row r="941" spans="1:25" s="571" customFormat="1" ht="36" hidden="1">
      <c r="A941" s="1497">
        <v>2910</v>
      </c>
      <c r="B941" s="1513" t="s">
        <v>1028</v>
      </c>
      <c r="C941" s="1457">
        <v>0</v>
      </c>
      <c r="D941" s="1457">
        <f>J941+R941</f>
        <v>0</v>
      </c>
      <c r="E941" s="1458">
        <v>0</v>
      </c>
      <c r="F941" s="1459">
        <f>P941+W941</f>
        <v>0</v>
      </c>
      <c r="G941" s="1519" t="e">
        <f t="shared" si="276"/>
        <v>#DIV/0!</v>
      </c>
      <c r="H941" s="1519" t="e">
        <f t="shared" si="275"/>
        <v>#DIV/0!</v>
      </c>
      <c r="I941" s="1450"/>
      <c r="J941" s="1461">
        <v>0</v>
      </c>
      <c r="K941" s="1457">
        <v>0</v>
      </c>
      <c r="L941" s="1457"/>
      <c r="M941" s="1457"/>
      <c r="N941" s="1457"/>
      <c r="O941" s="1457"/>
      <c r="P941" s="1462">
        <f>SUM(K941:N941)</f>
        <v>0</v>
      </c>
      <c r="Q941" s="1495" t="e">
        <f t="shared" si="257"/>
        <v>#DIV/0!</v>
      </c>
      <c r="R941" s="1461"/>
      <c r="S941" s="1457"/>
      <c r="T941" s="1457"/>
      <c r="U941" s="1457"/>
      <c r="V941" s="1457"/>
      <c r="W941" s="1462"/>
      <c r="X941" s="1496"/>
      <c r="Y941" s="1444"/>
    </row>
    <row r="942" spans="1:25" ht="12.75">
      <c r="A942" s="1497">
        <v>3110</v>
      </c>
      <c r="B942" s="1513" t="s">
        <v>1014</v>
      </c>
      <c r="C942" s="1457">
        <v>5800000</v>
      </c>
      <c r="D942" s="1457">
        <f>J942+R942</f>
        <v>5593231</v>
      </c>
      <c r="E942" s="1458">
        <v>5785500</v>
      </c>
      <c r="F942" s="1459">
        <f>P942+W942</f>
        <v>5400000</v>
      </c>
      <c r="G942" s="1499">
        <f t="shared" si="276"/>
        <v>93.10344827586206</v>
      </c>
      <c r="H942" s="1499">
        <f t="shared" si="275"/>
        <v>96.5452705243177</v>
      </c>
      <c r="I942" s="1450"/>
      <c r="J942" s="1461">
        <v>5593231</v>
      </c>
      <c r="K942" s="1457">
        <f>5600000-200000</f>
        <v>5400000</v>
      </c>
      <c r="L942" s="1457"/>
      <c r="M942" s="1457"/>
      <c r="N942" s="1457"/>
      <c r="O942" s="1457"/>
      <c r="P942" s="1462">
        <f>SUM(K942:N942)</f>
        <v>5400000</v>
      </c>
      <c r="Q942" s="1495">
        <f t="shared" si="257"/>
        <v>96.5452705243177</v>
      </c>
      <c r="R942" s="1461"/>
      <c r="S942" s="1457"/>
      <c r="T942" s="1457"/>
      <c r="U942" s="1457"/>
      <c r="V942" s="1457"/>
      <c r="W942" s="1462"/>
      <c r="X942" s="1496"/>
      <c r="Y942" s="1444"/>
    </row>
    <row r="943" spans="1:25" s="581" customFormat="1" ht="24" hidden="1">
      <c r="A943" s="1516">
        <v>85216</v>
      </c>
      <c r="B943" s="1550" t="s">
        <v>1029</v>
      </c>
      <c r="C943" s="1467">
        <f>C944</f>
        <v>0</v>
      </c>
      <c r="D943" s="1467">
        <f aca="true" t="shared" si="278" ref="D943:W943">D944</f>
        <v>0</v>
      </c>
      <c r="E943" s="1468">
        <f t="shared" si="278"/>
        <v>0</v>
      </c>
      <c r="F943" s="1469">
        <f t="shared" si="278"/>
        <v>0</v>
      </c>
      <c r="G943" s="1519" t="e">
        <f t="shared" si="276"/>
        <v>#DIV/0!</v>
      </c>
      <c r="H943" s="1519" t="e">
        <f t="shared" si="275"/>
        <v>#DIV/0!</v>
      </c>
      <c r="I943" s="1450"/>
      <c r="J943" s="1470">
        <f t="shared" si="278"/>
        <v>0</v>
      </c>
      <c r="K943" s="1467">
        <f t="shared" si="278"/>
        <v>0</v>
      </c>
      <c r="L943" s="1467">
        <f t="shared" si="278"/>
        <v>0</v>
      </c>
      <c r="M943" s="1467">
        <f t="shared" si="278"/>
        <v>0</v>
      </c>
      <c r="N943" s="1467">
        <f t="shared" si="278"/>
        <v>0</v>
      </c>
      <c r="O943" s="1467"/>
      <c r="P943" s="1471">
        <f t="shared" si="278"/>
        <v>0</v>
      </c>
      <c r="Q943" s="1453" t="e">
        <f t="shared" si="257"/>
        <v>#DIV/0!</v>
      </c>
      <c r="R943" s="1470">
        <f t="shared" si="278"/>
        <v>0</v>
      </c>
      <c r="S943" s="1467">
        <f t="shared" si="278"/>
        <v>0</v>
      </c>
      <c r="T943" s="1467">
        <f t="shared" si="278"/>
        <v>0</v>
      </c>
      <c r="U943" s="1467">
        <f t="shared" si="278"/>
        <v>0</v>
      </c>
      <c r="V943" s="1467">
        <f t="shared" si="278"/>
        <v>0</v>
      </c>
      <c r="W943" s="1471">
        <f t="shared" si="278"/>
        <v>0</v>
      </c>
      <c r="X943" s="1454"/>
      <c r="Y943" s="1444"/>
    </row>
    <row r="944" spans="1:25" ht="12.75" hidden="1">
      <c r="A944" s="1497">
        <v>3110</v>
      </c>
      <c r="B944" s="1513" t="s">
        <v>1014</v>
      </c>
      <c r="C944" s="1457"/>
      <c r="D944" s="1457">
        <f>J944+R944</f>
        <v>0</v>
      </c>
      <c r="E944" s="1458">
        <v>0</v>
      </c>
      <c r="F944" s="1459">
        <f>P944+W944</f>
        <v>0</v>
      </c>
      <c r="G944" s="1519" t="e">
        <f t="shared" si="276"/>
        <v>#DIV/0!</v>
      </c>
      <c r="H944" s="1519" t="e">
        <f t="shared" si="275"/>
        <v>#DIV/0!</v>
      </c>
      <c r="I944" s="1450"/>
      <c r="J944" s="1461">
        <v>0</v>
      </c>
      <c r="K944" s="1457"/>
      <c r="L944" s="1457"/>
      <c r="M944" s="1457"/>
      <c r="N944" s="1457"/>
      <c r="O944" s="1457"/>
      <c r="P944" s="1462">
        <f>SUM(K944:N945)</f>
        <v>0</v>
      </c>
      <c r="Q944" s="1495" t="e">
        <f>P944/J944*100</f>
        <v>#DIV/0!</v>
      </c>
      <c r="R944" s="1461"/>
      <c r="S944" s="1457"/>
      <c r="T944" s="1457"/>
      <c r="U944" s="1457"/>
      <c r="V944" s="1457"/>
      <c r="W944" s="1462"/>
      <c r="X944" s="1496"/>
      <c r="Y944" s="1444"/>
    </row>
    <row r="945" spans="1:28" s="581" customFormat="1" ht="12.75">
      <c r="A945" s="1516">
        <v>85218</v>
      </c>
      <c r="B945" s="1550" t="s">
        <v>1030</v>
      </c>
      <c r="C945" s="1467">
        <f>SUM(C946:C957)</f>
        <v>581335</v>
      </c>
      <c r="D945" s="1467">
        <f>SUM(D946:D957)</f>
        <v>581335</v>
      </c>
      <c r="E945" s="1468">
        <f>SUM(E946:E957)</f>
        <v>592230</v>
      </c>
      <c r="F945" s="1469">
        <f>SUM(F946:F957)</f>
        <v>592230</v>
      </c>
      <c r="G945" s="1519">
        <f t="shared" si="276"/>
        <v>101.87413453516474</v>
      </c>
      <c r="H945" s="1519">
        <f t="shared" si="275"/>
        <v>101.87413453516474</v>
      </c>
      <c r="I945" s="1450"/>
      <c r="J945" s="1470"/>
      <c r="K945" s="1467"/>
      <c r="L945" s="1467"/>
      <c r="M945" s="1467"/>
      <c r="N945" s="1467"/>
      <c r="O945" s="1467"/>
      <c r="P945" s="1471"/>
      <c r="Q945" s="1453"/>
      <c r="R945" s="1470">
        <f aca="true" t="shared" si="279" ref="R945:W945">SUM(R946:R957)</f>
        <v>581335</v>
      </c>
      <c r="S945" s="1467">
        <f t="shared" si="279"/>
        <v>582030</v>
      </c>
      <c r="T945" s="1467">
        <f t="shared" si="279"/>
        <v>0</v>
      </c>
      <c r="U945" s="1467">
        <f t="shared" si="279"/>
        <v>10200</v>
      </c>
      <c r="V945" s="1467">
        <f t="shared" si="279"/>
        <v>0</v>
      </c>
      <c r="W945" s="1471">
        <f t="shared" si="279"/>
        <v>592230</v>
      </c>
      <c r="X945" s="1454">
        <f aca="true" t="shared" si="280" ref="X945:X957">W945/R945*100</f>
        <v>101.87413453516474</v>
      </c>
      <c r="Y945" s="1444"/>
      <c r="AA945" s="1444">
        <f>SUM(S946:S949)</f>
        <v>526630</v>
      </c>
      <c r="AB945" s="1444">
        <f>Z945+AA945</f>
        <v>526630</v>
      </c>
    </row>
    <row r="946" spans="1:25" ht="24">
      <c r="A946" s="1497">
        <v>4010</v>
      </c>
      <c r="B946" s="1513" t="s">
        <v>1031</v>
      </c>
      <c r="C946" s="1457">
        <v>397900</v>
      </c>
      <c r="D946" s="1457">
        <f>J946+R946</f>
        <v>397900</v>
      </c>
      <c r="E946" s="1458">
        <v>403900</v>
      </c>
      <c r="F946" s="1459">
        <f>P946+W946</f>
        <v>403900</v>
      </c>
      <c r="G946" s="1499">
        <f t="shared" si="276"/>
        <v>101.50791656195024</v>
      </c>
      <c r="H946" s="1499">
        <f t="shared" si="275"/>
        <v>101.50791656195024</v>
      </c>
      <c r="I946" s="1450"/>
      <c r="J946" s="1461"/>
      <c r="K946" s="1457"/>
      <c r="L946" s="1457"/>
      <c r="M946" s="1457"/>
      <c r="N946" s="1457"/>
      <c r="O946" s="1457"/>
      <c r="P946" s="1462"/>
      <c r="Q946" s="1495"/>
      <c r="R946" s="1461">
        <v>397900</v>
      </c>
      <c r="S946" s="1457">
        <v>403900</v>
      </c>
      <c r="T946" s="1457"/>
      <c r="U946" s="1457"/>
      <c r="V946" s="1457"/>
      <c r="W946" s="1462">
        <f>SUM(S946:V946)</f>
        <v>403900</v>
      </c>
      <c r="X946" s="1496">
        <f t="shared" si="280"/>
        <v>101.50791656195024</v>
      </c>
      <c r="Y946" s="1444"/>
    </row>
    <row r="947" spans="1:25" ht="12.75">
      <c r="A947" s="1497">
        <v>4040</v>
      </c>
      <c r="B947" s="1513" t="s">
        <v>719</v>
      </c>
      <c r="C947" s="1457">
        <v>32835</v>
      </c>
      <c r="D947" s="1457">
        <f aca="true" t="shared" si="281" ref="D947:D957">J947+R947</f>
        <v>32835</v>
      </c>
      <c r="E947" s="1458">
        <v>33330</v>
      </c>
      <c r="F947" s="1459">
        <f aca="true" t="shared" si="282" ref="F947:F957">P947+W947</f>
        <v>33330</v>
      </c>
      <c r="G947" s="1499">
        <f t="shared" si="276"/>
        <v>101.50753768844221</v>
      </c>
      <c r="H947" s="1499">
        <f t="shared" si="275"/>
        <v>101.50753768844221</v>
      </c>
      <c r="I947" s="1450"/>
      <c r="J947" s="1461"/>
      <c r="K947" s="1457"/>
      <c r="L947" s="1457"/>
      <c r="M947" s="1457"/>
      <c r="N947" s="1457"/>
      <c r="O947" s="1457"/>
      <c r="P947" s="1462"/>
      <c r="Q947" s="1495"/>
      <c r="R947" s="1461">
        <v>32835</v>
      </c>
      <c r="S947" s="1457">
        <v>33330</v>
      </c>
      <c r="T947" s="1457"/>
      <c r="U947" s="1457"/>
      <c r="V947" s="1457"/>
      <c r="W947" s="1462">
        <f aca="true" t="shared" si="283" ref="W947:W957">SUM(S947:V947)</f>
        <v>33330</v>
      </c>
      <c r="X947" s="1496">
        <f t="shared" si="280"/>
        <v>101.50753768844221</v>
      </c>
      <c r="Y947" s="1444"/>
    </row>
    <row r="948" spans="1:25" ht="12.75">
      <c r="A948" s="1497">
        <v>4110</v>
      </c>
      <c r="B948" s="1513" t="s">
        <v>568</v>
      </c>
      <c r="C948" s="1457">
        <v>77500</v>
      </c>
      <c r="D948" s="1457">
        <f t="shared" si="281"/>
        <v>77500</v>
      </c>
      <c r="E948" s="1458">
        <v>78700</v>
      </c>
      <c r="F948" s="1459">
        <f t="shared" si="282"/>
        <v>78700</v>
      </c>
      <c r="G948" s="1499">
        <f t="shared" si="276"/>
        <v>101.54838709677418</v>
      </c>
      <c r="H948" s="1499">
        <f t="shared" si="275"/>
        <v>101.54838709677418</v>
      </c>
      <c r="I948" s="1450"/>
      <c r="J948" s="1461"/>
      <c r="K948" s="1457"/>
      <c r="L948" s="1457"/>
      <c r="M948" s="1457"/>
      <c r="N948" s="1457"/>
      <c r="O948" s="1457"/>
      <c r="P948" s="1462"/>
      <c r="Q948" s="1495"/>
      <c r="R948" s="1461">
        <v>77500</v>
      </c>
      <c r="S948" s="1457">
        <v>78700</v>
      </c>
      <c r="T948" s="1457"/>
      <c r="U948" s="1457"/>
      <c r="V948" s="1457"/>
      <c r="W948" s="1462">
        <f t="shared" si="283"/>
        <v>78700</v>
      </c>
      <c r="X948" s="1496">
        <f t="shared" si="280"/>
        <v>101.54838709677418</v>
      </c>
      <c r="Y948" s="1444"/>
    </row>
    <row r="949" spans="1:25" ht="12.75">
      <c r="A949" s="1497">
        <v>4120</v>
      </c>
      <c r="B949" s="1513" t="s">
        <v>758</v>
      </c>
      <c r="C949" s="1457">
        <v>10550</v>
      </c>
      <c r="D949" s="1457">
        <f t="shared" si="281"/>
        <v>10550</v>
      </c>
      <c r="E949" s="1458">
        <v>10700</v>
      </c>
      <c r="F949" s="1459">
        <f t="shared" si="282"/>
        <v>10700</v>
      </c>
      <c r="G949" s="1499">
        <f t="shared" si="276"/>
        <v>101.4218009478673</v>
      </c>
      <c r="H949" s="1499">
        <f t="shared" si="275"/>
        <v>101.4218009478673</v>
      </c>
      <c r="I949" s="1450"/>
      <c r="J949" s="1461"/>
      <c r="K949" s="1457"/>
      <c r="L949" s="1457"/>
      <c r="M949" s="1457"/>
      <c r="N949" s="1457"/>
      <c r="O949" s="1457"/>
      <c r="P949" s="1462"/>
      <c r="Q949" s="1495"/>
      <c r="R949" s="1461">
        <v>10550</v>
      </c>
      <c r="S949" s="1457">
        <v>10700</v>
      </c>
      <c r="T949" s="1457"/>
      <c r="U949" s="1457"/>
      <c r="V949" s="1457"/>
      <c r="W949" s="1462">
        <f t="shared" si="283"/>
        <v>10700</v>
      </c>
      <c r="X949" s="1496">
        <f t="shared" si="280"/>
        <v>101.4218009478673</v>
      </c>
      <c r="Y949" s="1444"/>
    </row>
    <row r="950" spans="1:25" ht="12.75">
      <c r="A950" s="1497">
        <v>4210</v>
      </c>
      <c r="B950" s="1513" t="s">
        <v>560</v>
      </c>
      <c r="C950" s="1457">
        <v>10530</v>
      </c>
      <c r="D950" s="1457">
        <f t="shared" si="281"/>
        <v>10530</v>
      </c>
      <c r="E950" s="1458">
        <v>10700</v>
      </c>
      <c r="F950" s="1459">
        <f t="shared" si="282"/>
        <v>10700</v>
      </c>
      <c r="G950" s="1499">
        <f t="shared" si="276"/>
        <v>101.61443494776827</v>
      </c>
      <c r="H950" s="1499">
        <f t="shared" si="275"/>
        <v>101.61443494776827</v>
      </c>
      <c r="I950" s="1450"/>
      <c r="J950" s="1461"/>
      <c r="K950" s="1457"/>
      <c r="L950" s="1457"/>
      <c r="M950" s="1457"/>
      <c r="N950" s="1457"/>
      <c r="O950" s="1457"/>
      <c r="P950" s="1462"/>
      <c r="Q950" s="1495"/>
      <c r="R950" s="1566">
        <v>10530</v>
      </c>
      <c r="S950" s="1457">
        <v>10700</v>
      </c>
      <c r="T950" s="1459"/>
      <c r="U950" s="1457"/>
      <c r="V950" s="1457"/>
      <c r="W950" s="1462">
        <f t="shared" si="283"/>
        <v>10700</v>
      </c>
      <c r="X950" s="1496">
        <f t="shared" si="280"/>
        <v>101.61443494776827</v>
      </c>
      <c r="Y950" s="1444"/>
    </row>
    <row r="951" spans="1:25" ht="12.75">
      <c r="A951" s="1497">
        <v>4260</v>
      </c>
      <c r="B951" s="1513" t="s">
        <v>575</v>
      </c>
      <c r="C951" s="1457">
        <v>20300</v>
      </c>
      <c r="D951" s="1457">
        <f t="shared" si="281"/>
        <v>20300</v>
      </c>
      <c r="E951" s="1458">
        <v>20600</v>
      </c>
      <c r="F951" s="1459">
        <f t="shared" si="282"/>
        <v>20600</v>
      </c>
      <c r="G951" s="1499">
        <f t="shared" si="276"/>
        <v>101.47783251231527</v>
      </c>
      <c r="H951" s="1499">
        <f t="shared" si="275"/>
        <v>101.47783251231527</v>
      </c>
      <c r="I951" s="1450"/>
      <c r="J951" s="1461"/>
      <c r="K951" s="1457"/>
      <c r="L951" s="1457"/>
      <c r="M951" s="1457"/>
      <c r="N951" s="1457"/>
      <c r="O951" s="1457"/>
      <c r="P951" s="1462"/>
      <c r="Q951" s="1495"/>
      <c r="R951" s="1566">
        <v>20300</v>
      </c>
      <c r="S951" s="1457">
        <v>20600</v>
      </c>
      <c r="T951" s="1459"/>
      <c r="U951" s="1457"/>
      <c r="V951" s="1457"/>
      <c r="W951" s="1462">
        <f t="shared" si="283"/>
        <v>20600</v>
      </c>
      <c r="X951" s="1496">
        <f t="shared" si="280"/>
        <v>101.47783251231527</v>
      </c>
      <c r="Y951" s="1444"/>
    </row>
    <row r="952" spans="1:25" ht="12.75">
      <c r="A952" s="1497">
        <v>4280</v>
      </c>
      <c r="B952" s="1513" t="s">
        <v>723</v>
      </c>
      <c r="C952" s="1457"/>
      <c r="D952" s="1457">
        <f t="shared" si="281"/>
        <v>0</v>
      </c>
      <c r="E952" s="1458">
        <v>1000</v>
      </c>
      <c r="F952" s="1459">
        <f t="shared" si="282"/>
        <v>1000</v>
      </c>
      <c r="G952" s="1499"/>
      <c r="H952" s="1499"/>
      <c r="I952" s="1450"/>
      <c r="J952" s="1461"/>
      <c r="K952" s="1457"/>
      <c r="L952" s="1457"/>
      <c r="M952" s="1457"/>
      <c r="N952" s="1457"/>
      <c r="O952" s="1457"/>
      <c r="P952" s="1462"/>
      <c r="Q952" s="1495"/>
      <c r="R952" s="1566"/>
      <c r="S952" s="1457">
        <v>1000</v>
      </c>
      <c r="T952" s="1459"/>
      <c r="U952" s="1457"/>
      <c r="V952" s="1457"/>
      <c r="W952" s="1462">
        <f t="shared" si="283"/>
        <v>1000</v>
      </c>
      <c r="X952" s="1496"/>
      <c r="Y952" s="1444"/>
    </row>
    <row r="953" spans="1:25" ht="12.75">
      <c r="A953" s="1497">
        <v>4300</v>
      </c>
      <c r="B953" s="1513" t="s">
        <v>577</v>
      </c>
      <c r="C953" s="1457">
        <v>13100</v>
      </c>
      <c r="D953" s="1457">
        <f t="shared" si="281"/>
        <v>13100</v>
      </c>
      <c r="E953" s="1458">
        <v>13300</v>
      </c>
      <c r="F953" s="1459">
        <f t="shared" si="282"/>
        <v>13300</v>
      </c>
      <c r="G953" s="1499">
        <f t="shared" si="276"/>
        <v>101.52671755725191</v>
      </c>
      <c r="H953" s="1499">
        <f t="shared" si="275"/>
        <v>101.52671755725191</v>
      </c>
      <c r="I953" s="1450"/>
      <c r="J953" s="1461"/>
      <c r="K953" s="1457"/>
      <c r="L953" s="1457"/>
      <c r="M953" s="1457"/>
      <c r="N953" s="1457"/>
      <c r="O953" s="1457"/>
      <c r="P953" s="1462"/>
      <c r="Q953" s="1495"/>
      <c r="R953" s="1566">
        <v>13100</v>
      </c>
      <c r="S953" s="1457">
        <v>13300</v>
      </c>
      <c r="T953" s="1459"/>
      <c r="U953" s="1457"/>
      <c r="V953" s="1457"/>
      <c r="W953" s="1462">
        <f t="shared" si="283"/>
        <v>13300</v>
      </c>
      <c r="X953" s="1496">
        <f t="shared" si="280"/>
        <v>101.52671755725191</v>
      </c>
      <c r="Y953" s="1444"/>
    </row>
    <row r="954" spans="1:25" ht="12.75">
      <c r="A954" s="1497">
        <v>4350</v>
      </c>
      <c r="B954" s="1513" t="s">
        <v>820</v>
      </c>
      <c r="C954" s="1457"/>
      <c r="D954" s="1457">
        <f t="shared" si="281"/>
        <v>0</v>
      </c>
      <c r="E954" s="1458">
        <v>1000</v>
      </c>
      <c r="F954" s="1459">
        <f t="shared" si="282"/>
        <v>1000</v>
      </c>
      <c r="G954" s="1499"/>
      <c r="H954" s="1499"/>
      <c r="I954" s="1450"/>
      <c r="J954" s="1461"/>
      <c r="K954" s="1457"/>
      <c r="L954" s="1457"/>
      <c r="M954" s="1457"/>
      <c r="N954" s="1457"/>
      <c r="O954" s="1457"/>
      <c r="P954" s="1462"/>
      <c r="Q954" s="1495"/>
      <c r="R954" s="1566"/>
      <c r="S954" s="1457">
        <v>1000</v>
      </c>
      <c r="T954" s="1459"/>
      <c r="U954" s="1457"/>
      <c r="V954" s="1457"/>
      <c r="W954" s="1462">
        <f t="shared" si="283"/>
        <v>1000</v>
      </c>
      <c r="X954" s="1496"/>
      <c r="Y954" s="1444"/>
    </row>
    <row r="955" spans="1:25" ht="12.75">
      <c r="A955" s="1497">
        <v>4410</v>
      </c>
      <c r="B955" s="1513" t="s">
        <v>618</v>
      </c>
      <c r="C955" s="1457">
        <v>1070</v>
      </c>
      <c r="D955" s="1457">
        <f t="shared" si="281"/>
        <v>1070</v>
      </c>
      <c r="E955" s="1458">
        <v>1100</v>
      </c>
      <c r="F955" s="1459">
        <f t="shared" si="282"/>
        <v>1100</v>
      </c>
      <c r="G955" s="1499">
        <f t="shared" si="276"/>
        <v>102.803738317757</v>
      </c>
      <c r="H955" s="1499">
        <f t="shared" si="275"/>
        <v>102.803738317757</v>
      </c>
      <c r="I955" s="1450"/>
      <c r="J955" s="1461"/>
      <c r="K955" s="1457"/>
      <c r="L955" s="1457"/>
      <c r="M955" s="1457"/>
      <c r="N955" s="1457"/>
      <c r="O955" s="1457"/>
      <c r="P955" s="1462"/>
      <c r="Q955" s="1495"/>
      <c r="R955" s="1566">
        <v>1070</v>
      </c>
      <c r="S955" s="1457">
        <v>1100</v>
      </c>
      <c r="T955" s="1459"/>
      <c r="U955" s="1457"/>
      <c r="V955" s="1457"/>
      <c r="W955" s="1462">
        <f t="shared" si="283"/>
        <v>1100</v>
      </c>
      <c r="X955" s="1496">
        <f t="shared" si="280"/>
        <v>102.803738317757</v>
      </c>
      <c r="Y955" s="1444"/>
    </row>
    <row r="956" spans="1:25" ht="12.75">
      <c r="A956" s="1497">
        <v>4440</v>
      </c>
      <c r="B956" s="1513" t="s">
        <v>641</v>
      </c>
      <c r="C956" s="1457">
        <v>7550</v>
      </c>
      <c r="D956" s="1457">
        <f t="shared" si="281"/>
        <v>7550</v>
      </c>
      <c r="E956" s="1458">
        <v>7700</v>
      </c>
      <c r="F956" s="1459">
        <f t="shared" si="282"/>
        <v>7700</v>
      </c>
      <c r="G956" s="1499">
        <f t="shared" si="276"/>
        <v>101.98675496688743</v>
      </c>
      <c r="H956" s="1499">
        <f t="shared" si="275"/>
        <v>101.98675496688743</v>
      </c>
      <c r="I956" s="1450"/>
      <c r="J956" s="1461"/>
      <c r="K956" s="1457"/>
      <c r="L956" s="1457"/>
      <c r="M956" s="1457"/>
      <c r="N956" s="1457"/>
      <c r="O956" s="1457"/>
      <c r="P956" s="1462"/>
      <c r="Q956" s="1495"/>
      <c r="R956" s="1566">
        <v>7550</v>
      </c>
      <c r="S956" s="1457">
        <v>7700</v>
      </c>
      <c r="T956" s="1459"/>
      <c r="U956" s="1457"/>
      <c r="V956" s="1457"/>
      <c r="W956" s="1462">
        <f t="shared" si="283"/>
        <v>7700</v>
      </c>
      <c r="X956" s="1496">
        <f t="shared" si="280"/>
        <v>101.98675496688743</v>
      </c>
      <c r="Y956" s="1444"/>
    </row>
    <row r="957" spans="1:25" ht="24">
      <c r="A957" s="1497">
        <v>6060</v>
      </c>
      <c r="B957" s="1513" t="s">
        <v>870</v>
      </c>
      <c r="C957" s="1457">
        <v>10000</v>
      </c>
      <c r="D957" s="1457">
        <f t="shared" si="281"/>
        <v>10000</v>
      </c>
      <c r="E957" s="1458">
        <v>10200</v>
      </c>
      <c r="F957" s="1459">
        <f t="shared" si="282"/>
        <v>10200</v>
      </c>
      <c r="G957" s="1499">
        <f t="shared" si="276"/>
        <v>102</v>
      </c>
      <c r="H957" s="1499">
        <f t="shared" si="275"/>
        <v>102</v>
      </c>
      <c r="I957" s="1450"/>
      <c r="J957" s="1461"/>
      <c r="K957" s="1457"/>
      <c r="L957" s="1457"/>
      <c r="M957" s="1457"/>
      <c r="N957" s="1457"/>
      <c r="O957" s="1457"/>
      <c r="P957" s="1462"/>
      <c r="Q957" s="1495"/>
      <c r="R957" s="1461">
        <v>10000</v>
      </c>
      <c r="S957" s="1457"/>
      <c r="T957" s="1457"/>
      <c r="U957" s="1457">
        <v>10200</v>
      </c>
      <c r="V957" s="1457"/>
      <c r="W957" s="1462">
        <f t="shared" si="283"/>
        <v>10200</v>
      </c>
      <c r="X957" s="1496">
        <f t="shared" si="280"/>
        <v>102</v>
      </c>
      <c r="Y957" s="1444"/>
    </row>
    <row r="958" spans="1:28" s="581" customFormat="1" ht="12.75">
      <c r="A958" s="1516">
        <v>85219</v>
      </c>
      <c r="B958" s="1550" t="s">
        <v>410</v>
      </c>
      <c r="C958" s="1467">
        <f>SUM(C959:C980)</f>
        <v>4873421</v>
      </c>
      <c r="D958" s="1467">
        <f>SUM(D959:D980)</f>
        <v>5105716</v>
      </c>
      <c r="E958" s="1468">
        <f>SUM(E959:E980)</f>
        <v>5421533</v>
      </c>
      <c r="F958" s="1469">
        <f>SUM(F959:F980)</f>
        <v>5421533</v>
      </c>
      <c r="G958" s="1531">
        <f t="shared" si="276"/>
        <v>111.2469659403528</v>
      </c>
      <c r="H958" s="1532">
        <f t="shared" si="275"/>
        <v>106.1855575202381</v>
      </c>
      <c r="I958" s="1450"/>
      <c r="J958" s="1470">
        <f>SUM(J959:J980)</f>
        <v>5105716</v>
      </c>
      <c r="K958" s="1467">
        <f>SUM(K959:K980)</f>
        <v>5296733</v>
      </c>
      <c r="L958" s="1467">
        <f>SUM(L959:L980)</f>
        <v>0</v>
      </c>
      <c r="M958" s="1467">
        <f>SUM(M959:M980)</f>
        <v>19800</v>
      </c>
      <c r="N958" s="1467">
        <f>SUM(N959:N980)</f>
        <v>105000</v>
      </c>
      <c r="O958" s="1467"/>
      <c r="P958" s="1471">
        <f>SUM(P959:P980)</f>
        <v>5421533</v>
      </c>
      <c r="Q958" s="1453">
        <f aca="true" t="shared" si="284" ref="Q958:Q980">P958/J958*100</f>
        <v>106.1855575202381</v>
      </c>
      <c r="R958" s="1470"/>
      <c r="S958" s="1467"/>
      <c r="T958" s="1467"/>
      <c r="U958" s="1467"/>
      <c r="V958" s="1467"/>
      <c r="W958" s="1471"/>
      <c r="X958" s="1454"/>
      <c r="Y958" s="1444"/>
      <c r="Z958" s="1444">
        <f>SUM(K960:K963)</f>
        <v>4644320</v>
      </c>
      <c r="AB958" s="1444">
        <f>Z958+AA958</f>
        <v>4644320</v>
      </c>
    </row>
    <row r="959" spans="1:25" ht="24">
      <c r="A959" s="1497">
        <v>3020</v>
      </c>
      <c r="B959" s="1513" t="s">
        <v>717</v>
      </c>
      <c r="C959" s="1457">
        <v>6000</v>
      </c>
      <c r="D959" s="1457">
        <f>J959+R959</f>
        <v>12155</v>
      </c>
      <c r="E959" s="1458">
        <v>8000</v>
      </c>
      <c r="F959" s="1459">
        <f>P959+W959</f>
        <v>8000</v>
      </c>
      <c r="G959" s="1499">
        <f t="shared" si="276"/>
        <v>133.33333333333331</v>
      </c>
      <c r="H959" s="1499">
        <f t="shared" si="275"/>
        <v>65.8165364047717</v>
      </c>
      <c r="I959" s="1450"/>
      <c r="J959" s="1461">
        <v>12155</v>
      </c>
      <c r="K959" s="1457">
        <v>8000</v>
      </c>
      <c r="L959" s="1457"/>
      <c r="M959" s="1457"/>
      <c r="N959" s="1457"/>
      <c r="O959" s="1457"/>
      <c r="P959" s="1462">
        <f>SUM(K959:N959)</f>
        <v>8000</v>
      </c>
      <c r="Q959" s="1495">
        <f t="shared" si="284"/>
        <v>65.8165364047717</v>
      </c>
      <c r="R959" s="1461"/>
      <c r="S959" s="1457"/>
      <c r="T959" s="1457"/>
      <c r="U959" s="1457"/>
      <c r="V959" s="1457"/>
      <c r="W959" s="1462"/>
      <c r="X959" s="1496"/>
      <c r="Y959" s="1444"/>
    </row>
    <row r="960" spans="1:25" ht="24">
      <c r="A960" s="1497">
        <v>4010</v>
      </c>
      <c r="B960" s="1513" t="s">
        <v>1031</v>
      </c>
      <c r="C960" s="1457">
        <v>3189839</v>
      </c>
      <c r="D960" s="1457">
        <f aca="true" t="shared" si="285" ref="D960:D980">J960+R960</f>
        <v>3317568</v>
      </c>
      <c r="E960" s="1458">
        <v>3583547</v>
      </c>
      <c r="F960" s="1459">
        <f aca="true" t="shared" si="286" ref="F960:F980">P960+W960</f>
        <v>3583547</v>
      </c>
      <c r="G960" s="1499">
        <f t="shared" si="276"/>
        <v>112.34256650570767</v>
      </c>
      <c r="H960" s="1499">
        <f t="shared" si="275"/>
        <v>108.01728856801127</v>
      </c>
      <c r="I960" s="1450"/>
      <c r="J960" s="1461">
        <v>3317568</v>
      </c>
      <c r="K960" s="1457">
        <v>3583547</v>
      </c>
      <c r="L960" s="1457"/>
      <c r="M960" s="1457"/>
      <c r="N960" s="1457"/>
      <c r="O960" s="1457"/>
      <c r="P960" s="1462">
        <f aca="true" t="shared" si="287" ref="P960:P980">SUM(K960:N960)</f>
        <v>3583547</v>
      </c>
      <c r="Q960" s="1495">
        <f t="shared" si="284"/>
        <v>108.01728856801127</v>
      </c>
      <c r="R960" s="1461"/>
      <c r="S960" s="1457"/>
      <c r="T960" s="1457"/>
      <c r="U960" s="1457"/>
      <c r="V960" s="1457"/>
      <c r="W960" s="1462"/>
      <c r="X960" s="1496"/>
      <c r="Y960" s="1444"/>
    </row>
    <row r="961" spans="1:25" ht="12.75">
      <c r="A961" s="1497">
        <v>4040</v>
      </c>
      <c r="B961" s="1513" t="s">
        <v>719</v>
      </c>
      <c r="C961" s="1457">
        <v>268779</v>
      </c>
      <c r="D961" s="1457">
        <f t="shared" si="285"/>
        <v>236816</v>
      </c>
      <c r="E961" s="1458">
        <v>281894</v>
      </c>
      <c r="F961" s="1459">
        <f t="shared" si="286"/>
        <v>281894</v>
      </c>
      <c r="G961" s="1499">
        <f t="shared" si="276"/>
        <v>104.87947347076967</v>
      </c>
      <c r="H961" s="1499">
        <f t="shared" si="275"/>
        <v>119.03503141679617</v>
      </c>
      <c r="I961" s="1450"/>
      <c r="J961" s="1461">
        <v>236816</v>
      </c>
      <c r="K961" s="1457">
        <v>281894</v>
      </c>
      <c r="L961" s="1457"/>
      <c r="M961" s="1457"/>
      <c r="N961" s="1457"/>
      <c r="O961" s="1457"/>
      <c r="P961" s="1462">
        <f t="shared" si="287"/>
        <v>281894</v>
      </c>
      <c r="Q961" s="1495">
        <f t="shared" si="284"/>
        <v>119.03503141679617</v>
      </c>
      <c r="R961" s="1461"/>
      <c r="S961" s="1457"/>
      <c r="T961" s="1457"/>
      <c r="U961" s="1457"/>
      <c r="V961" s="1457"/>
      <c r="W961" s="1462"/>
      <c r="X961" s="1496"/>
      <c r="Y961" s="1444"/>
    </row>
    <row r="962" spans="1:25" ht="12.75">
      <c r="A962" s="1497">
        <v>4110</v>
      </c>
      <c r="B962" s="1513" t="s">
        <v>568</v>
      </c>
      <c r="C962" s="1457">
        <v>616705</v>
      </c>
      <c r="D962" s="1457">
        <f t="shared" si="285"/>
        <v>610763</v>
      </c>
      <c r="E962" s="1458">
        <v>684164</v>
      </c>
      <c r="F962" s="1459">
        <f t="shared" si="286"/>
        <v>684164</v>
      </c>
      <c r="G962" s="1499">
        <f t="shared" si="276"/>
        <v>110.93861732919305</v>
      </c>
      <c r="H962" s="1499">
        <f t="shared" si="275"/>
        <v>112.01791857070582</v>
      </c>
      <c r="I962" s="1450"/>
      <c r="J962" s="1461">
        <v>610763</v>
      </c>
      <c r="K962" s="1457">
        <v>684164</v>
      </c>
      <c r="L962" s="1457"/>
      <c r="M962" s="1457"/>
      <c r="N962" s="1457"/>
      <c r="O962" s="1457"/>
      <c r="P962" s="1462">
        <f t="shared" si="287"/>
        <v>684164</v>
      </c>
      <c r="Q962" s="1495">
        <f t="shared" si="284"/>
        <v>112.01791857070582</v>
      </c>
      <c r="R962" s="1461"/>
      <c r="S962" s="1457"/>
      <c r="T962" s="1457"/>
      <c r="U962" s="1457"/>
      <c r="V962" s="1457"/>
      <c r="W962" s="1462"/>
      <c r="X962" s="1496"/>
      <c r="Y962" s="1444"/>
    </row>
    <row r="963" spans="1:25" ht="12.75">
      <c r="A963" s="1497">
        <v>4120</v>
      </c>
      <c r="B963" s="1513" t="s">
        <v>758</v>
      </c>
      <c r="C963" s="1457">
        <v>85378</v>
      </c>
      <c r="D963" s="1457">
        <f t="shared" si="285"/>
        <v>84540</v>
      </c>
      <c r="E963" s="1458">
        <v>94715</v>
      </c>
      <c r="F963" s="1459">
        <f t="shared" si="286"/>
        <v>94715</v>
      </c>
      <c r="G963" s="1499">
        <f t="shared" si="276"/>
        <v>110.93607252453795</v>
      </c>
      <c r="H963" s="1499">
        <f t="shared" si="275"/>
        <v>112.03572273480009</v>
      </c>
      <c r="I963" s="1450"/>
      <c r="J963" s="1461">
        <v>84540</v>
      </c>
      <c r="K963" s="1457">
        <v>94715</v>
      </c>
      <c r="L963" s="1457"/>
      <c r="M963" s="1457"/>
      <c r="N963" s="1457"/>
      <c r="O963" s="1457"/>
      <c r="P963" s="1462">
        <f t="shared" si="287"/>
        <v>94715</v>
      </c>
      <c r="Q963" s="1495">
        <f t="shared" si="284"/>
        <v>112.03572273480009</v>
      </c>
      <c r="R963" s="1461"/>
      <c r="S963" s="1457"/>
      <c r="T963" s="1457"/>
      <c r="U963" s="1457"/>
      <c r="V963" s="1457"/>
      <c r="W963" s="1462"/>
      <c r="X963" s="1496"/>
      <c r="Y963" s="1444"/>
    </row>
    <row r="964" spans="1:25" ht="12.75">
      <c r="A964" s="1497">
        <v>4170</v>
      </c>
      <c r="B964" s="1513" t="s">
        <v>572</v>
      </c>
      <c r="C964" s="1457"/>
      <c r="D964" s="1457">
        <f t="shared" si="285"/>
        <v>8000</v>
      </c>
      <c r="E964" s="1458">
        <v>8000</v>
      </c>
      <c r="F964" s="1459">
        <f t="shared" si="286"/>
        <v>8000</v>
      </c>
      <c r="G964" s="1499"/>
      <c r="H964" s="1499">
        <f t="shared" si="275"/>
        <v>100</v>
      </c>
      <c r="I964" s="1450"/>
      <c r="J964" s="1461">
        <v>8000</v>
      </c>
      <c r="K964" s="1457">
        <v>8000</v>
      </c>
      <c r="L964" s="1457"/>
      <c r="M964" s="1457"/>
      <c r="N964" s="1457"/>
      <c r="O964" s="1457"/>
      <c r="P964" s="1462">
        <f t="shared" si="287"/>
        <v>8000</v>
      </c>
      <c r="Q964" s="1495">
        <f t="shared" si="284"/>
        <v>100</v>
      </c>
      <c r="R964" s="1461"/>
      <c r="S964" s="1457"/>
      <c r="T964" s="1457"/>
      <c r="U964" s="1457"/>
      <c r="V964" s="1457"/>
      <c r="W964" s="1462"/>
      <c r="X964" s="1496"/>
      <c r="Y964" s="1444"/>
    </row>
    <row r="965" spans="1:25" ht="12.75">
      <c r="A965" s="1497">
        <v>4210</v>
      </c>
      <c r="B965" s="1513" t="s">
        <v>560</v>
      </c>
      <c r="C965" s="1457">
        <v>109470</v>
      </c>
      <c r="D965" s="1457">
        <f t="shared" si="285"/>
        <v>139070</v>
      </c>
      <c r="E965" s="1458">
        <v>111600</v>
      </c>
      <c r="F965" s="1459">
        <f t="shared" si="286"/>
        <v>111600</v>
      </c>
      <c r="G965" s="1499">
        <f t="shared" si="276"/>
        <v>101.94573855850919</v>
      </c>
      <c r="H965" s="1499">
        <f t="shared" si="275"/>
        <v>80.24735744589056</v>
      </c>
      <c r="I965" s="1450"/>
      <c r="J965" s="1461">
        <v>139070</v>
      </c>
      <c r="K965" s="1457">
        <v>111600</v>
      </c>
      <c r="L965" s="1457"/>
      <c r="M965" s="1457"/>
      <c r="N965" s="1457"/>
      <c r="O965" s="1457"/>
      <c r="P965" s="1462">
        <f t="shared" si="287"/>
        <v>111600</v>
      </c>
      <c r="Q965" s="1495">
        <f t="shared" si="284"/>
        <v>80.24735744589056</v>
      </c>
      <c r="R965" s="1461"/>
      <c r="S965" s="1457"/>
      <c r="T965" s="1457"/>
      <c r="U965" s="1457"/>
      <c r="V965" s="1457"/>
      <c r="W965" s="1462"/>
      <c r="X965" s="1496"/>
      <c r="Y965" s="1444"/>
    </row>
    <row r="966" spans="1:25" ht="12.75">
      <c r="A966" s="1497">
        <v>4260</v>
      </c>
      <c r="B966" s="1513" t="s">
        <v>575</v>
      </c>
      <c r="C966" s="1457">
        <v>51970</v>
      </c>
      <c r="D966" s="1457">
        <f t="shared" si="285"/>
        <v>55970</v>
      </c>
      <c r="E966" s="1458">
        <v>57425</v>
      </c>
      <c r="F966" s="1459">
        <f t="shared" si="286"/>
        <v>57425</v>
      </c>
      <c r="G966" s="1499">
        <f t="shared" si="276"/>
        <v>110.49644025399267</v>
      </c>
      <c r="H966" s="1499">
        <f t="shared" si="275"/>
        <v>102.59960693228516</v>
      </c>
      <c r="I966" s="1450"/>
      <c r="J966" s="1461">
        <v>55970</v>
      </c>
      <c r="K966" s="1457">
        <v>57425</v>
      </c>
      <c r="L966" s="1457"/>
      <c r="M966" s="1457"/>
      <c r="N966" s="1457"/>
      <c r="O966" s="1457"/>
      <c r="P966" s="1462">
        <f t="shared" si="287"/>
        <v>57425</v>
      </c>
      <c r="Q966" s="1495">
        <f t="shared" si="284"/>
        <v>102.59960693228516</v>
      </c>
      <c r="R966" s="1461"/>
      <c r="S966" s="1457"/>
      <c r="T966" s="1457"/>
      <c r="U966" s="1457"/>
      <c r="V966" s="1457"/>
      <c r="W966" s="1462"/>
      <c r="X966" s="1496"/>
      <c r="Y966" s="1444"/>
    </row>
    <row r="967" spans="1:25" ht="12.75">
      <c r="A967" s="1497">
        <v>4270</v>
      </c>
      <c r="B967" s="1513" t="s">
        <v>576</v>
      </c>
      <c r="C967" s="1457">
        <v>45000</v>
      </c>
      <c r="D967" s="1457">
        <f t="shared" si="285"/>
        <v>125000</v>
      </c>
      <c r="E967" s="1458">
        <v>105000</v>
      </c>
      <c r="F967" s="1459">
        <f t="shared" si="286"/>
        <v>105000</v>
      </c>
      <c r="G967" s="1499">
        <f t="shared" si="276"/>
        <v>233.33333333333334</v>
      </c>
      <c r="H967" s="1499">
        <f t="shared" si="275"/>
        <v>84</v>
      </c>
      <c r="I967" s="1450"/>
      <c r="J967" s="1461">
        <v>125000</v>
      </c>
      <c r="K967" s="1457"/>
      <c r="L967" s="1457"/>
      <c r="M967" s="1457"/>
      <c r="N967" s="1457">
        <v>105000</v>
      </c>
      <c r="O967" s="1457"/>
      <c r="P967" s="1462">
        <f t="shared" si="287"/>
        <v>105000</v>
      </c>
      <c r="Q967" s="1495">
        <f t="shared" si="284"/>
        <v>84</v>
      </c>
      <c r="R967" s="1461"/>
      <c r="S967" s="1457"/>
      <c r="T967" s="1457"/>
      <c r="U967" s="1457"/>
      <c r="V967" s="1457"/>
      <c r="W967" s="1462"/>
      <c r="X967" s="1496"/>
      <c r="Y967" s="1444"/>
    </row>
    <row r="968" spans="1:25" ht="12.75">
      <c r="A968" s="1497">
        <v>4280</v>
      </c>
      <c r="B968" s="1513" t="s">
        <v>723</v>
      </c>
      <c r="C968" s="1457"/>
      <c r="D968" s="1457">
        <f t="shared" si="285"/>
        <v>5000</v>
      </c>
      <c r="E968" s="1458">
        <v>4000</v>
      </c>
      <c r="F968" s="1459">
        <f t="shared" si="286"/>
        <v>4000</v>
      </c>
      <c r="G968" s="1499"/>
      <c r="H968" s="1499">
        <f t="shared" si="275"/>
        <v>80</v>
      </c>
      <c r="I968" s="1450"/>
      <c r="J968" s="1461">
        <v>5000</v>
      </c>
      <c r="K968" s="1457">
        <v>4000</v>
      </c>
      <c r="L968" s="1457"/>
      <c r="M968" s="1457"/>
      <c r="N968" s="1457"/>
      <c r="O968" s="1457"/>
      <c r="P968" s="1462">
        <f t="shared" si="287"/>
        <v>4000</v>
      </c>
      <c r="Q968" s="1495"/>
      <c r="R968" s="1461"/>
      <c r="S968" s="1457"/>
      <c r="T968" s="1457"/>
      <c r="U968" s="1457"/>
      <c r="V968" s="1457"/>
      <c r="W968" s="1462"/>
      <c r="X968" s="1496"/>
      <c r="Y968" s="1444"/>
    </row>
    <row r="969" spans="1:25" ht="12.75">
      <c r="A969" s="1497">
        <v>4300</v>
      </c>
      <c r="B969" s="1513" t="s">
        <v>577</v>
      </c>
      <c r="C969" s="1457">
        <v>288915</v>
      </c>
      <c r="D969" s="1457">
        <f t="shared" si="285"/>
        <v>279373</v>
      </c>
      <c r="E969" s="1458">
        <v>263040</v>
      </c>
      <c r="F969" s="1459">
        <f t="shared" si="286"/>
        <v>263040</v>
      </c>
      <c r="G969" s="1499">
        <f t="shared" si="276"/>
        <v>91.0440787082706</v>
      </c>
      <c r="H969" s="1499">
        <f t="shared" si="275"/>
        <v>94.15369416514838</v>
      </c>
      <c r="I969" s="1450"/>
      <c r="J969" s="1461">
        <v>279373</v>
      </c>
      <c r="K969" s="1457">
        <v>263040</v>
      </c>
      <c r="L969" s="1457"/>
      <c r="M969" s="1457"/>
      <c r="N969" s="1457"/>
      <c r="O969" s="1457"/>
      <c r="P969" s="1462">
        <f t="shared" si="287"/>
        <v>263040</v>
      </c>
      <c r="Q969" s="1495">
        <f t="shared" si="284"/>
        <v>94.15369416514838</v>
      </c>
      <c r="R969" s="1461"/>
      <c r="S969" s="1457"/>
      <c r="T969" s="1457"/>
      <c r="U969" s="1457"/>
      <c r="V969" s="1457"/>
      <c r="W969" s="1462"/>
      <c r="X969" s="1496"/>
      <c r="Y969" s="1444"/>
    </row>
    <row r="970" spans="1:25" ht="12.75">
      <c r="A970" s="1497">
        <v>4350</v>
      </c>
      <c r="B970" s="1513" t="s">
        <v>820</v>
      </c>
      <c r="C970" s="1457"/>
      <c r="D970" s="1457">
        <f t="shared" si="285"/>
        <v>4700</v>
      </c>
      <c r="E970" s="1458">
        <v>3000</v>
      </c>
      <c r="F970" s="1459">
        <f t="shared" si="286"/>
        <v>3000</v>
      </c>
      <c r="G970" s="1499"/>
      <c r="H970" s="1499">
        <f t="shared" si="275"/>
        <v>63.829787234042556</v>
      </c>
      <c r="I970" s="1450"/>
      <c r="J970" s="1461">
        <v>4700</v>
      </c>
      <c r="K970" s="1457">
        <v>3000</v>
      </c>
      <c r="L970" s="1457"/>
      <c r="M970" s="1457"/>
      <c r="N970" s="1457"/>
      <c r="O970" s="1457"/>
      <c r="P970" s="1462">
        <f t="shared" si="287"/>
        <v>3000</v>
      </c>
      <c r="Q970" s="1495"/>
      <c r="R970" s="1461"/>
      <c r="S970" s="1457"/>
      <c r="T970" s="1457"/>
      <c r="U970" s="1457"/>
      <c r="V970" s="1457"/>
      <c r="W970" s="1462"/>
      <c r="X970" s="1496"/>
      <c r="Y970" s="1444"/>
    </row>
    <row r="971" spans="1:25" ht="12.75">
      <c r="A971" s="1497">
        <v>4410</v>
      </c>
      <c r="B971" s="1513" t="s">
        <v>618</v>
      </c>
      <c r="C971" s="1457">
        <v>55130</v>
      </c>
      <c r="D971" s="1457">
        <f t="shared" si="285"/>
        <v>60130</v>
      </c>
      <c r="E971" s="1458">
        <v>61900</v>
      </c>
      <c r="F971" s="1459">
        <f t="shared" si="286"/>
        <v>61900</v>
      </c>
      <c r="G971" s="1499">
        <f t="shared" si="276"/>
        <v>112.28006530019954</v>
      </c>
      <c r="H971" s="1499">
        <f t="shared" si="275"/>
        <v>102.94362215200398</v>
      </c>
      <c r="I971" s="1450"/>
      <c r="J971" s="1461">
        <v>60130</v>
      </c>
      <c r="K971" s="1457">
        <v>61900</v>
      </c>
      <c r="L971" s="1457"/>
      <c r="M971" s="1457"/>
      <c r="N971" s="1457"/>
      <c r="O971" s="1457"/>
      <c r="P971" s="1462">
        <f t="shared" si="287"/>
        <v>61900</v>
      </c>
      <c r="Q971" s="1495">
        <f t="shared" si="284"/>
        <v>102.94362215200398</v>
      </c>
      <c r="R971" s="1461"/>
      <c r="S971" s="1457"/>
      <c r="T971" s="1457"/>
      <c r="U971" s="1457"/>
      <c r="V971" s="1457"/>
      <c r="W971" s="1462"/>
      <c r="X971" s="1496"/>
      <c r="Y971" s="1444"/>
    </row>
    <row r="972" spans="1:25" ht="12.75" hidden="1">
      <c r="A972" s="1497">
        <v>4420</v>
      </c>
      <c r="B972" s="1513" t="s">
        <v>736</v>
      </c>
      <c r="C972" s="1457"/>
      <c r="D972" s="1457">
        <f t="shared" si="285"/>
        <v>0</v>
      </c>
      <c r="E972" s="1458"/>
      <c r="F972" s="1459">
        <f t="shared" si="286"/>
        <v>0</v>
      </c>
      <c r="G972" s="1499" t="e">
        <f t="shared" si="276"/>
        <v>#DIV/0!</v>
      </c>
      <c r="H972" s="1499" t="e">
        <f t="shared" si="275"/>
        <v>#DIV/0!</v>
      </c>
      <c r="I972" s="1450"/>
      <c r="J972" s="1461"/>
      <c r="K972" s="1457"/>
      <c r="L972" s="1457"/>
      <c r="M972" s="1457"/>
      <c r="N972" s="1457"/>
      <c r="O972" s="1457"/>
      <c r="P972" s="1462">
        <f t="shared" si="287"/>
        <v>0</v>
      </c>
      <c r="Q972" s="1495" t="e">
        <f t="shared" si="284"/>
        <v>#DIV/0!</v>
      </c>
      <c r="R972" s="1461"/>
      <c r="S972" s="1457"/>
      <c r="T972" s="1457"/>
      <c r="U972" s="1457"/>
      <c r="V972" s="1457"/>
      <c r="W972" s="1462"/>
      <c r="X972" s="1496"/>
      <c r="Y972" s="1444"/>
    </row>
    <row r="973" spans="1:25" ht="12.75">
      <c r="A973" s="1497">
        <v>4430</v>
      </c>
      <c r="B973" s="1513" t="s">
        <v>582</v>
      </c>
      <c r="C973" s="1457">
        <v>9860</v>
      </c>
      <c r="D973" s="1457">
        <f t="shared" si="285"/>
        <v>14460</v>
      </c>
      <c r="E973" s="1458">
        <v>15700</v>
      </c>
      <c r="F973" s="1459">
        <f t="shared" si="286"/>
        <v>15700</v>
      </c>
      <c r="G973" s="1499">
        <f t="shared" si="276"/>
        <v>159.2292089249493</v>
      </c>
      <c r="H973" s="1499">
        <f t="shared" si="275"/>
        <v>108.57538035961272</v>
      </c>
      <c r="I973" s="1450"/>
      <c r="J973" s="1461">
        <v>14460</v>
      </c>
      <c r="K973" s="1457">
        <v>15700</v>
      </c>
      <c r="L973" s="1457"/>
      <c r="M973" s="1457"/>
      <c r="N973" s="1457"/>
      <c r="O973" s="1457"/>
      <c r="P973" s="1462">
        <f t="shared" si="287"/>
        <v>15700</v>
      </c>
      <c r="Q973" s="1495">
        <f t="shared" si="284"/>
        <v>108.57538035961272</v>
      </c>
      <c r="R973" s="1461"/>
      <c r="S973" s="1457"/>
      <c r="T973" s="1457"/>
      <c r="U973" s="1457"/>
      <c r="V973" s="1457"/>
      <c r="W973" s="1462"/>
      <c r="X973" s="1496"/>
      <c r="Y973" s="1444"/>
    </row>
    <row r="974" spans="1:25" ht="12.75">
      <c r="A974" s="1497">
        <v>4440</v>
      </c>
      <c r="B974" s="1513" t="s">
        <v>641</v>
      </c>
      <c r="C974" s="1457">
        <v>120325</v>
      </c>
      <c r="D974" s="1457">
        <f t="shared" si="285"/>
        <v>125221</v>
      </c>
      <c r="E974" s="1458">
        <v>113238</v>
      </c>
      <c r="F974" s="1459">
        <f t="shared" si="286"/>
        <v>113238</v>
      </c>
      <c r="G974" s="1499">
        <f t="shared" si="276"/>
        <v>94.11011842925411</v>
      </c>
      <c r="H974" s="1499">
        <f t="shared" si="275"/>
        <v>90.43051884268614</v>
      </c>
      <c r="I974" s="1450"/>
      <c r="J974" s="1461">
        <v>125221</v>
      </c>
      <c r="K974" s="1457">
        <v>113238</v>
      </c>
      <c r="L974" s="1457"/>
      <c r="M974" s="1457"/>
      <c r="N974" s="1457"/>
      <c r="O974" s="1457"/>
      <c r="P974" s="1462">
        <f t="shared" si="287"/>
        <v>113238</v>
      </c>
      <c r="Q974" s="1495">
        <f t="shared" si="284"/>
        <v>90.43051884268614</v>
      </c>
      <c r="R974" s="1461"/>
      <c r="S974" s="1457"/>
      <c r="T974" s="1457"/>
      <c r="U974" s="1457"/>
      <c r="V974" s="1457"/>
      <c r="W974" s="1462"/>
      <c r="X974" s="1496"/>
      <c r="Y974" s="1444"/>
    </row>
    <row r="975" spans="1:25" ht="12.75">
      <c r="A975" s="1497">
        <v>4480</v>
      </c>
      <c r="B975" s="1513" t="s">
        <v>1327</v>
      </c>
      <c r="C975" s="1457">
        <v>5500</v>
      </c>
      <c r="D975" s="1457">
        <f t="shared" si="285"/>
        <v>5770</v>
      </c>
      <c r="E975" s="1458">
        <v>5860</v>
      </c>
      <c r="F975" s="1459">
        <f t="shared" si="286"/>
        <v>5860</v>
      </c>
      <c r="G975" s="1499">
        <f t="shared" si="276"/>
        <v>106.54545454545455</v>
      </c>
      <c r="H975" s="1499">
        <f t="shared" si="275"/>
        <v>101.55979202772964</v>
      </c>
      <c r="I975" s="1450"/>
      <c r="J975" s="1461">
        <v>5770</v>
      </c>
      <c r="K975" s="1457">
        <v>5860</v>
      </c>
      <c r="L975" s="1457"/>
      <c r="M975" s="1457"/>
      <c r="N975" s="1457"/>
      <c r="O975" s="1457"/>
      <c r="P975" s="1462">
        <f t="shared" si="287"/>
        <v>5860</v>
      </c>
      <c r="Q975" s="1495">
        <f t="shared" si="284"/>
        <v>101.55979202772964</v>
      </c>
      <c r="R975" s="1461"/>
      <c r="S975" s="1457"/>
      <c r="T975" s="1457"/>
      <c r="U975" s="1457"/>
      <c r="V975" s="1457"/>
      <c r="W975" s="1462"/>
      <c r="X975" s="1496"/>
      <c r="Y975" s="1444"/>
    </row>
    <row r="976" spans="1:25" ht="12.75" hidden="1">
      <c r="A976" s="1497">
        <v>4580</v>
      </c>
      <c r="B976" s="1513" t="s">
        <v>727</v>
      </c>
      <c r="C976" s="1457"/>
      <c r="D976" s="1457">
        <f t="shared" si="285"/>
        <v>0</v>
      </c>
      <c r="E976" s="1458"/>
      <c r="F976" s="1459">
        <f t="shared" si="286"/>
        <v>0</v>
      </c>
      <c r="G976" s="1499" t="e">
        <f t="shared" si="276"/>
        <v>#DIV/0!</v>
      </c>
      <c r="H976" s="1499" t="e">
        <f t="shared" si="275"/>
        <v>#DIV/0!</v>
      </c>
      <c r="I976" s="1450"/>
      <c r="J976" s="1461"/>
      <c r="K976" s="1457"/>
      <c r="L976" s="1457"/>
      <c r="M976" s="1457"/>
      <c r="N976" s="1457"/>
      <c r="O976" s="1457"/>
      <c r="P976" s="1462">
        <f t="shared" si="287"/>
        <v>0</v>
      </c>
      <c r="Q976" s="1495" t="e">
        <f t="shared" si="284"/>
        <v>#DIV/0!</v>
      </c>
      <c r="R976" s="1461"/>
      <c r="S976" s="1457"/>
      <c r="T976" s="1457"/>
      <c r="U976" s="1457"/>
      <c r="V976" s="1457"/>
      <c r="W976" s="1462"/>
      <c r="X976" s="1496"/>
      <c r="Y976" s="1444"/>
    </row>
    <row r="977" spans="1:25" ht="12.75">
      <c r="A977" s="1497">
        <v>4530</v>
      </c>
      <c r="B977" s="1513" t="s">
        <v>1032</v>
      </c>
      <c r="C977" s="1457">
        <v>200</v>
      </c>
      <c r="D977" s="1457">
        <f t="shared" si="285"/>
        <v>200</v>
      </c>
      <c r="E977" s="1458">
        <v>300</v>
      </c>
      <c r="F977" s="1459">
        <f t="shared" si="286"/>
        <v>300</v>
      </c>
      <c r="G977" s="1499">
        <f t="shared" si="276"/>
        <v>150</v>
      </c>
      <c r="H977" s="1499">
        <f t="shared" si="275"/>
        <v>150</v>
      </c>
      <c r="I977" s="1450"/>
      <c r="J977" s="1461">
        <v>200</v>
      </c>
      <c r="K977" s="1457">
        <v>300</v>
      </c>
      <c r="L977" s="1457"/>
      <c r="M977" s="1457"/>
      <c r="N977" s="1457"/>
      <c r="O977" s="1457"/>
      <c r="P977" s="1462">
        <f t="shared" si="287"/>
        <v>300</v>
      </c>
      <c r="Q977" s="1495">
        <f t="shared" si="284"/>
        <v>150</v>
      </c>
      <c r="R977" s="1461"/>
      <c r="S977" s="1457"/>
      <c r="T977" s="1457"/>
      <c r="U977" s="1457"/>
      <c r="V977" s="1457"/>
      <c r="W977" s="1462"/>
      <c r="X977" s="1496"/>
      <c r="Y977" s="1444"/>
    </row>
    <row r="978" spans="1:25" ht="12.75">
      <c r="A978" s="1497">
        <v>4580</v>
      </c>
      <c r="B978" s="1513" t="s">
        <v>727</v>
      </c>
      <c r="C978" s="1457"/>
      <c r="D978" s="1457">
        <f t="shared" si="285"/>
        <v>630</v>
      </c>
      <c r="E978" s="1458">
        <v>0</v>
      </c>
      <c r="F978" s="1459">
        <f t="shared" si="286"/>
        <v>0</v>
      </c>
      <c r="G978" s="1499"/>
      <c r="H978" s="1499">
        <f t="shared" si="275"/>
        <v>0</v>
      </c>
      <c r="I978" s="1450"/>
      <c r="J978" s="1461">
        <v>630</v>
      </c>
      <c r="K978" s="1457"/>
      <c r="L978" s="1457"/>
      <c r="M978" s="1457"/>
      <c r="N978" s="1457"/>
      <c r="O978" s="1457"/>
      <c r="P978" s="1462">
        <f t="shared" si="287"/>
        <v>0</v>
      </c>
      <c r="Q978" s="1495">
        <f t="shared" si="284"/>
        <v>0</v>
      </c>
      <c r="R978" s="1461"/>
      <c r="S978" s="1457"/>
      <c r="T978" s="1457"/>
      <c r="U978" s="1457"/>
      <c r="V978" s="1457"/>
      <c r="W978" s="1462"/>
      <c r="X978" s="1496"/>
      <c r="Y978" s="1444"/>
    </row>
    <row r="979" spans="1:25" ht="24">
      <c r="A979" s="1497">
        <v>4610</v>
      </c>
      <c r="B979" s="1513" t="s">
        <v>1033</v>
      </c>
      <c r="C979" s="1457">
        <v>350</v>
      </c>
      <c r="D979" s="1457">
        <f t="shared" si="285"/>
        <v>350</v>
      </c>
      <c r="E979" s="1458">
        <v>350</v>
      </c>
      <c r="F979" s="1459">
        <f t="shared" si="286"/>
        <v>350</v>
      </c>
      <c r="G979" s="1499">
        <f t="shared" si="276"/>
        <v>100</v>
      </c>
      <c r="H979" s="1499">
        <f t="shared" si="275"/>
        <v>100</v>
      </c>
      <c r="I979" s="1450"/>
      <c r="J979" s="1461">
        <v>350</v>
      </c>
      <c r="K979" s="1457">
        <v>350</v>
      </c>
      <c r="L979" s="1457"/>
      <c r="M979" s="1457"/>
      <c r="N979" s="1457"/>
      <c r="O979" s="1457"/>
      <c r="P979" s="1462">
        <f t="shared" si="287"/>
        <v>350</v>
      </c>
      <c r="Q979" s="1495">
        <f t="shared" si="284"/>
        <v>100</v>
      </c>
      <c r="R979" s="1461"/>
      <c r="S979" s="1457"/>
      <c r="T979" s="1457"/>
      <c r="U979" s="1457"/>
      <c r="V979" s="1457"/>
      <c r="W979" s="1462"/>
      <c r="X979" s="1496"/>
      <c r="Y979" s="1444"/>
    </row>
    <row r="980" spans="1:25" ht="36">
      <c r="A980" s="1497">
        <v>6060</v>
      </c>
      <c r="B980" s="1513" t="s">
        <v>920</v>
      </c>
      <c r="C980" s="1457">
        <v>20000</v>
      </c>
      <c r="D980" s="1457">
        <f t="shared" si="285"/>
        <v>20000</v>
      </c>
      <c r="E980" s="1458">
        <v>19800</v>
      </c>
      <c r="F980" s="1459">
        <f t="shared" si="286"/>
        <v>19800</v>
      </c>
      <c r="G980" s="1499">
        <f t="shared" si="276"/>
        <v>99</v>
      </c>
      <c r="H980" s="1499">
        <f t="shared" si="275"/>
        <v>99</v>
      </c>
      <c r="I980" s="1450"/>
      <c r="J980" s="1461">
        <v>20000</v>
      </c>
      <c r="K980" s="1457"/>
      <c r="L980" s="1457"/>
      <c r="M980" s="1457">
        <v>19800</v>
      </c>
      <c r="N980" s="1457"/>
      <c r="O980" s="1457"/>
      <c r="P980" s="1462">
        <f t="shared" si="287"/>
        <v>19800</v>
      </c>
      <c r="Q980" s="1495">
        <f t="shared" si="284"/>
        <v>99</v>
      </c>
      <c r="R980" s="1461"/>
      <c r="S980" s="1457"/>
      <c r="T980" s="1457"/>
      <c r="U980" s="1457"/>
      <c r="V980" s="1457"/>
      <c r="W980" s="1462"/>
      <c r="X980" s="1496"/>
      <c r="Y980" s="1444"/>
    </row>
    <row r="981" spans="1:25" s="581" customFormat="1" ht="36">
      <c r="A981" s="1516">
        <v>85220</v>
      </c>
      <c r="B981" s="1550" t="s">
        <v>1034</v>
      </c>
      <c r="C981" s="1467">
        <f>SUM(C982:C986)</f>
        <v>7920</v>
      </c>
      <c r="D981" s="1467">
        <f>SUM(D982:D986)</f>
        <v>18220</v>
      </c>
      <c r="E981" s="1468">
        <f>SUM(E982:E986)</f>
        <v>222015</v>
      </c>
      <c r="F981" s="1469">
        <f>SUM(F982:F986)</f>
        <v>132015</v>
      </c>
      <c r="G981" s="1531">
        <f t="shared" si="276"/>
        <v>1666.8560606060605</v>
      </c>
      <c r="H981" s="1532">
        <f t="shared" si="275"/>
        <v>724.5609220636662</v>
      </c>
      <c r="I981" s="1450"/>
      <c r="J981" s="1470"/>
      <c r="K981" s="1467"/>
      <c r="L981" s="1467"/>
      <c r="M981" s="1467"/>
      <c r="N981" s="1467"/>
      <c r="O981" s="1467"/>
      <c r="P981" s="1471"/>
      <c r="Q981" s="1453"/>
      <c r="R981" s="1470">
        <f aca="true" t="shared" si="288" ref="R981:W981">SUM(R982:R986)</f>
        <v>18220</v>
      </c>
      <c r="S981" s="1467">
        <f t="shared" si="288"/>
        <v>132015</v>
      </c>
      <c r="T981" s="1467">
        <f t="shared" si="288"/>
        <v>0</v>
      </c>
      <c r="U981" s="1467">
        <f t="shared" si="288"/>
        <v>0</v>
      </c>
      <c r="V981" s="1467">
        <f t="shared" si="288"/>
        <v>0</v>
      </c>
      <c r="W981" s="1471">
        <f t="shared" si="288"/>
        <v>132015</v>
      </c>
      <c r="X981" s="1454">
        <f>W981/R981*100</f>
        <v>724.5609220636662</v>
      </c>
      <c r="Y981" s="1444"/>
    </row>
    <row r="982" spans="1:25" ht="12.75">
      <c r="A982" s="1497">
        <v>4210</v>
      </c>
      <c r="B982" s="1513" t="s">
        <v>560</v>
      </c>
      <c r="C982" s="1457">
        <v>2300</v>
      </c>
      <c r="D982" s="1457">
        <f>J982+R982</f>
        <v>6900</v>
      </c>
      <c r="E982" s="1458">
        <v>2655</v>
      </c>
      <c r="F982" s="1459">
        <f>P982+W982</f>
        <v>2655</v>
      </c>
      <c r="G982" s="1499">
        <f t="shared" si="276"/>
        <v>115.43478260869566</v>
      </c>
      <c r="H982" s="1499">
        <f t="shared" si="275"/>
        <v>38.47826086956522</v>
      </c>
      <c r="I982" s="1450"/>
      <c r="J982" s="1461"/>
      <c r="K982" s="1457"/>
      <c r="L982" s="1457"/>
      <c r="M982" s="1457"/>
      <c r="N982" s="1457"/>
      <c r="O982" s="1457"/>
      <c r="P982" s="1462"/>
      <c r="Q982" s="1495"/>
      <c r="R982" s="1461">
        <v>6900</v>
      </c>
      <c r="S982" s="1457">
        <v>2655</v>
      </c>
      <c r="T982" s="1457"/>
      <c r="U982" s="1457"/>
      <c r="V982" s="1457"/>
      <c r="W982" s="1462">
        <f>SUM(S982:V982)</f>
        <v>2655</v>
      </c>
      <c r="X982" s="1496">
        <f>W982/R982*100</f>
        <v>38.47826086956522</v>
      </c>
      <c r="Y982" s="1444"/>
    </row>
    <row r="983" spans="1:25" ht="48">
      <c r="A983" s="1497">
        <v>2820</v>
      </c>
      <c r="B983" s="1513" t="s">
        <v>867</v>
      </c>
      <c r="C983" s="1457"/>
      <c r="D983" s="1457">
        <f>J983+R983</f>
        <v>0</v>
      </c>
      <c r="E983" s="1458">
        <v>210000</v>
      </c>
      <c r="F983" s="1459">
        <f>P983+W983</f>
        <v>120000</v>
      </c>
      <c r="G983" s="1499"/>
      <c r="H983" s="1499"/>
      <c r="I983" s="1450"/>
      <c r="J983" s="1461"/>
      <c r="K983" s="1457"/>
      <c r="L983" s="1457"/>
      <c r="M983" s="1457"/>
      <c r="N983" s="1457"/>
      <c r="O983" s="1457"/>
      <c r="P983" s="1462"/>
      <c r="Q983" s="1495"/>
      <c r="R983" s="1461"/>
      <c r="S983" s="1457">
        <v>120000</v>
      </c>
      <c r="T983" s="1457"/>
      <c r="U983" s="1457"/>
      <c r="V983" s="1457"/>
      <c r="W983" s="1462">
        <f>SUM(S983:V983)</f>
        <v>120000</v>
      </c>
      <c r="X983" s="1496"/>
      <c r="Y983" s="1444"/>
    </row>
    <row r="984" spans="1:25" ht="12.75">
      <c r="A984" s="1497">
        <v>4170</v>
      </c>
      <c r="B984" s="1513" t="s">
        <v>572</v>
      </c>
      <c r="C984" s="1457"/>
      <c r="D984" s="1457">
        <f>J984+R984</f>
        <v>3600</v>
      </c>
      <c r="E984" s="1458">
        <v>3650</v>
      </c>
      <c r="F984" s="1459">
        <f>P984+W984</f>
        <v>3650</v>
      </c>
      <c r="G984" s="1499"/>
      <c r="H984" s="1499">
        <f t="shared" si="275"/>
        <v>101.38888888888889</v>
      </c>
      <c r="I984" s="1450"/>
      <c r="J984" s="1461"/>
      <c r="K984" s="1457"/>
      <c r="L984" s="1457"/>
      <c r="M984" s="1457"/>
      <c r="N984" s="1457"/>
      <c r="O984" s="1457"/>
      <c r="P984" s="1462"/>
      <c r="Q984" s="1495"/>
      <c r="R984" s="1461">
        <v>3600</v>
      </c>
      <c r="S984" s="1457">
        <v>3650</v>
      </c>
      <c r="T984" s="1457"/>
      <c r="U984" s="1457"/>
      <c r="V984" s="1457"/>
      <c r="W984" s="1462">
        <f>SUM(S984:V984)</f>
        <v>3650</v>
      </c>
      <c r="X984" s="1496"/>
      <c r="Y984" s="1444"/>
    </row>
    <row r="985" spans="1:25" ht="12.75">
      <c r="A985" s="1497">
        <v>4260</v>
      </c>
      <c r="B985" s="1513" t="s">
        <v>575</v>
      </c>
      <c r="C985" s="1457">
        <v>5270</v>
      </c>
      <c r="D985" s="1457">
        <f>J985+R985</f>
        <v>5270</v>
      </c>
      <c r="E985" s="1458">
        <v>5350</v>
      </c>
      <c r="F985" s="1459">
        <f>P985+W985</f>
        <v>5350</v>
      </c>
      <c r="G985" s="1499">
        <f t="shared" si="276"/>
        <v>101.5180265654649</v>
      </c>
      <c r="H985" s="1499">
        <f t="shared" si="275"/>
        <v>101.5180265654649</v>
      </c>
      <c r="I985" s="1450"/>
      <c r="J985" s="1461"/>
      <c r="K985" s="1457"/>
      <c r="L985" s="1457"/>
      <c r="M985" s="1457"/>
      <c r="N985" s="1457"/>
      <c r="O985" s="1457"/>
      <c r="P985" s="1462"/>
      <c r="Q985" s="1495"/>
      <c r="R985" s="1461">
        <v>5270</v>
      </c>
      <c r="S985" s="1457">
        <v>5350</v>
      </c>
      <c r="T985" s="1457"/>
      <c r="U985" s="1457"/>
      <c r="V985" s="1457"/>
      <c r="W985" s="1462">
        <f>SUM(S985:V985)</f>
        <v>5350</v>
      </c>
      <c r="X985" s="1496">
        <f>W985/R985*100</f>
        <v>101.5180265654649</v>
      </c>
      <c r="Y985" s="1444"/>
    </row>
    <row r="986" spans="1:25" ht="12.75">
      <c r="A986" s="1497">
        <v>4300</v>
      </c>
      <c r="B986" s="1513" t="s">
        <v>577</v>
      </c>
      <c r="C986" s="1457">
        <v>350</v>
      </c>
      <c r="D986" s="1457">
        <f>J986+R986</f>
        <v>2450</v>
      </c>
      <c r="E986" s="1458">
        <v>360</v>
      </c>
      <c r="F986" s="1459">
        <f>P986+W986</f>
        <v>360</v>
      </c>
      <c r="G986" s="1499">
        <f t="shared" si="276"/>
        <v>102.85714285714285</v>
      </c>
      <c r="H986" s="1499">
        <f t="shared" si="275"/>
        <v>14.69387755102041</v>
      </c>
      <c r="I986" s="1450"/>
      <c r="J986" s="1461"/>
      <c r="K986" s="1457"/>
      <c r="L986" s="1457"/>
      <c r="M986" s="1457"/>
      <c r="N986" s="1457"/>
      <c r="O986" s="1457"/>
      <c r="P986" s="1462"/>
      <c r="Q986" s="1495"/>
      <c r="R986" s="1461">
        <v>2450</v>
      </c>
      <c r="S986" s="1457">
        <v>360</v>
      </c>
      <c r="T986" s="1457"/>
      <c r="U986" s="1457"/>
      <c r="V986" s="1457"/>
      <c r="W986" s="1462">
        <f>SUM(S986:V986)</f>
        <v>360</v>
      </c>
      <c r="X986" s="1496">
        <f>W986/R986*100</f>
        <v>14.69387755102041</v>
      </c>
      <c r="Y986" s="1444"/>
    </row>
    <row r="987" spans="1:25" s="1708" customFormat="1" ht="12" hidden="1">
      <c r="A987" s="1703"/>
      <c r="B987" s="1630"/>
      <c r="C987" s="1630"/>
      <c r="D987" s="1630"/>
      <c r="E987" s="1704"/>
      <c r="F987" s="1705"/>
      <c r="G987" s="1519" t="e">
        <f t="shared" si="276"/>
        <v>#DIV/0!</v>
      </c>
      <c r="H987" s="1520" t="e">
        <f t="shared" si="275"/>
        <v>#DIV/0!</v>
      </c>
      <c r="I987" s="1706"/>
      <c r="J987" s="1703"/>
      <c r="K987" s="1630"/>
      <c r="L987" s="1630"/>
      <c r="M987" s="1630"/>
      <c r="N987" s="1630"/>
      <c r="O987" s="1630"/>
      <c r="P987" s="1704"/>
      <c r="Q987" s="1707"/>
      <c r="R987" s="1703"/>
      <c r="S987" s="1630"/>
      <c r="T987" s="1630"/>
      <c r="U987" s="1630"/>
      <c r="V987" s="1630"/>
      <c r="W987" s="1704"/>
      <c r="Y987" s="1709"/>
    </row>
    <row r="988" spans="1:25" s="1713" customFormat="1" ht="12" hidden="1">
      <c r="A988" s="1710"/>
      <c r="B988" s="1711"/>
      <c r="C988" s="1457"/>
      <c r="D988" s="1457"/>
      <c r="E988" s="1462"/>
      <c r="F988" s="1514"/>
      <c r="G988" s="1519" t="e">
        <f t="shared" si="276"/>
        <v>#DIV/0!</v>
      </c>
      <c r="H988" s="1520" t="e">
        <f t="shared" si="275"/>
        <v>#DIV/0!</v>
      </c>
      <c r="I988" s="1460"/>
      <c r="J988" s="1461"/>
      <c r="K988" s="1457"/>
      <c r="L988" s="1457"/>
      <c r="M988" s="1457"/>
      <c r="N988" s="1457"/>
      <c r="O988" s="1457"/>
      <c r="P988" s="1462"/>
      <c r="Q988" s="1463"/>
      <c r="R988" s="1461"/>
      <c r="S988" s="1457"/>
      <c r="T988" s="1457"/>
      <c r="U988" s="1457"/>
      <c r="V988" s="1457"/>
      <c r="W988" s="1462"/>
      <c r="X988" s="1712"/>
      <c r="Y988" s="1709"/>
    </row>
    <row r="989" spans="1:25" s="1713" customFormat="1" ht="12" hidden="1">
      <c r="A989" s="1710"/>
      <c r="B989" s="1711"/>
      <c r="C989" s="1457"/>
      <c r="D989" s="1457"/>
      <c r="E989" s="1462"/>
      <c r="F989" s="1514"/>
      <c r="G989" s="1519" t="e">
        <f t="shared" si="276"/>
        <v>#DIV/0!</v>
      </c>
      <c r="H989" s="1520" t="e">
        <f t="shared" si="275"/>
        <v>#DIV/0!</v>
      </c>
      <c r="I989" s="1460"/>
      <c r="J989" s="1461"/>
      <c r="K989" s="1457"/>
      <c r="L989" s="1457"/>
      <c r="M989" s="1457"/>
      <c r="N989" s="1457"/>
      <c r="O989" s="1457"/>
      <c r="P989" s="1462"/>
      <c r="Q989" s="1463"/>
      <c r="R989" s="1461"/>
      <c r="S989" s="1457"/>
      <c r="T989" s="1457"/>
      <c r="U989" s="1457"/>
      <c r="V989" s="1457"/>
      <c r="W989" s="1462"/>
      <c r="X989" s="1712"/>
      <c r="Y989" s="1709"/>
    </row>
    <row r="990" spans="1:25" s="1713" customFormat="1" ht="12" hidden="1">
      <c r="A990" s="1710"/>
      <c r="B990" s="1711"/>
      <c r="C990" s="1457"/>
      <c r="D990" s="1457"/>
      <c r="E990" s="1462"/>
      <c r="F990" s="1514"/>
      <c r="G990" s="1519" t="e">
        <f t="shared" si="276"/>
        <v>#DIV/0!</v>
      </c>
      <c r="H990" s="1520" t="e">
        <f t="shared" si="275"/>
        <v>#DIV/0!</v>
      </c>
      <c r="I990" s="1460"/>
      <c r="J990" s="1461"/>
      <c r="K990" s="1457"/>
      <c r="L990" s="1457"/>
      <c r="M990" s="1457"/>
      <c r="N990" s="1457"/>
      <c r="O990" s="1457"/>
      <c r="P990" s="1462"/>
      <c r="Q990" s="1463"/>
      <c r="R990" s="1461"/>
      <c r="S990" s="1457"/>
      <c r="T990" s="1457"/>
      <c r="U990" s="1457"/>
      <c r="V990" s="1457"/>
      <c r="W990" s="1462"/>
      <c r="X990" s="1712"/>
      <c r="Y990" s="1709"/>
    </row>
    <row r="991" spans="1:25" s="1713" customFormat="1" ht="12" hidden="1">
      <c r="A991" s="1710"/>
      <c r="B991" s="1711"/>
      <c r="C991" s="1457"/>
      <c r="D991" s="1457"/>
      <c r="E991" s="1462"/>
      <c r="F991" s="1514"/>
      <c r="G991" s="1519" t="e">
        <f t="shared" si="276"/>
        <v>#DIV/0!</v>
      </c>
      <c r="H991" s="1520" t="e">
        <f t="shared" si="275"/>
        <v>#DIV/0!</v>
      </c>
      <c r="I991" s="1460"/>
      <c r="J991" s="1461"/>
      <c r="K991" s="1457"/>
      <c r="L991" s="1457"/>
      <c r="M991" s="1457"/>
      <c r="N991" s="1457"/>
      <c r="O991" s="1457"/>
      <c r="P991" s="1462"/>
      <c r="Q991" s="1463"/>
      <c r="R991" s="1461"/>
      <c r="S991" s="1457"/>
      <c r="T991" s="1457"/>
      <c r="U991" s="1457"/>
      <c r="V991" s="1457"/>
      <c r="W991" s="1462"/>
      <c r="X991" s="1712"/>
      <c r="Y991" s="1709"/>
    </row>
    <row r="992" spans="1:25" s="1713" customFormat="1" ht="12" hidden="1">
      <c r="A992" s="1710"/>
      <c r="B992" s="1711"/>
      <c r="C992" s="1457"/>
      <c r="D992" s="1457"/>
      <c r="E992" s="1462"/>
      <c r="F992" s="1514"/>
      <c r="G992" s="1519" t="e">
        <f t="shared" si="276"/>
        <v>#DIV/0!</v>
      </c>
      <c r="H992" s="1520" t="e">
        <f t="shared" si="275"/>
        <v>#DIV/0!</v>
      </c>
      <c r="I992" s="1460"/>
      <c r="J992" s="1461"/>
      <c r="K992" s="1457"/>
      <c r="L992" s="1457"/>
      <c r="M992" s="1457"/>
      <c r="N992" s="1457"/>
      <c r="O992" s="1457"/>
      <c r="P992" s="1462"/>
      <c r="Q992" s="1463"/>
      <c r="R992" s="1461"/>
      <c r="S992" s="1457"/>
      <c r="T992" s="1457"/>
      <c r="U992" s="1457"/>
      <c r="V992" s="1457"/>
      <c r="W992" s="1462"/>
      <c r="X992" s="1712"/>
      <c r="Y992" s="1709"/>
    </row>
    <row r="993" spans="1:25" s="1713" customFormat="1" ht="12" hidden="1">
      <c r="A993" s="1710"/>
      <c r="B993" s="1711"/>
      <c r="C993" s="1457"/>
      <c r="D993" s="1457"/>
      <c r="E993" s="1462"/>
      <c r="F993" s="1514"/>
      <c r="G993" s="1519" t="e">
        <f t="shared" si="276"/>
        <v>#DIV/0!</v>
      </c>
      <c r="H993" s="1520" t="e">
        <f t="shared" si="275"/>
        <v>#DIV/0!</v>
      </c>
      <c r="I993" s="1460"/>
      <c r="J993" s="1461"/>
      <c r="K993" s="1457"/>
      <c r="L993" s="1457"/>
      <c r="M993" s="1457"/>
      <c r="N993" s="1457"/>
      <c r="O993" s="1457"/>
      <c r="P993" s="1462"/>
      <c r="Q993" s="1463"/>
      <c r="R993" s="1461"/>
      <c r="S993" s="1457"/>
      <c r="T993" s="1457"/>
      <c r="U993" s="1457"/>
      <c r="V993" s="1457"/>
      <c r="W993" s="1462"/>
      <c r="X993" s="1712"/>
      <c r="Y993" s="1709"/>
    </row>
    <row r="994" spans="1:25" s="1713" customFormat="1" ht="12" hidden="1">
      <c r="A994" s="1710"/>
      <c r="B994" s="1711"/>
      <c r="C994" s="1457"/>
      <c r="D994" s="1457"/>
      <c r="E994" s="1462"/>
      <c r="F994" s="1514"/>
      <c r="G994" s="1519" t="e">
        <f t="shared" si="276"/>
        <v>#DIV/0!</v>
      </c>
      <c r="H994" s="1520" t="e">
        <f t="shared" si="275"/>
        <v>#DIV/0!</v>
      </c>
      <c r="I994" s="1460"/>
      <c r="J994" s="1461"/>
      <c r="K994" s="1457"/>
      <c r="L994" s="1457"/>
      <c r="M994" s="1457"/>
      <c r="N994" s="1457"/>
      <c r="O994" s="1457"/>
      <c r="P994" s="1462"/>
      <c r="Q994" s="1463"/>
      <c r="R994" s="1461"/>
      <c r="S994" s="1457"/>
      <c r="T994" s="1457"/>
      <c r="U994" s="1457"/>
      <c r="V994" s="1457"/>
      <c r="W994" s="1462"/>
      <c r="X994" s="1712"/>
      <c r="Y994" s="1709"/>
    </row>
    <row r="995" spans="1:25" s="1713" customFormat="1" ht="12" hidden="1">
      <c r="A995" s="1710"/>
      <c r="B995" s="1711"/>
      <c r="C995" s="1457"/>
      <c r="D995" s="1457"/>
      <c r="E995" s="1462"/>
      <c r="F995" s="1514"/>
      <c r="G995" s="1519" t="e">
        <f t="shared" si="276"/>
        <v>#DIV/0!</v>
      </c>
      <c r="H995" s="1520" t="e">
        <f t="shared" si="275"/>
        <v>#DIV/0!</v>
      </c>
      <c r="I995" s="1460"/>
      <c r="J995" s="1461"/>
      <c r="K995" s="1457"/>
      <c r="L995" s="1457"/>
      <c r="M995" s="1457"/>
      <c r="N995" s="1457"/>
      <c r="O995" s="1457"/>
      <c r="P995" s="1462"/>
      <c r="Q995" s="1463"/>
      <c r="R995" s="1461"/>
      <c r="S995" s="1457"/>
      <c r="T995" s="1457"/>
      <c r="U995" s="1457"/>
      <c r="V995" s="1457"/>
      <c r="W995" s="1462"/>
      <c r="X995" s="1712"/>
      <c r="Y995" s="1709"/>
    </row>
    <row r="996" spans="1:25" s="1713" customFormat="1" ht="12" hidden="1">
      <c r="A996" s="1710"/>
      <c r="B996" s="1711"/>
      <c r="C996" s="1457"/>
      <c r="D996" s="1457"/>
      <c r="E996" s="1462"/>
      <c r="F996" s="1514"/>
      <c r="G996" s="1519" t="e">
        <f t="shared" si="276"/>
        <v>#DIV/0!</v>
      </c>
      <c r="H996" s="1520" t="e">
        <f aca="true" t="shared" si="289" ref="H996:H1059">F996/D996*100</f>
        <v>#DIV/0!</v>
      </c>
      <c r="I996" s="1460"/>
      <c r="J996" s="1461"/>
      <c r="K996" s="1457"/>
      <c r="L996" s="1457"/>
      <c r="M996" s="1457"/>
      <c r="N996" s="1457"/>
      <c r="O996" s="1457"/>
      <c r="P996" s="1462"/>
      <c r="Q996" s="1463"/>
      <c r="R996" s="1461"/>
      <c r="S996" s="1457"/>
      <c r="T996" s="1457"/>
      <c r="U996" s="1457"/>
      <c r="V996" s="1457"/>
      <c r="W996" s="1462"/>
      <c r="X996" s="1712"/>
      <c r="Y996" s="1709"/>
    </row>
    <row r="997" spans="1:28" s="581" customFormat="1" ht="12.75">
      <c r="A997" s="1493">
        <v>85226</v>
      </c>
      <c r="B997" s="1506" t="s">
        <v>411</v>
      </c>
      <c r="C997" s="1447">
        <f>SUM(C998:C1010)</f>
        <v>254860</v>
      </c>
      <c r="D997" s="1447">
        <f>SUM(D998:D1010)</f>
        <v>260940</v>
      </c>
      <c r="E997" s="1448">
        <f>SUM(E998:E1010)</f>
        <v>298250</v>
      </c>
      <c r="F997" s="1449">
        <f>SUM(F998:F1010)</f>
        <v>298250</v>
      </c>
      <c r="G997" s="1714">
        <f t="shared" si="276"/>
        <v>117.02503335164405</v>
      </c>
      <c r="H997" s="1714">
        <f t="shared" si="289"/>
        <v>114.2983061240132</v>
      </c>
      <c r="I997" s="1450"/>
      <c r="J997" s="1451"/>
      <c r="K997" s="1447"/>
      <c r="L997" s="1447"/>
      <c r="M997" s="1447"/>
      <c r="N997" s="1447"/>
      <c r="O997" s="1447"/>
      <c r="P997" s="1452"/>
      <c r="Q997" s="1453"/>
      <c r="R997" s="1451">
        <f aca="true" t="shared" si="290" ref="R997:W997">SUM(R998:R1010)</f>
        <v>260940</v>
      </c>
      <c r="S997" s="1447">
        <f t="shared" si="290"/>
        <v>298250</v>
      </c>
      <c r="T997" s="1447">
        <f t="shared" si="290"/>
        <v>0</v>
      </c>
      <c r="U997" s="1447">
        <f t="shared" si="290"/>
        <v>0</v>
      </c>
      <c r="V997" s="1447">
        <f t="shared" si="290"/>
        <v>0</v>
      </c>
      <c r="W997" s="1452">
        <f t="shared" si="290"/>
        <v>298250</v>
      </c>
      <c r="X997" s="1454">
        <f aca="true" t="shared" si="291" ref="X997:X1010">W997/R997*100</f>
        <v>114.2983061240132</v>
      </c>
      <c r="Y997" s="1444"/>
      <c r="AA997" s="1444">
        <f>SUM(S999:S1002)</f>
        <v>253950</v>
      </c>
      <c r="AB997" s="1444">
        <f>Z997+AA997</f>
        <v>253950</v>
      </c>
    </row>
    <row r="998" spans="1:25" ht="24">
      <c r="A998" s="1497">
        <v>3020</v>
      </c>
      <c r="B998" s="1513" t="s">
        <v>717</v>
      </c>
      <c r="C998" s="1457">
        <v>600</v>
      </c>
      <c r="D998" s="1457">
        <f>J998+R998</f>
        <v>200</v>
      </c>
      <c r="E998" s="1458">
        <v>600</v>
      </c>
      <c r="F998" s="1459">
        <f>P998+W998</f>
        <v>600</v>
      </c>
      <c r="G998" s="1499">
        <f t="shared" si="276"/>
        <v>100</v>
      </c>
      <c r="H998" s="1499">
        <f t="shared" si="289"/>
        <v>300</v>
      </c>
      <c r="I998" s="1450"/>
      <c r="J998" s="1461"/>
      <c r="K998" s="1457"/>
      <c r="L998" s="1457"/>
      <c r="M998" s="1457"/>
      <c r="N998" s="1457"/>
      <c r="O998" s="1457"/>
      <c r="P998" s="1462"/>
      <c r="Q998" s="1495"/>
      <c r="R998" s="1461">
        <v>200</v>
      </c>
      <c r="S998" s="1457">
        <v>600</v>
      </c>
      <c r="T998" s="1457"/>
      <c r="U998" s="1457"/>
      <c r="V998" s="1457"/>
      <c r="W998" s="1462">
        <f>SUM(S998:V998)</f>
        <v>600</v>
      </c>
      <c r="X998" s="1496">
        <f t="shared" si="291"/>
        <v>300</v>
      </c>
      <c r="Y998" s="1444"/>
    </row>
    <row r="999" spans="1:25" ht="24">
      <c r="A999" s="1497">
        <v>4010</v>
      </c>
      <c r="B999" s="1513" t="s">
        <v>1031</v>
      </c>
      <c r="C999" s="1457">
        <v>169950</v>
      </c>
      <c r="D999" s="1457">
        <f aca="true" t="shared" si="292" ref="D999:D1010">J999+R999</f>
        <v>169680</v>
      </c>
      <c r="E999" s="1458">
        <v>197000</v>
      </c>
      <c r="F999" s="1459">
        <f aca="true" t="shared" si="293" ref="F999:F1010">P999+W999</f>
        <v>197000</v>
      </c>
      <c r="G999" s="1499">
        <f t="shared" si="276"/>
        <v>115.91644601353339</v>
      </c>
      <c r="H999" s="1499">
        <f t="shared" si="289"/>
        <v>116.10089580386611</v>
      </c>
      <c r="I999" s="1450"/>
      <c r="J999" s="1461"/>
      <c r="K999" s="1457"/>
      <c r="L999" s="1457"/>
      <c r="M999" s="1457"/>
      <c r="N999" s="1457"/>
      <c r="O999" s="1457"/>
      <c r="P999" s="1462"/>
      <c r="Q999" s="1495"/>
      <c r="R999" s="1461">
        <v>169680</v>
      </c>
      <c r="S999" s="1457">
        <v>197000</v>
      </c>
      <c r="T999" s="1457"/>
      <c r="U999" s="1457"/>
      <c r="V999" s="1457"/>
      <c r="W999" s="1462">
        <f aca="true" t="shared" si="294" ref="W999:W1010">SUM(S999:V999)</f>
        <v>197000</v>
      </c>
      <c r="X999" s="1496">
        <f t="shared" si="291"/>
        <v>116.10089580386611</v>
      </c>
      <c r="Y999" s="1444"/>
    </row>
    <row r="1000" spans="1:25" ht="12.75">
      <c r="A1000" s="1497">
        <v>4040</v>
      </c>
      <c r="B1000" s="1513" t="s">
        <v>630</v>
      </c>
      <c r="C1000" s="1457">
        <v>10030</v>
      </c>
      <c r="D1000" s="1457">
        <f t="shared" si="292"/>
        <v>10300</v>
      </c>
      <c r="E1000" s="1458">
        <v>13650</v>
      </c>
      <c r="F1000" s="1459">
        <f t="shared" si="293"/>
        <v>13650</v>
      </c>
      <c r="G1000" s="1499">
        <f t="shared" si="276"/>
        <v>136.09172482552344</v>
      </c>
      <c r="H1000" s="1499">
        <f t="shared" si="289"/>
        <v>132.5242718446602</v>
      </c>
      <c r="I1000" s="1450"/>
      <c r="J1000" s="1461"/>
      <c r="K1000" s="1457"/>
      <c r="L1000" s="1457"/>
      <c r="M1000" s="1457"/>
      <c r="N1000" s="1457"/>
      <c r="O1000" s="1457"/>
      <c r="P1000" s="1462"/>
      <c r="Q1000" s="1495"/>
      <c r="R1000" s="1461">
        <v>10300</v>
      </c>
      <c r="S1000" s="1457">
        <v>13650</v>
      </c>
      <c r="T1000" s="1457"/>
      <c r="U1000" s="1457"/>
      <c r="V1000" s="1457"/>
      <c r="W1000" s="1462">
        <f t="shared" si="294"/>
        <v>13650</v>
      </c>
      <c r="X1000" s="1496">
        <f t="shared" si="291"/>
        <v>132.5242718446602</v>
      </c>
      <c r="Y1000" s="1444"/>
    </row>
    <row r="1001" spans="1:25" ht="12.75">
      <c r="A1001" s="1497">
        <v>4110</v>
      </c>
      <c r="B1001" s="1513" t="s">
        <v>568</v>
      </c>
      <c r="C1001" s="1457">
        <v>31800</v>
      </c>
      <c r="D1001" s="1457">
        <f t="shared" si="292"/>
        <v>31800</v>
      </c>
      <c r="E1001" s="1458">
        <v>38200</v>
      </c>
      <c r="F1001" s="1459">
        <f t="shared" si="293"/>
        <v>38200</v>
      </c>
      <c r="G1001" s="1499">
        <f aca="true" t="shared" si="295" ref="G1001:G1064">F1001/C1001*100</f>
        <v>120.12578616352201</v>
      </c>
      <c r="H1001" s="1499">
        <f t="shared" si="289"/>
        <v>120.12578616352201</v>
      </c>
      <c r="I1001" s="1450"/>
      <c r="J1001" s="1461"/>
      <c r="K1001" s="1457"/>
      <c r="L1001" s="1457"/>
      <c r="M1001" s="1457"/>
      <c r="N1001" s="1457"/>
      <c r="O1001" s="1457"/>
      <c r="P1001" s="1462"/>
      <c r="Q1001" s="1495"/>
      <c r="R1001" s="1461">
        <v>31800</v>
      </c>
      <c r="S1001" s="1457">
        <v>38200</v>
      </c>
      <c r="T1001" s="1457"/>
      <c r="U1001" s="1457"/>
      <c r="V1001" s="1457"/>
      <c r="W1001" s="1462">
        <f t="shared" si="294"/>
        <v>38200</v>
      </c>
      <c r="X1001" s="1496">
        <f t="shared" si="291"/>
        <v>120.12578616352201</v>
      </c>
      <c r="Y1001" s="1444"/>
    </row>
    <row r="1002" spans="1:25" ht="12.75">
      <c r="A1002" s="1497">
        <v>4120</v>
      </c>
      <c r="B1002" s="1513" t="s">
        <v>758</v>
      </c>
      <c r="C1002" s="1457">
        <v>4280</v>
      </c>
      <c r="D1002" s="1457">
        <f t="shared" si="292"/>
        <v>4280</v>
      </c>
      <c r="E1002" s="1458">
        <v>5100</v>
      </c>
      <c r="F1002" s="1459">
        <f t="shared" si="293"/>
        <v>5100</v>
      </c>
      <c r="G1002" s="1499">
        <f t="shared" si="295"/>
        <v>119.1588785046729</v>
      </c>
      <c r="H1002" s="1499">
        <f t="shared" si="289"/>
        <v>119.1588785046729</v>
      </c>
      <c r="I1002" s="1450"/>
      <c r="J1002" s="1461"/>
      <c r="K1002" s="1457"/>
      <c r="L1002" s="1457"/>
      <c r="M1002" s="1457"/>
      <c r="N1002" s="1457"/>
      <c r="O1002" s="1457"/>
      <c r="P1002" s="1462"/>
      <c r="Q1002" s="1495"/>
      <c r="R1002" s="1461">
        <v>4280</v>
      </c>
      <c r="S1002" s="1457">
        <v>5100</v>
      </c>
      <c r="T1002" s="1457"/>
      <c r="U1002" s="1457"/>
      <c r="V1002" s="1457"/>
      <c r="W1002" s="1462">
        <f t="shared" si="294"/>
        <v>5100</v>
      </c>
      <c r="X1002" s="1496">
        <f t="shared" si="291"/>
        <v>119.1588785046729</v>
      </c>
      <c r="Y1002" s="1444"/>
    </row>
    <row r="1003" spans="1:25" ht="12.75">
      <c r="A1003" s="1497">
        <v>4170</v>
      </c>
      <c r="B1003" s="1513" t="s">
        <v>572</v>
      </c>
      <c r="C1003" s="1457"/>
      <c r="D1003" s="1457">
        <f t="shared" si="292"/>
        <v>3600</v>
      </c>
      <c r="E1003" s="1458">
        <v>3600</v>
      </c>
      <c r="F1003" s="1459">
        <f t="shared" si="293"/>
        <v>3600</v>
      </c>
      <c r="G1003" s="1499"/>
      <c r="H1003" s="1499">
        <f t="shared" si="289"/>
        <v>100</v>
      </c>
      <c r="I1003" s="1450"/>
      <c r="J1003" s="1461"/>
      <c r="K1003" s="1457"/>
      <c r="L1003" s="1457"/>
      <c r="M1003" s="1457"/>
      <c r="N1003" s="1457"/>
      <c r="O1003" s="1457"/>
      <c r="P1003" s="1462"/>
      <c r="Q1003" s="1495"/>
      <c r="R1003" s="1461">
        <v>3600</v>
      </c>
      <c r="S1003" s="1457">
        <v>3600</v>
      </c>
      <c r="T1003" s="1457"/>
      <c r="U1003" s="1457"/>
      <c r="V1003" s="1457"/>
      <c r="W1003" s="1462">
        <f t="shared" si="294"/>
        <v>3600</v>
      </c>
      <c r="X1003" s="1496">
        <f t="shared" si="291"/>
        <v>100</v>
      </c>
      <c r="Y1003" s="1444"/>
    </row>
    <row r="1004" spans="1:25" ht="12.75">
      <c r="A1004" s="1497">
        <v>4210</v>
      </c>
      <c r="B1004" s="1513" t="s">
        <v>560</v>
      </c>
      <c r="C1004" s="1457">
        <v>5600</v>
      </c>
      <c r="D1004" s="1457">
        <f t="shared" si="292"/>
        <v>10500</v>
      </c>
      <c r="E1004" s="1458">
        <v>8000</v>
      </c>
      <c r="F1004" s="1459">
        <f t="shared" si="293"/>
        <v>8000</v>
      </c>
      <c r="G1004" s="1499">
        <f t="shared" si="295"/>
        <v>142.85714285714286</v>
      </c>
      <c r="H1004" s="1499">
        <f t="shared" si="289"/>
        <v>76.19047619047619</v>
      </c>
      <c r="I1004" s="1450"/>
      <c r="J1004" s="1461"/>
      <c r="K1004" s="1457"/>
      <c r="L1004" s="1457"/>
      <c r="M1004" s="1457"/>
      <c r="N1004" s="1457"/>
      <c r="O1004" s="1457"/>
      <c r="P1004" s="1462"/>
      <c r="Q1004" s="1495"/>
      <c r="R1004" s="1461">
        <v>10500</v>
      </c>
      <c r="S1004" s="1457">
        <v>8000</v>
      </c>
      <c r="T1004" s="1457"/>
      <c r="U1004" s="1457"/>
      <c r="V1004" s="1457"/>
      <c r="W1004" s="1462">
        <f t="shared" si="294"/>
        <v>8000</v>
      </c>
      <c r="X1004" s="1496">
        <f t="shared" si="291"/>
        <v>76.19047619047619</v>
      </c>
      <c r="Y1004" s="1444"/>
    </row>
    <row r="1005" spans="1:25" ht="12.75">
      <c r="A1005" s="1497">
        <v>4260</v>
      </c>
      <c r="B1005" s="1513" t="s">
        <v>575</v>
      </c>
      <c r="C1005" s="1457">
        <v>8500</v>
      </c>
      <c r="D1005" s="1457">
        <f t="shared" si="292"/>
        <v>8500</v>
      </c>
      <c r="E1005" s="1458">
        <v>8500</v>
      </c>
      <c r="F1005" s="1459">
        <f t="shared" si="293"/>
        <v>8500</v>
      </c>
      <c r="G1005" s="1499">
        <f t="shared" si="295"/>
        <v>100</v>
      </c>
      <c r="H1005" s="1499">
        <f t="shared" si="289"/>
        <v>100</v>
      </c>
      <c r="I1005" s="1450"/>
      <c r="J1005" s="1461"/>
      <c r="K1005" s="1457"/>
      <c r="L1005" s="1457"/>
      <c r="M1005" s="1457"/>
      <c r="N1005" s="1457"/>
      <c r="O1005" s="1457"/>
      <c r="P1005" s="1462"/>
      <c r="Q1005" s="1495"/>
      <c r="R1005" s="1461">
        <v>8500</v>
      </c>
      <c r="S1005" s="1457">
        <v>8500</v>
      </c>
      <c r="T1005" s="1457"/>
      <c r="U1005" s="1457"/>
      <c r="V1005" s="1457"/>
      <c r="W1005" s="1462">
        <f t="shared" si="294"/>
        <v>8500</v>
      </c>
      <c r="X1005" s="1496">
        <f t="shared" si="291"/>
        <v>100</v>
      </c>
      <c r="Y1005" s="1444"/>
    </row>
    <row r="1006" spans="1:25" ht="12.75">
      <c r="A1006" s="1497">
        <v>4280</v>
      </c>
      <c r="B1006" s="1513" t="s">
        <v>723</v>
      </c>
      <c r="C1006" s="1457"/>
      <c r="D1006" s="1457">
        <f t="shared" si="292"/>
        <v>400</v>
      </c>
      <c r="E1006" s="1458">
        <v>600</v>
      </c>
      <c r="F1006" s="1459">
        <f t="shared" si="293"/>
        <v>600</v>
      </c>
      <c r="G1006" s="1499"/>
      <c r="H1006" s="1499">
        <f t="shared" si="289"/>
        <v>150</v>
      </c>
      <c r="I1006" s="1450"/>
      <c r="J1006" s="1461"/>
      <c r="K1006" s="1457"/>
      <c r="L1006" s="1457"/>
      <c r="M1006" s="1457"/>
      <c r="N1006" s="1457"/>
      <c r="O1006" s="1457"/>
      <c r="P1006" s="1462"/>
      <c r="Q1006" s="1495"/>
      <c r="R1006" s="1461">
        <v>400</v>
      </c>
      <c r="S1006" s="1457">
        <v>600</v>
      </c>
      <c r="T1006" s="1457"/>
      <c r="U1006" s="1457"/>
      <c r="V1006" s="1457">
        <v>0</v>
      </c>
      <c r="W1006" s="1462">
        <f t="shared" si="294"/>
        <v>600</v>
      </c>
      <c r="X1006" s="1496">
        <f t="shared" si="291"/>
        <v>150</v>
      </c>
      <c r="Y1006" s="1444"/>
    </row>
    <row r="1007" spans="1:25" ht="12.75">
      <c r="A1007" s="1497">
        <v>4300</v>
      </c>
      <c r="B1007" s="1513" t="s">
        <v>564</v>
      </c>
      <c r="C1007" s="1457">
        <v>17600</v>
      </c>
      <c r="D1007" s="1457">
        <f t="shared" si="292"/>
        <v>13950</v>
      </c>
      <c r="E1007" s="1458">
        <v>15000</v>
      </c>
      <c r="F1007" s="1459">
        <f t="shared" si="293"/>
        <v>15000</v>
      </c>
      <c r="G1007" s="1499">
        <f t="shared" si="295"/>
        <v>85.22727272727273</v>
      </c>
      <c r="H1007" s="1499">
        <f t="shared" si="289"/>
        <v>107.5268817204301</v>
      </c>
      <c r="I1007" s="1450"/>
      <c r="J1007" s="1461"/>
      <c r="K1007" s="1457"/>
      <c r="L1007" s="1457"/>
      <c r="M1007" s="1457"/>
      <c r="N1007" s="1457"/>
      <c r="O1007" s="1457"/>
      <c r="P1007" s="1462"/>
      <c r="Q1007" s="1495"/>
      <c r="R1007" s="1461">
        <v>13950</v>
      </c>
      <c r="S1007" s="1457">
        <v>15000</v>
      </c>
      <c r="T1007" s="1457"/>
      <c r="U1007" s="1457"/>
      <c r="V1007" s="1457"/>
      <c r="W1007" s="1462">
        <f t="shared" si="294"/>
        <v>15000</v>
      </c>
      <c r="X1007" s="1496">
        <f t="shared" si="291"/>
        <v>107.5268817204301</v>
      </c>
      <c r="Y1007" s="1444"/>
    </row>
    <row r="1008" spans="1:25" ht="12.75">
      <c r="A1008" s="1497">
        <v>4350</v>
      </c>
      <c r="B1008" s="1513" t="s">
        <v>820</v>
      </c>
      <c r="C1008" s="1457"/>
      <c r="D1008" s="1457">
        <f t="shared" si="292"/>
        <v>1230</v>
      </c>
      <c r="E1008" s="1458">
        <v>1500</v>
      </c>
      <c r="F1008" s="1459">
        <f t="shared" si="293"/>
        <v>1500</v>
      </c>
      <c r="G1008" s="1499"/>
      <c r="H1008" s="1499">
        <f t="shared" si="289"/>
        <v>121.95121951219512</v>
      </c>
      <c r="I1008" s="1450"/>
      <c r="J1008" s="1461"/>
      <c r="K1008" s="1457"/>
      <c r="L1008" s="1457"/>
      <c r="M1008" s="1457"/>
      <c r="N1008" s="1457"/>
      <c r="O1008" s="1457"/>
      <c r="P1008" s="1462"/>
      <c r="Q1008" s="1495"/>
      <c r="R1008" s="1461">
        <v>1230</v>
      </c>
      <c r="S1008" s="1457">
        <v>1500</v>
      </c>
      <c r="T1008" s="1457"/>
      <c r="U1008" s="1457"/>
      <c r="V1008" s="1457"/>
      <c r="W1008" s="1462">
        <f t="shared" si="294"/>
        <v>1500</v>
      </c>
      <c r="X1008" s="1496">
        <f t="shared" si="291"/>
        <v>121.95121951219512</v>
      </c>
      <c r="Y1008" s="1444"/>
    </row>
    <row r="1009" spans="1:25" ht="12.75">
      <c r="A1009" s="1497">
        <v>4410</v>
      </c>
      <c r="B1009" s="1513" t="s">
        <v>1035</v>
      </c>
      <c r="C1009" s="1457">
        <v>1700</v>
      </c>
      <c r="D1009" s="1457">
        <f t="shared" si="292"/>
        <v>1700</v>
      </c>
      <c r="E1009" s="1458">
        <v>1400</v>
      </c>
      <c r="F1009" s="1459">
        <f t="shared" si="293"/>
        <v>1400</v>
      </c>
      <c r="G1009" s="1499">
        <f t="shared" si="295"/>
        <v>82.35294117647058</v>
      </c>
      <c r="H1009" s="1499">
        <f t="shared" si="289"/>
        <v>82.35294117647058</v>
      </c>
      <c r="I1009" s="1450"/>
      <c r="J1009" s="1461"/>
      <c r="K1009" s="1457"/>
      <c r="L1009" s="1457"/>
      <c r="M1009" s="1457"/>
      <c r="N1009" s="1457"/>
      <c r="O1009" s="1457"/>
      <c r="P1009" s="1462"/>
      <c r="Q1009" s="1495"/>
      <c r="R1009" s="1461">
        <v>1700</v>
      </c>
      <c r="S1009" s="1457">
        <v>1400</v>
      </c>
      <c r="T1009" s="1457"/>
      <c r="U1009" s="1457"/>
      <c r="V1009" s="1457"/>
      <c r="W1009" s="1462">
        <f t="shared" si="294"/>
        <v>1400</v>
      </c>
      <c r="X1009" s="1496">
        <f t="shared" si="291"/>
        <v>82.35294117647058</v>
      </c>
      <c r="Y1009" s="1444"/>
    </row>
    <row r="1010" spans="1:25" ht="12.75">
      <c r="A1010" s="1497">
        <v>4440</v>
      </c>
      <c r="B1010" s="1513" t="s">
        <v>1036</v>
      </c>
      <c r="C1010" s="1457">
        <v>4800</v>
      </c>
      <c r="D1010" s="1457">
        <f t="shared" si="292"/>
        <v>4800</v>
      </c>
      <c r="E1010" s="1458">
        <v>5100</v>
      </c>
      <c r="F1010" s="1459">
        <f t="shared" si="293"/>
        <v>5100</v>
      </c>
      <c r="G1010" s="1499">
        <f t="shared" si="295"/>
        <v>106.25</v>
      </c>
      <c r="H1010" s="1499">
        <f t="shared" si="289"/>
        <v>106.25</v>
      </c>
      <c r="I1010" s="1450"/>
      <c r="J1010" s="1461"/>
      <c r="K1010" s="1457"/>
      <c r="L1010" s="1457"/>
      <c r="M1010" s="1457"/>
      <c r="N1010" s="1457"/>
      <c r="O1010" s="1457"/>
      <c r="P1010" s="1462"/>
      <c r="Q1010" s="1495"/>
      <c r="R1010" s="1461">
        <v>4800</v>
      </c>
      <c r="S1010" s="1457">
        <v>5100</v>
      </c>
      <c r="T1010" s="1457"/>
      <c r="U1010" s="1457"/>
      <c r="V1010" s="1457"/>
      <c r="W1010" s="1462">
        <f t="shared" si="294"/>
        <v>5100</v>
      </c>
      <c r="X1010" s="1496">
        <f t="shared" si="291"/>
        <v>106.25</v>
      </c>
      <c r="Y1010" s="1444"/>
    </row>
    <row r="1011" spans="1:28" s="581" customFormat="1" ht="24">
      <c r="A1011" s="1516">
        <v>85228</v>
      </c>
      <c r="B1011" s="1550" t="s">
        <v>1037</v>
      </c>
      <c r="C1011" s="1467">
        <f>SUM(C1012:C1015)</f>
        <v>34000</v>
      </c>
      <c r="D1011" s="1467">
        <f>SUM(D1012:D1015)</f>
        <v>21000</v>
      </c>
      <c r="E1011" s="1468">
        <f>SUM(E1012:E1015)</f>
        <v>24820</v>
      </c>
      <c r="F1011" s="1469">
        <f>SUM(F1012:F1015)</f>
        <v>24820</v>
      </c>
      <c r="G1011" s="1531">
        <f t="shared" si="295"/>
        <v>73</v>
      </c>
      <c r="H1011" s="1532">
        <f t="shared" si="289"/>
        <v>118.1904761904762</v>
      </c>
      <c r="I1011" s="1450"/>
      <c r="J1011" s="1470">
        <f>SUM(J1012:J1015)</f>
        <v>21000</v>
      </c>
      <c r="K1011" s="1467">
        <f>SUM(K1012:K1015)</f>
        <v>24820</v>
      </c>
      <c r="L1011" s="1467">
        <f>SUM(L1012:L1015)</f>
        <v>0</v>
      </c>
      <c r="M1011" s="1467">
        <f>SUM(M1012:M1015)</f>
        <v>0</v>
      </c>
      <c r="N1011" s="1467">
        <f>SUM(N1012:N1015)</f>
        <v>0</v>
      </c>
      <c r="O1011" s="1467"/>
      <c r="P1011" s="1471">
        <f>SUM(P1012:P1015)</f>
        <v>24820</v>
      </c>
      <c r="Q1011" s="1453">
        <f aca="true" t="shared" si="296" ref="Q1011:Q1033">P1011/J1011*100</f>
        <v>118.1904761904762</v>
      </c>
      <c r="R1011" s="1470"/>
      <c r="S1011" s="1467"/>
      <c r="T1011" s="1467"/>
      <c r="U1011" s="1467"/>
      <c r="V1011" s="1467"/>
      <c r="W1011" s="1471"/>
      <c r="X1011" s="1454"/>
      <c r="Y1011" s="1444"/>
      <c r="Z1011" s="1444">
        <f>SUM(K1012:K1013)</f>
        <v>3820</v>
      </c>
      <c r="AB1011" s="1444">
        <f>Z1011+AA1011</f>
        <v>3820</v>
      </c>
    </row>
    <row r="1012" spans="1:25" ht="12.75">
      <c r="A1012" s="1497">
        <v>4110</v>
      </c>
      <c r="B1012" s="1513" t="s">
        <v>568</v>
      </c>
      <c r="C1012" s="1457">
        <v>4020</v>
      </c>
      <c r="D1012" s="1457">
        <f>J1012+R1012</f>
        <v>4020</v>
      </c>
      <c r="E1012" s="1458">
        <v>3720</v>
      </c>
      <c r="F1012" s="1459">
        <f>P1012+W1012</f>
        <v>3720</v>
      </c>
      <c r="G1012" s="1499">
        <f t="shared" si="295"/>
        <v>92.53731343283582</v>
      </c>
      <c r="H1012" s="1499">
        <f t="shared" si="289"/>
        <v>92.53731343283582</v>
      </c>
      <c r="I1012" s="1450"/>
      <c r="J1012" s="1461">
        <v>4020</v>
      </c>
      <c r="K1012" s="1457">
        <v>3720</v>
      </c>
      <c r="L1012" s="1457"/>
      <c r="M1012" s="1457"/>
      <c r="N1012" s="1457"/>
      <c r="O1012" s="1457"/>
      <c r="P1012" s="1462">
        <f>SUM(K1012:N1012)</f>
        <v>3720</v>
      </c>
      <c r="Q1012" s="1495">
        <f t="shared" si="296"/>
        <v>92.53731343283582</v>
      </c>
      <c r="R1012" s="1461"/>
      <c r="S1012" s="1457"/>
      <c r="T1012" s="1457"/>
      <c r="U1012" s="1457"/>
      <c r="V1012" s="1457"/>
      <c r="W1012" s="1462"/>
      <c r="X1012" s="1496"/>
      <c r="Y1012" s="1444"/>
    </row>
    <row r="1013" spans="1:25" ht="12.75">
      <c r="A1013" s="1497">
        <v>4120</v>
      </c>
      <c r="B1013" s="1513" t="s">
        <v>758</v>
      </c>
      <c r="C1013" s="1457">
        <v>100</v>
      </c>
      <c r="D1013" s="1457">
        <f>J1013+R1013</f>
        <v>100</v>
      </c>
      <c r="E1013" s="1458">
        <v>100</v>
      </c>
      <c r="F1013" s="1459">
        <f>P1013+W1013</f>
        <v>100</v>
      </c>
      <c r="G1013" s="1499">
        <f t="shared" si="295"/>
        <v>100</v>
      </c>
      <c r="H1013" s="1499">
        <f t="shared" si="289"/>
        <v>100</v>
      </c>
      <c r="I1013" s="1501"/>
      <c r="J1013" s="1459">
        <v>100</v>
      </c>
      <c r="K1013" s="1457">
        <v>100</v>
      </c>
      <c r="L1013" s="1457"/>
      <c r="M1013" s="1457"/>
      <c r="N1013" s="1457"/>
      <c r="O1013" s="1457"/>
      <c r="P1013" s="1462">
        <f>SUM(K1013:N1013)</f>
        <v>100</v>
      </c>
      <c r="Q1013" s="1495">
        <f t="shared" si="296"/>
        <v>100</v>
      </c>
      <c r="R1013" s="1461"/>
      <c r="S1013" s="1457"/>
      <c r="T1013" s="1457"/>
      <c r="U1013" s="1457"/>
      <c r="V1013" s="1457"/>
      <c r="W1013" s="1462"/>
      <c r="X1013" s="1496"/>
      <c r="Y1013" s="1444"/>
    </row>
    <row r="1014" spans="1:25" ht="12.75">
      <c r="A1014" s="1497">
        <v>4170</v>
      </c>
      <c r="B1014" s="1513" t="s">
        <v>572</v>
      </c>
      <c r="C1014" s="1457"/>
      <c r="D1014" s="1457">
        <f>J1014+R1014</f>
        <v>16880</v>
      </c>
      <c r="E1014" s="1458"/>
      <c r="F1014" s="1459">
        <f>P1014+W1014</f>
        <v>0</v>
      </c>
      <c r="G1014" s="1499"/>
      <c r="H1014" s="1499">
        <f t="shared" si="289"/>
        <v>0</v>
      </c>
      <c r="I1014" s="1534"/>
      <c r="J1014" s="1459">
        <v>16880</v>
      </c>
      <c r="K1014" s="1457"/>
      <c r="L1014" s="1457"/>
      <c r="M1014" s="1457"/>
      <c r="N1014" s="1457"/>
      <c r="O1014" s="1457"/>
      <c r="P1014" s="1462"/>
      <c r="Q1014" s="1495"/>
      <c r="R1014" s="1461"/>
      <c r="S1014" s="1457"/>
      <c r="T1014" s="1457"/>
      <c r="U1014" s="1457"/>
      <c r="V1014" s="1457"/>
      <c r="W1014" s="1462"/>
      <c r="X1014" s="1496"/>
      <c r="Y1014" s="1444"/>
    </row>
    <row r="1015" spans="1:25" ht="12.75">
      <c r="A1015" s="1497">
        <v>4300</v>
      </c>
      <c r="B1015" s="1513" t="s">
        <v>577</v>
      </c>
      <c r="C1015" s="1457">
        <v>29880</v>
      </c>
      <c r="D1015" s="1457">
        <f>J1015+R1015</f>
        <v>0</v>
      </c>
      <c r="E1015" s="1514">
        <v>21000</v>
      </c>
      <c r="F1015" s="1457">
        <f>P1015+W1015</f>
        <v>21000</v>
      </c>
      <c r="G1015" s="1499">
        <f t="shared" si="295"/>
        <v>70.28112449799197</v>
      </c>
      <c r="H1015" s="1499"/>
      <c r="I1015" s="1534"/>
      <c r="J1015" s="1459">
        <v>0</v>
      </c>
      <c r="K1015" s="1457">
        <v>21000</v>
      </c>
      <c r="L1015" s="1457"/>
      <c r="M1015" s="1457"/>
      <c r="N1015" s="1457"/>
      <c r="O1015" s="1457"/>
      <c r="P1015" s="1462">
        <f>SUM(K1015:N1015)</f>
        <v>21000</v>
      </c>
      <c r="Q1015" s="1495" t="e">
        <f t="shared" si="296"/>
        <v>#DIV/0!</v>
      </c>
      <c r="R1015" s="1461"/>
      <c r="S1015" s="1457"/>
      <c r="T1015" s="1457"/>
      <c r="U1015" s="1457"/>
      <c r="V1015" s="1457"/>
      <c r="W1015" s="1462"/>
      <c r="X1015" s="1496"/>
      <c r="Y1015" s="1444"/>
    </row>
    <row r="1016" spans="1:25" s="581" customFormat="1" ht="13.5" hidden="1" thickBot="1">
      <c r="A1016" s="1516">
        <v>85334</v>
      </c>
      <c r="B1016" s="1550" t="s">
        <v>1038</v>
      </c>
      <c r="C1016" s="1467">
        <f>C1017</f>
        <v>0</v>
      </c>
      <c r="D1016" s="1467">
        <f>D1017</f>
        <v>0</v>
      </c>
      <c r="E1016" s="1556">
        <f>E1017</f>
        <v>0</v>
      </c>
      <c r="F1016" s="1467">
        <f>F1017</f>
        <v>0</v>
      </c>
      <c r="G1016" s="1602" t="e">
        <f t="shared" si="295"/>
        <v>#DIV/0!</v>
      </c>
      <c r="H1016" s="1603" t="e">
        <f t="shared" si="289"/>
        <v>#DIV/0!</v>
      </c>
      <c r="I1016" s="1534"/>
      <c r="J1016" s="1469">
        <f>J1017</f>
        <v>0</v>
      </c>
      <c r="K1016" s="1467">
        <f>K1017</f>
        <v>0</v>
      </c>
      <c r="L1016" s="1467">
        <f>L1017</f>
        <v>0</v>
      </c>
      <c r="M1016" s="1467">
        <f>M1017</f>
        <v>0</v>
      </c>
      <c r="N1016" s="1467">
        <f>N1017</f>
        <v>0</v>
      </c>
      <c r="O1016" s="1467"/>
      <c r="P1016" s="1471">
        <f>P1017</f>
        <v>0</v>
      </c>
      <c r="Q1016" s="1453" t="e">
        <f t="shared" si="296"/>
        <v>#DIV/0!</v>
      </c>
      <c r="R1016" s="1470"/>
      <c r="S1016" s="1467"/>
      <c r="T1016" s="1467"/>
      <c r="U1016" s="1467"/>
      <c r="V1016" s="1467"/>
      <c r="W1016" s="1471"/>
      <c r="X1016" s="1454" t="e">
        <f>W1016/R1016*100</f>
        <v>#DIV/0!</v>
      </c>
      <c r="Y1016" s="1444"/>
    </row>
    <row r="1017" spans="1:25" ht="13.5" hidden="1" thickTop="1">
      <c r="A1017" s="1497">
        <v>3110</v>
      </c>
      <c r="B1017" s="1513" t="s">
        <v>1014</v>
      </c>
      <c r="C1017" s="1457">
        <v>0</v>
      </c>
      <c r="D1017" s="1457">
        <f>J1017+R1017</f>
        <v>0</v>
      </c>
      <c r="E1017" s="1514"/>
      <c r="F1017" s="1457">
        <f>P1017+W1017</f>
        <v>0</v>
      </c>
      <c r="G1017" s="1474" t="e">
        <f t="shared" si="295"/>
        <v>#DIV/0!</v>
      </c>
      <c r="H1017" s="1475" t="e">
        <f t="shared" si="289"/>
        <v>#DIV/0!</v>
      </c>
      <c r="I1017" s="1534"/>
      <c r="J1017" s="1459"/>
      <c r="K1017" s="1457"/>
      <c r="L1017" s="1457"/>
      <c r="M1017" s="1457"/>
      <c r="N1017" s="1457"/>
      <c r="O1017" s="1457"/>
      <c r="P1017" s="1462">
        <f>SUM(K1017:N1017)</f>
        <v>0</v>
      </c>
      <c r="Q1017" s="1495" t="e">
        <f t="shared" si="296"/>
        <v>#DIV/0!</v>
      </c>
      <c r="R1017" s="1461"/>
      <c r="S1017" s="1457"/>
      <c r="T1017" s="1457"/>
      <c r="U1017" s="1457"/>
      <c r="V1017" s="1457"/>
      <c r="W1017" s="1462"/>
      <c r="X1017" s="1496" t="e">
        <f>W1017/R1017*100</f>
        <v>#DIV/0!</v>
      </c>
      <c r="Y1017" s="1444"/>
    </row>
    <row r="1018" spans="1:25" s="581" customFormat="1" ht="12.75">
      <c r="A1018" s="1516">
        <v>85295</v>
      </c>
      <c r="B1018" s="1550" t="s">
        <v>209</v>
      </c>
      <c r="C1018" s="1467">
        <f>SUM(C1019:C1030)</f>
        <v>198400</v>
      </c>
      <c r="D1018" s="1467">
        <f>SUM(D1019:D1030)</f>
        <v>603700</v>
      </c>
      <c r="E1018" s="1518">
        <f>SUM(E1019:E1030)</f>
        <v>1199000</v>
      </c>
      <c r="F1018" s="1467">
        <f>SUM(F1019:F1030)</f>
        <v>1704000</v>
      </c>
      <c r="G1018" s="1519">
        <f t="shared" si="295"/>
        <v>858.8709677419354</v>
      </c>
      <c r="H1018" s="1519">
        <f t="shared" si="289"/>
        <v>282.25940036441943</v>
      </c>
      <c r="I1018" s="1534"/>
      <c r="J1018" s="1469">
        <f>SUM(J1019:J1030)</f>
        <v>603700</v>
      </c>
      <c r="K1018" s="1467">
        <f aca="true" t="shared" si="297" ref="K1018:P1018">K1019+SUM(K1021:K1030)</f>
        <v>704000</v>
      </c>
      <c r="L1018" s="1467">
        <f t="shared" si="297"/>
        <v>1000000</v>
      </c>
      <c r="M1018" s="1467">
        <f t="shared" si="297"/>
        <v>0</v>
      </c>
      <c r="N1018" s="1467">
        <f t="shared" si="297"/>
        <v>0</v>
      </c>
      <c r="O1018" s="1467">
        <f t="shared" si="297"/>
        <v>0</v>
      </c>
      <c r="P1018" s="1467">
        <f t="shared" si="297"/>
        <v>1704000</v>
      </c>
      <c r="Q1018" s="1453">
        <f t="shared" si="296"/>
        <v>282.25940036441943</v>
      </c>
      <c r="R1018" s="1470"/>
      <c r="S1018" s="1467"/>
      <c r="T1018" s="1467"/>
      <c r="U1018" s="1467"/>
      <c r="V1018" s="1467"/>
      <c r="W1018" s="1471"/>
      <c r="X1018" s="1454"/>
      <c r="Y1018" s="1444"/>
    </row>
    <row r="1019" spans="1:25" ht="48">
      <c r="A1019" s="1497">
        <v>2820</v>
      </c>
      <c r="B1019" s="1513" t="s">
        <v>734</v>
      </c>
      <c r="C1019" s="1457">
        <v>174000</v>
      </c>
      <c r="D1019" s="1457">
        <f>J1019+R1019</f>
        <v>174000</v>
      </c>
      <c r="E1019" s="1458">
        <v>177000</v>
      </c>
      <c r="F1019" s="1459">
        <f>P1019+W1019</f>
        <v>174000</v>
      </c>
      <c r="G1019" s="1499">
        <f t="shared" si="295"/>
        <v>100</v>
      </c>
      <c r="H1019" s="1499">
        <f t="shared" si="289"/>
        <v>100</v>
      </c>
      <c r="I1019" s="1534"/>
      <c r="J1019" s="1459">
        <v>174000</v>
      </c>
      <c r="K1019" s="1457">
        <v>174000</v>
      </c>
      <c r="L1019" s="1457"/>
      <c r="M1019" s="1457"/>
      <c r="N1019" s="1457"/>
      <c r="O1019" s="1457"/>
      <c r="P1019" s="1462">
        <f>SUM(K1019:N1019)</f>
        <v>174000</v>
      </c>
      <c r="Q1019" s="1495">
        <f t="shared" si="296"/>
        <v>100</v>
      </c>
      <c r="R1019" s="1461"/>
      <c r="S1019" s="1457"/>
      <c r="T1019" s="1457"/>
      <c r="U1019" s="1457"/>
      <c r="V1019" s="1457"/>
      <c r="W1019" s="1462"/>
      <c r="X1019" s="1496"/>
      <c r="Y1019" s="1444"/>
    </row>
    <row r="1020" spans="1:25" ht="24">
      <c r="A1020" s="1497">
        <v>3020</v>
      </c>
      <c r="B1020" s="1513" t="s">
        <v>717</v>
      </c>
      <c r="C1020" s="1457"/>
      <c r="D1020" s="1457">
        <f aca="true" t="shared" si="298" ref="D1020:D1030">J1020+R1020</f>
        <v>2000</v>
      </c>
      <c r="E1020" s="1458">
        <v>0</v>
      </c>
      <c r="F1020" s="1459">
        <f>P1020+W1020</f>
        <v>0</v>
      </c>
      <c r="G1020" s="1499"/>
      <c r="H1020" s="1499">
        <f t="shared" si="289"/>
        <v>0</v>
      </c>
      <c r="I1020" s="1450"/>
      <c r="J1020" s="1461">
        <v>2000</v>
      </c>
      <c r="K1020" s="1457"/>
      <c r="L1020" s="1457"/>
      <c r="M1020" s="1457"/>
      <c r="N1020" s="1457"/>
      <c r="O1020" s="1457"/>
      <c r="P1020" s="1462">
        <f>SUM(K1020:N1020)</f>
        <v>0</v>
      </c>
      <c r="Q1020" s="1495">
        <f t="shared" si="296"/>
        <v>0</v>
      </c>
      <c r="R1020" s="1461"/>
      <c r="S1020" s="1457"/>
      <c r="T1020" s="1457"/>
      <c r="U1020" s="1457"/>
      <c r="V1020" s="1457"/>
      <c r="W1020" s="1462"/>
      <c r="X1020" s="1496"/>
      <c r="Y1020" s="1444"/>
    </row>
    <row r="1021" spans="1:25" ht="24">
      <c r="A1021" s="1497">
        <v>3110</v>
      </c>
      <c r="B1021" s="1513" t="s">
        <v>1039</v>
      </c>
      <c r="C1021" s="1457"/>
      <c r="D1021" s="1457">
        <f t="shared" si="298"/>
        <v>325700</v>
      </c>
      <c r="E1021" s="1458">
        <v>0</v>
      </c>
      <c r="F1021" s="1459">
        <f aca="true" t="shared" si="299" ref="F1021:F1030">P1021+W1021</f>
        <v>508000</v>
      </c>
      <c r="G1021" s="1499"/>
      <c r="H1021" s="1499">
        <f t="shared" si="289"/>
        <v>155.97175314706786</v>
      </c>
      <c r="I1021" s="1450"/>
      <c r="J1021" s="1461">
        <v>325700</v>
      </c>
      <c r="K1021" s="1457">
        <v>508000</v>
      </c>
      <c r="L1021" s="1457"/>
      <c r="M1021" s="1457"/>
      <c r="N1021" s="1457"/>
      <c r="O1021" s="1457"/>
      <c r="P1021" s="1462">
        <f aca="true" t="shared" si="300" ref="P1021:P1030">SUM(K1021:N1021)</f>
        <v>508000</v>
      </c>
      <c r="Q1021" s="1495">
        <f t="shared" si="296"/>
        <v>155.97175314706786</v>
      </c>
      <c r="R1021" s="1461"/>
      <c r="S1021" s="1457"/>
      <c r="T1021" s="1457"/>
      <c r="U1021" s="1457"/>
      <c r="V1021" s="1457"/>
      <c r="W1021" s="1462"/>
      <c r="X1021" s="1496"/>
      <c r="Y1021" s="1444"/>
    </row>
    <row r="1022" spans="1:25" ht="24">
      <c r="A1022" s="1497">
        <v>4210</v>
      </c>
      <c r="B1022" s="1513" t="s">
        <v>1040</v>
      </c>
      <c r="C1022" s="1457">
        <v>9800</v>
      </c>
      <c r="D1022" s="1457">
        <f t="shared" si="298"/>
        <v>9800</v>
      </c>
      <c r="E1022" s="1458"/>
      <c r="F1022" s="1459">
        <f t="shared" si="299"/>
        <v>0</v>
      </c>
      <c r="G1022" s="1499">
        <f t="shared" si="295"/>
        <v>0</v>
      </c>
      <c r="H1022" s="1499">
        <f t="shared" si="289"/>
        <v>0</v>
      </c>
      <c r="I1022" s="1450"/>
      <c r="J1022" s="1461">
        <v>9800</v>
      </c>
      <c r="K1022" s="1457"/>
      <c r="L1022" s="1457"/>
      <c r="M1022" s="1457"/>
      <c r="N1022" s="1457"/>
      <c r="O1022" s="1457"/>
      <c r="P1022" s="1462">
        <f t="shared" si="300"/>
        <v>0</v>
      </c>
      <c r="Q1022" s="1495">
        <f t="shared" si="296"/>
        <v>0</v>
      </c>
      <c r="R1022" s="1461"/>
      <c r="S1022" s="1457"/>
      <c r="T1022" s="1457"/>
      <c r="U1022" s="1457"/>
      <c r="V1022" s="1457"/>
      <c r="W1022" s="1462"/>
      <c r="X1022" s="1496"/>
      <c r="Y1022" s="1444"/>
    </row>
    <row r="1023" spans="1:25" ht="24">
      <c r="A1023" s="1497">
        <v>4010</v>
      </c>
      <c r="B1023" s="1513" t="s">
        <v>1041</v>
      </c>
      <c r="C1023" s="1457"/>
      <c r="D1023" s="1457">
        <f t="shared" si="298"/>
        <v>56040</v>
      </c>
      <c r="E1023" s="1458">
        <v>0</v>
      </c>
      <c r="F1023" s="1459">
        <f t="shared" si="299"/>
        <v>0</v>
      </c>
      <c r="G1023" s="1499"/>
      <c r="H1023" s="1499">
        <f t="shared" si="289"/>
        <v>0</v>
      </c>
      <c r="I1023" s="1450"/>
      <c r="J1023" s="1461">
        <v>56040</v>
      </c>
      <c r="K1023" s="1457"/>
      <c r="L1023" s="1457"/>
      <c r="M1023" s="1457"/>
      <c r="N1023" s="1457"/>
      <c r="O1023" s="1457"/>
      <c r="P1023" s="1462">
        <f t="shared" si="300"/>
        <v>0</v>
      </c>
      <c r="Q1023" s="1495"/>
      <c r="R1023" s="1461"/>
      <c r="S1023" s="1457"/>
      <c r="T1023" s="1457"/>
      <c r="U1023" s="1457"/>
      <c r="V1023" s="1457"/>
      <c r="W1023" s="1462"/>
      <c r="X1023" s="1496"/>
      <c r="Y1023" s="1444"/>
    </row>
    <row r="1024" spans="1:25" ht="12.75">
      <c r="A1024" s="1497">
        <v>4110</v>
      </c>
      <c r="B1024" s="1513" t="s">
        <v>568</v>
      </c>
      <c r="C1024" s="1457"/>
      <c r="D1024" s="1457">
        <f t="shared" si="298"/>
        <v>9140</v>
      </c>
      <c r="E1024" s="1458">
        <v>0</v>
      </c>
      <c r="F1024" s="1459">
        <f t="shared" si="299"/>
        <v>0</v>
      </c>
      <c r="G1024" s="1499"/>
      <c r="H1024" s="1499">
        <f t="shared" si="289"/>
        <v>0</v>
      </c>
      <c r="I1024" s="1715"/>
      <c r="J1024" s="1461">
        <v>9140</v>
      </c>
      <c r="K1024" s="1457"/>
      <c r="L1024" s="1457"/>
      <c r="M1024" s="1457"/>
      <c r="N1024" s="1457"/>
      <c r="O1024" s="1457"/>
      <c r="P1024" s="1462">
        <f t="shared" si="300"/>
        <v>0</v>
      </c>
      <c r="Q1024" s="1495">
        <f t="shared" si="296"/>
        <v>0</v>
      </c>
      <c r="R1024" s="1461"/>
      <c r="S1024" s="1457"/>
      <c r="T1024" s="1457"/>
      <c r="U1024" s="1457"/>
      <c r="V1024" s="1457"/>
      <c r="W1024" s="1462"/>
      <c r="X1024" s="1496"/>
      <c r="Y1024" s="1444"/>
    </row>
    <row r="1025" spans="1:25" ht="12.75">
      <c r="A1025" s="1497">
        <v>4120</v>
      </c>
      <c r="B1025" s="1513" t="s">
        <v>758</v>
      </c>
      <c r="C1025" s="1457"/>
      <c r="D1025" s="1457">
        <f t="shared" si="298"/>
        <v>1250</v>
      </c>
      <c r="E1025" s="1458">
        <v>0</v>
      </c>
      <c r="F1025" s="1459">
        <f t="shared" si="299"/>
        <v>0</v>
      </c>
      <c r="G1025" s="1499"/>
      <c r="H1025" s="1499">
        <f t="shared" si="289"/>
        <v>0</v>
      </c>
      <c r="I1025" s="1715"/>
      <c r="J1025" s="1461">
        <v>1250</v>
      </c>
      <c r="K1025" s="1457"/>
      <c r="L1025" s="1457"/>
      <c r="M1025" s="1457"/>
      <c r="N1025" s="1457"/>
      <c r="O1025" s="1457"/>
      <c r="P1025" s="1462">
        <f t="shared" si="300"/>
        <v>0</v>
      </c>
      <c r="Q1025" s="1495"/>
      <c r="R1025" s="1461"/>
      <c r="S1025" s="1457"/>
      <c r="T1025" s="1457"/>
      <c r="U1025" s="1457"/>
      <c r="V1025" s="1457"/>
      <c r="W1025" s="1462"/>
      <c r="X1025" s="1496"/>
      <c r="Y1025" s="1444"/>
    </row>
    <row r="1026" spans="1:25" ht="12.75">
      <c r="A1026" s="1497">
        <v>4280</v>
      </c>
      <c r="B1026" s="1513" t="s">
        <v>723</v>
      </c>
      <c r="C1026" s="1457"/>
      <c r="D1026" s="1457">
        <f t="shared" si="298"/>
        <v>500</v>
      </c>
      <c r="E1026" s="1458">
        <v>0</v>
      </c>
      <c r="F1026" s="1459">
        <f t="shared" si="299"/>
        <v>0</v>
      </c>
      <c r="G1026" s="1499"/>
      <c r="H1026" s="1499">
        <f t="shared" si="289"/>
        <v>0</v>
      </c>
      <c r="I1026" s="1715"/>
      <c r="J1026" s="1461">
        <v>500</v>
      </c>
      <c r="K1026" s="1457"/>
      <c r="L1026" s="1457"/>
      <c r="M1026" s="1457"/>
      <c r="N1026" s="1457"/>
      <c r="O1026" s="1457"/>
      <c r="P1026" s="1462">
        <f t="shared" si="300"/>
        <v>0</v>
      </c>
      <c r="Q1026" s="1495"/>
      <c r="R1026" s="1461"/>
      <c r="S1026" s="1457"/>
      <c r="T1026" s="1457"/>
      <c r="U1026" s="1457"/>
      <c r="V1026" s="1457"/>
      <c r="W1026" s="1462"/>
      <c r="X1026" s="1496"/>
      <c r="Y1026" s="1444"/>
    </row>
    <row r="1027" spans="1:25" ht="24">
      <c r="A1027" s="1497">
        <v>4300</v>
      </c>
      <c r="B1027" s="1513" t="s">
        <v>1042</v>
      </c>
      <c r="C1027" s="1457">
        <v>8000</v>
      </c>
      <c r="D1027" s="1457">
        <f t="shared" si="298"/>
        <v>16500</v>
      </c>
      <c r="E1027" s="1458">
        <v>22000</v>
      </c>
      <c r="F1027" s="1459">
        <f t="shared" si="299"/>
        <v>22000</v>
      </c>
      <c r="G1027" s="1499">
        <f t="shared" si="295"/>
        <v>275</v>
      </c>
      <c r="H1027" s="1499">
        <f t="shared" si="289"/>
        <v>133.33333333333331</v>
      </c>
      <c r="I1027" s="1450"/>
      <c r="J1027" s="1461">
        <v>16500</v>
      </c>
      <c r="K1027" s="1457">
        <v>22000</v>
      </c>
      <c r="L1027" s="1457"/>
      <c r="M1027" s="1457"/>
      <c r="N1027" s="1457"/>
      <c r="O1027" s="1457"/>
      <c r="P1027" s="1462">
        <f t="shared" si="300"/>
        <v>22000</v>
      </c>
      <c r="Q1027" s="1495">
        <f t="shared" si="296"/>
        <v>133.33333333333331</v>
      </c>
      <c r="R1027" s="1461"/>
      <c r="S1027" s="1457"/>
      <c r="T1027" s="1457"/>
      <c r="U1027" s="1457"/>
      <c r="V1027" s="1457"/>
      <c r="W1027" s="1462"/>
      <c r="X1027" s="1496"/>
      <c r="Y1027" s="1444"/>
    </row>
    <row r="1028" spans="1:25" ht="12.75">
      <c r="A1028" s="1497">
        <v>4440</v>
      </c>
      <c r="B1028" s="1513" t="s">
        <v>1036</v>
      </c>
      <c r="C1028" s="1457"/>
      <c r="D1028" s="1457">
        <f t="shared" si="298"/>
        <v>3670</v>
      </c>
      <c r="E1028" s="1458">
        <v>0</v>
      </c>
      <c r="F1028" s="1459">
        <f t="shared" si="299"/>
        <v>0</v>
      </c>
      <c r="G1028" s="1499"/>
      <c r="H1028" s="1499">
        <f t="shared" si="289"/>
        <v>0</v>
      </c>
      <c r="I1028" s="1450"/>
      <c r="J1028" s="1461">
        <v>3670</v>
      </c>
      <c r="K1028" s="1457"/>
      <c r="L1028" s="1457"/>
      <c r="M1028" s="1457"/>
      <c r="N1028" s="1457"/>
      <c r="O1028" s="1457"/>
      <c r="P1028" s="1462">
        <f t="shared" si="300"/>
        <v>0</v>
      </c>
      <c r="Q1028" s="1495"/>
      <c r="R1028" s="1461"/>
      <c r="S1028" s="1457"/>
      <c r="T1028" s="1457"/>
      <c r="U1028" s="1457"/>
      <c r="V1028" s="1457"/>
      <c r="W1028" s="1462"/>
      <c r="X1028" s="1496"/>
      <c r="Y1028" s="1444"/>
    </row>
    <row r="1029" spans="1:25" ht="60">
      <c r="A1029" s="1497">
        <v>6050</v>
      </c>
      <c r="B1029" s="1513" t="s">
        <v>1043</v>
      </c>
      <c r="C1029" s="1457"/>
      <c r="D1029" s="1457"/>
      <c r="E1029" s="1514">
        <v>1000000</v>
      </c>
      <c r="F1029" s="1457">
        <f t="shared" si="299"/>
        <v>1000000</v>
      </c>
      <c r="G1029" s="1499"/>
      <c r="H1029" s="1499"/>
      <c r="I1029" s="1450"/>
      <c r="J1029" s="1461"/>
      <c r="K1029" s="1457"/>
      <c r="L1029" s="1457">
        <v>1000000</v>
      </c>
      <c r="M1029" s="1457"/>
      <c r="N1029" s="1457"/>
      <c r="O1029" s="1457"/>
      <c r="P1029" s="1462">
        <f t="shared" si="300"/>
        <v>1000000</v>
      </c>
      <c r="Q1029" s="1495"/>
      <c r="R1029" s="1461"/>
      <c r="S1029" s="1457"/>
      <c r="T1029" s="1457"/>
      <c r="U1029" s="1457"/>
      <c r="V1029" s="1457"/>
      <c r="W1029" s="1462"/>
      <c r="X1029" s="1496"/>
      <c r="Y1029" s="1444"/>
    </row>
    <row r="1030" spans="1:25" ht="13.5" thickBot="1">
      <c r="A1030" s="1497">
        <v>4300</v>
      </c>
      <c r="B1030" s="1513" t="s">
        <v>1044</v>
      </c>
      <c r="C1030" s="1457">
        <v>6600</v>
      </c>
      <c r="D1030" s="1457">
        <f t="shared" si="298"/>
        <v>5100</v>
      </c>
      <c r="E1030" s="1514"/>
      <c r="F1030" s="1457">
        <f t="shared" si="299"/>
        <v>0</v>
      </c>
      <c r="G1030" s="1716">
        <f t="shared" si="295"/>
        <v>0</v>
      </c>
      <c r="H1030" s="1717">
        <f t="shared" si="289"/>
        <v>0</v>
      </c>
      <c r="I1030" s="1450"/>
      <c r="J1030" s="1461">
        <v>5100</v>
      </c>
      <c r="K1030" s="1457"/>
      <c r="L1030" s="1457"/>
      <c r="M1030" s="1457"/>
      <c r="N1030" s="1457"/>
      <c r="O1030" s="1457"/>
      <c r="P1030" s="1462">
        <f t="shared" si="300"/>
        <v>0</v>
      </c>
      <c r="Q1030" s="1495">
        <f t="shared" si="296"/>
        <v>0</v>
      </c>
      <c r="R1030" s="1461"/>
      <c r="S1030" s="1457"/>
      <c r="T1030" s="1457"/>
      <c r="U1030" s="1457"/>
      <c r="V1030" s="1457"/>
      <c r="W1030" s="1462"/>
      <c r="X1030" s="1496"/>
      <c r="Y1030" s="1444"/>
    </row>
    <row r="1031" spans="1:28" s="581" customFormat="1" ht="37.5" thickBot="1" thickTop="1">
      <c r="A1031" s="1489">
        <v>853</v>
      </c>
      <c r="B1031" s="1490" t="s">
        <v>1045</v>
      </c>
      <c r="C1031" s="1434">
        <f>C1032+C1034+C1036</f>
        <v>1960665</v>
      </c>
      <c r="D1031" s="1434">
        <f>D1032+D1034+D1036</f>
        <v>1978665</v>
      </c>
      <c r="E1031" s="1590">
        <f>E1032+E1034+E1036</f>
        <v>1896422</v>
      </c>
      <c r="F1031" s="1434">
        <f>F1032+F1034+F1036</f>
        <v>1896422</v>
      </c>
      <c r="G1031" s="1437">
        <f t="shared" si="295"/>
        <v>96.72340761935364</v>
      </c>
      <c r="H1031" s="1438">
        <f t="shared" si="289"/>
        <v>95.84351064985735</v>
      </c>
      <c r="I1031" s="1439">
        <f>F1031/F$1426*100</f>
        <v>0.6916591567288287</v>
      </c>
      <c r="J1031" s="1440">
        <f aca="true" t="shared" si="301" ref="J1031:W1031">J1032+J1034+J1036</f>
        <v>1945500</v>
      </c>
      <c r="K1031" s="1434">
        <f t="shared" si="301"/>
        <v>1849000</v>
      </c>
      <c r="L1031" s="1434">
        <f t="shared" si="301"/>
        <v>0</v>
      </c>
      <c r="M1031" s="1434">
        <f t="shared" si="301"/>
        <v>0</v>
      </c>
      <c r="N1031" s="1434">
        <f t="shared" si="301"/>
        <v>0</v>
      </c>
      <c r="O1031" s="1434">
        <f t="shared" si="301"/>
        <v>0</v>
      </c>
      <c r="P1031" s="1434">
        <f t="shared" si="301"/>
        <v>1849000</v>
      </c>
      <c r="Q1031" s="1590">
        <f t="shared" si="301"/>
        <v>100.70806100217864</v>
      </c>
      <c r="R1031" s="1440">
        <f t="shared" si="301"/>
        <v>33165</v>
      </c>
      <c r="S1031" s="1434">
        <f t="shared" si="301"/>
        <v>47422</v>
      </c>
      <c r="T1031" s="1434">
        <f t="shared" si="301"/>
        <v>0</v>
      </c>
      <c r="U1031" s="1434">
        <f t="shared" si="301"/>
        <v>0</v>
      </c>
      <c r="V1031" s="1434">
        <f t="shared" si="301"/>
        <v>0</v>
      </c>
      <c r="W1031" s="1441">
        <f t="shared" si="301"/>
        <v>47422</v>
      </c>
      <c r="X1031" s="1443">
        <f aca="true" t="shared" si="302" ref="X1031:X1082">W1031/R1031*100</f>
        <v>142.9880898537615</v>
      </c>
      <c r="Y1031" s="1444"/>
      <c r="Z1031" s="1591">
        <f>Z1032+Z1036</f>
        <v>0</v>
      </c>
      <c r="AA1031" s="1591">
        <f>AA1032+AA1036</f>
        <v>29902</v>
      </c>
      <c r="AB1031" s="1671">
        <f>Z1031+AA1031</f>
        <v>29902</v>
      </c>
    </row>
    <row r="1032" spans="1:25" ht="13.5" thickTop="1">
      <c r="A1032" s="1516">
        <v>85305</v>
      </c>
      <c r="B1032" s="1550" t="s">
        <v>1046</v>
      </c>
      <c r="C1032" s="1467">
        <f>C1033</f>
        <v>1800000</v>
      </c>
      <c r="D1032" s="1467">
        <f>D1033</f>
        <v>1836000</v>
      </c>
      <c r="E1032" s="1556">
        <f>E1033</f>
        <v>1849000</v>
      </c>
      <c r="F1032" s="1467">
        <f>F1033</f>
        <v>1849000</v>
      </c>
      <c r="G1032" s="1474">
        <f t="shared" si="295"/>
        <v>102.72222222222223</v>
      </c>
      <c r="H1032" s="1475">
        <f t="shared" si="289"/>
        <v>100.70806100217864</v>
      </c>
      <c r="I1032" s="1450"/>
      <c r="J1032" s="1470">
        <f>J1033</f>
        <v>1836000</v>
      </c>
      <c r="K1032" s="1467">
        <f>K1033</f>
        <v>1849000</v>
      </c>
      <c r="L1032" s="1467">
        <f>L1033</f>
        <v>0</v>
      </c>
      <c r="M1032" s="1467">
        <f>M1033</f>
        <v>0</v>
      </c>
      <c r="N1032" s="1467">
        <f>N1033</f>
        <v>0</v>
      </c>
      <c r="O1032" s="1467"/>
      <c r="P1032" s="1471">
        <f>P1033</f>
        <v>1849000</v>
      </c>
      <c r="Q1032" s="1453">
        <f t="shared" si="296"/>
        <v>100.70806100217864</v>
      </c>
      <c r="R1032" s="1467"/>
      <c r="S1032" s="1467"/>
      <c r="T1032" s="1467"/>
      <c r="U1032" s="1467"/>
      <c r="V1032" s="1467"/>
      <c r="W1032" s="1471"/>
      <c r="X1032" s="1454"/>
      <c r="Y1032" s="1444"/>
    </row>
    <row r="1033" spans="1:25" ht="24">
      <c r="A1033" s="1497">
        <v>2510</v>
      </c>
      <c r="B1033" s="1513" t="s">
        <v>739</v>
      </c>
      <c r="C1033" s="1457">
        <v>1800000</v>
      </c>
      <c r="D1033" s="1457">
        <f>J1033+R1033</f>
        <v>1836000</v>
      </c>
      <c r="E1033" s="1514">
        <v>1849000</v>
      </c>
      <c r="F1033" s="1457">
        <f>P1033+W1033</f>
        <v>1849000</v>
      </c>
      <c r="G1033" s="1499">
        <f t="shared" si="295"/>
        <v>102.72222222222223</v>
      </c>
      <c r="H1033" s="1499">
        <f t="shared" si="289"/>
        <v>100.70806100217864</v>
      </c>
      <c r="I1033" s="1450"/>
      <c r="J1033" s="1461">
        <v>1836000</v>
      </c>
      <c r="K1033" s="1457">
        <v>1849000</v>
      </c>
      <c r="L1033" s="1457"/>
      <c r="M1033" s="1457"/>
      <c r="N1033" s="1457"/>
      <c r="O1033" s="1457"/>
      <c r="P1033" s="1462">
        <f>SUM(K1033:N1033)</f>
        <v>1849000</v>
      </c>
      <c r="Q1033" s="1495">
        <f t="shared" si="296"/>
        <v>100.70806100217864</v>
      </c>
      <c r="R1033" s="1461"/>
      <c r="S1033" s="1457"/>
      <c r="T1033" s="1457"/>
      <c r="U1033" s="1457"/>
      <c r="V1033" s="1457"/>
      <c r="W1033" s="1462"/>
      <c r="X1033" s="1496"/>
      <c r="Y1033" s="1444"/>
    </row>
    <row r="1034" spans="1:25" s="581" customFormat="1" ht="24">
      <c r="A1034" s="1516">
        <v>85311</v>
      </c>
      <c r="B1034" s="1550" t="s">
        <v>1047</v>
      </c>
      <c r="C1034" s="1467">
        <f>C1035</f>
        <v>127500</v>
      </c>
      <c r="D1034" s="1467">
        <f>J1034+R1034</f>
        <v>109500</v>
      </c>
      <c r="E1034" s="1468">
        <f>E1035</f>
        <v>0</v>
      </c>
      <c r="F1034" s="1469">
        <f>F1035</f>
        <v>0</v>
      </c>
      <c r="G1034" s="1499">
        <f t="shared" si="295"/>
        <v>0</v>
      </c>
      <c r="H1034" s="1499">
        <f t="shared" si="289"/>
        <v>0</v>
      </c>
      <c r="I1034" s="1450"/>
      <c r="J1034" s="1470">
        <f>SUM(J1035)</f>
        <v>109500</v>
      </c>
      <c r="K1034" s="1467">
        <f>K1035</f>
        <v>0</v>
      </c>
      <c r="L1034" s="1467"/>
      <c r="M1034" s="1467"/>
      <c r="N1034" s="1467"/>
      <c r="O1034" s="1467"/>
      <c r="P1034" s="1471">
        <f>SUM(K1034:N1034)</f>
        <v>0</v>
      </c>
      <c r="Q1034" s="1453"/>
      <c r="R1034" s="1470"/>
      <c r="S1034" s="1467"/>
      <c r="T1034" s="1467"/>
      <c r="U1034" s="1467"/>
      <c r="V1034" s="1467"/>
      <c r="W1034" s="1471"/>
      <c r="X1034" s="1454"/>
      <c r="Y1034" s="1444"/>
    </row>
    <row r="1035" spans="1:25" ht="24">
      <c r="A1035" s="1497">
        <v>4300</v>
      </c>
      <c r="B1035" s="1513" t="s">
        <v>1048</v>
      </c>
      <c r="C1035" s="1457">
        <v>127500</v>
      </c>
      <c r="D1035" s="1457">
        <f>J1035+R1035</f>
        <v>109500</v>
      </c>
      <c r="E1035" s="1458"/>
      <c r="F1035" s="1459">
        <f>P1035+W1035</f>
        <v>0</v>
      </c>
      <c r="G1035" s="1499">
        <f t="shared" si="295"/>
        <v>0</v>
      </c>
      <c r="H1035" s="1499">
        <f t="shared" si="289"/>
        <v>0</v>
      </c>
      <c r="I1035" s="1450"/>
      <c r="J1035" s="1461">
        <v>109500</v>
      </c>
      <c r="K1035" s="1457"/>
      <c r="L1035" s="1457"/>
      <c r="M1035" s="1457"/>
      <c r="N1035" s="1457"/>
      <c r="O1035" s="1457"/>
      <c r="P1035" s="1462">
        <f>SUM(K1035:N1035)</f>
        <v>0</v>
      </c>
      <c r="Q1035" s="1495"/>
      <c r="R1035" s="1461"/>
      <c r="S1035" s="1457"/>
      <c r="T1035" s="1457"/>
      <c r="U1035" s="1457"/>
      <c r="V1035" s="1457"/>
      <c r="W1035" s="1462"/>
      <c r="X1035" s="1496"/>
      <c r="Y1035" s="1444"/>
    </row>
    <row r="1036" spans="1:27" ht="24">
      <c r="A1036" s="1516">
        <v>85321</v>
      </c>
      <c r="B1036" s="1550" t="s">
        <v>1049</v>
      </c>
      <c r="C1036" s="1467">
        <f>SUM(C1037:C1046)</f>
        <v>33165</v>
      </c>
      <c r="D1036" s="1467">
        <f>SUM(D1037:D1046)</f>
        <v>33165</v>
      </c>
      <c r="E1036" s="1468">
        <f>SUM(E1037:E1046)</f>
        <v>47422</v>
      </c>
      <c r="F1036" s="1469">
        <f>SUM(F1037:F1046)</f>
        <v>47422</v>
      </c>
      <c r="G1036" s="1531">
        <f t="shared" si="295"/>
        <v>142.9880898537615</v>
      </c>
      <c r="H1036" s="1532">
        <f t="shared" si="289"/>
        <v>142.9880898537615</v>
      </c>
      <c r="I1036" s="1450"/>
      <c r="J1036" s="1470"/>
      <c r="K1036" s="1467"/>
      <c r="L1036" s="1467"/>
      <c r="M1036" s="1467"/>
      <c r="N1036" s="1467"/>
      <c r="O1036" s="1467"/>
      <c r="P1036" s="1471"/>
      <c r="Q1036" s="1453"/>
      <c r="R1036" s="1470">
        <f aca="true" t="shared" si="303" ref="R1036:W1036">SUM(R1037:R1046)</f>
        <v>33165</v>
      </c>
      <c r="S1036" s="1467">
        <f t="shared" si="303"/>
        <v>47422</v>
      </c>
      <c r="T1036" s="1467">
        <f t="shared" si="303"/>
        <v>0</v>
      </c>
      <c r="U1036" s="1467">
        <f t="shared" si="303"/>
        <v>0</v>
      </c>
      <c r="V1036" s="1467">
        <f t="shared" si="303"/>
        <v>0</v>
      </c>
      <c r="W1036" s="1471">
        <f t="shared" si="303"/>
        <v>47422</v>
      </c>
      <c r="X1036" s="1454">
        <f t="shared" si="302"/>
        <v>142.9880898537615</v>
      </c>
      <c r="Y1036" s="1444"/>
      <c r="AA1036" s="1673">
        <f>SUM(S1037:S1040)</f>
        <v>29902</v>
      </c>
    </row>
    <row r="1037" spans="1:25" ht="24">
      <c r="A1037" s="1497">
        <v>4010</v>
      </c>
      <c r="B1037" s="1513" t="s">
        <v>626</v>
      </c>
      <c r="C1037" s="1457">
        <v>2291</v>
      </c>
      <c r="D1037" s="1457">
        <f>J1037+R1037</f>
        <v>5291</v>
      </c>
      <c r="E1037" s="1458">
        <v>11812</v>
      </c>
      <c r="F1037" s="1459">
        <f>P1037+W1037</f>
        <v>11812</v>
      </c>
      <c r="G1037" s="1499">
        <f t="shared" si="295"/>
        <v>515.5827149716282</v>
      </c>
      <c r="H1037" s="1499">
        <f t="shared" si="289"/>
        <v>223.24702324702326</v>
      </c>
      <c r="I1037" s="1450"/>
      <c r="J1037" s="1461"/>
      <c r="K1037" s="1457"/>
      <c r="L1037" s="1457"/>
      <c r="M1037" s="1457"/>
      <c r="N1037" s="1457"/>
      <c r="O1037" s="1457"/>
      <c r="P1037" s="1462"/>
      <c r="Q1037" s="1495"/>
      <c r="R1037" s="1461">
        <v>5291</v>
      </c>
      <c r="S1037" s="1457">
        <v>11812</v>
      </c>
      <c r="T1037" s="1457"/>
      <c r="U1037" s="1457"/>
      <c r="V1037" s="1457"/>
      <c r="W1037" s="1462">
        <f>SUM(S1037:V1037)</f>
        <v>11812</v>
      </c>
      <c r="X1037" s="1496">
        <f t="shared" si="302"/>
        <v>223.24702324702326</v>
      </c>
      <c r="Y1037" s="1444"/>
    </row>
    <row r="1038" spans="1:25" ht="12.75">
      <c r="A1038" s="1497">
        <v>4040</v>
      </c>
      <c r="B1038" s="1513" t="s">
        <v>630</v>
      </c>
      <c r="C1038" s="1457">
        <v>6214</v>
      </c>
      <c r="D1038" s="1457">
        <f aca="true" t="shared" si="304" ref="D1038:D1046">J1038+R1038</f>
        <v>6029</v>
      </c>
      <c r="E1038" s="1458">
        <v>6500</v>
      </c>
      <c r="F1038" s="1459">
        <f aca="true" t="shared" si="305" ref="F1038:F1046">P1038+W1038</f>
        <v>6500</v>
      </c>
      <c r="G1038" s="1499">
        <f t="shared" si="295"/>
        <v>104.60251046025104</v>
      </c>
      <c r="H1038" s="1499">
        <f t="shared" si="289"/>
        <v>107.81224083595953</v>
      </c>
      <c r="I1038" s="1450"/>
      <c r="J1038" s="1461"/>
      <c r="K1038" s="1457"/>
      <c r="L1038" s="1457"/>
      <c r="M1038" s="1457"/>
      <c r="N1038" s="1457"/>
      <c r="O1038" s="1457"/>
      <c r="P1038" s="1462"/>
      <c r="Q1038" s="1495"/>
      <c r="R1038" s="1461">
        <v>6029</v>
      </c>
      <c r="S1038" s="1457">
        <v>6500</v>
      </c>
      <c r="T1038" s="1457"/>
      <c r="U1038" s="1457"/>
      <c r="V1038" s="1457"/>
      <c r="W1038" s="1462">
        <f aca="true" t="shared" si="306" ref="W1038:W1046">SUM(S1038:V1038)</f>
        <v>6500</v>
      </c>
      <c r="X1038" s="1496">
        <f t="shared" si="302"/>
        <v>107.81224083595953</v>
      </c>
      <c r="Y1038" s="1444"/>
    </row>
    <row r="1039" spans="1:25" ht="12.75">
      <c r="A1039" s="1497">
        <v>4110</v>
      </c>
      <c r="B1039" s="1513" t="s">
        <v>568</v>
      </c>
      <c r="C1039" s="1457">
        <v>8954</v>
      </c>
      <c r="D1039" s="1457">
        <f t="shared" si="304"/>
        <v>8954</v>
      </c>
      <c r="E1039" s="1458">
        <v>11030</v>
      </c>
      <c r="F1039" s="1459">
        <f t="shared" si="305"/>
        <v>11030</v>
      </c>
      <c r="G1039" s="1499">
        <f t="shared" si="295"/>
        <v>123.18516863971409</v>
      </c>
      <c r="H1039" s="1499">
        <f t="shared" si="289"/>
        <v>123.18516863971409</v>
      </c>
      <c r="I1039" s="1450"/>
      <c r="J1039" s="1461"/>
      <c r="K1039" s="1457"/>
      <c r="L1039" s="1457"/>
      <c r="M1039" s="1457"/>
      <c r="N1039" s="1457"/>
      <c r="O1039" s="1457"/>
      <c r="P1039" s="1462"/>
      <c r="Q1039" s="1495"/>
      <c r="R1039" s="1461">
        <v>8954</v>
      </c>
      <c r="S1039" s="1457">
        <v>11030</v>
      </c>
      <c r="T1039" s="1457"/>
      <c r="U1039" s="1457"/>
      <c r="V1039" s="1457"/>
      <c r="W1039" s="1462">
        <f t="shared" si="306"/>
        <v>11030</v>
      </c>
      <c r="X1039" s="1496">
        <f t="shared" si="302"/>
        <v>123.18516863971409</v>
      </c>
      <c r="Y1039" s="1444"/>
    </row>
    <row r="1040" spans="1:25" ht="12.75">
      <c r="A1040" s="1497">
        <v>4120</v>
      </c>
      <c r="B1040" s="1513" t="s">
        <v>763</v>
      </c>
      <c r="C1040" s="1457">
        <v>206</v>
      </c>
      <c r="D1040" s="1457">
        <f t="shared" si="304"/>
        <v>206</v>
      </c>
      <c r="E1040" s="1458">
        <v>560</v>
      </c>
      <c r="F1040" s="1459">
        <f t="shared" si="305"/>
        <v>560</v>
      </c>
      <c r="G1040" s="1499">
        <f t="shared" si="295"/>
        <v>271.84466019417476</v>
      </c>
      <c r="H1040" s="1499">
        <f t="shared" si="289"/>
        <v>271.84466019417476</v>
      </c>
      <c r="I1040" s="1450"/>
      <c r="J1040" s="1461"/>
      <c r="K1040" s="1457"/>
      <c r="L1040" s="1457"/>
      <c r="M1040" s="1457"/>
      <c r="N1040" s="1457"/>
      <c r="O1040" s="1457"/>
      <c r="P1040" s="1462"/>
      <c r="Q1040" s="1495"/>
      <c r="R1040" s="1461">
        <v>206</v>
      </c>
      <c r="S1040" s="1457">
        <v>560</v>
      </c>
      <c r="T1040" s="1457"/>
      <c r="U1040" s="1457"/>
      <c r="V1040" s="1457"/>
      <c r="W1040" s="1462">
        <f t="shared" si="306"/>
        <v>560</v>
      </c>
      <c r="X1040" s="1496">
        <f t="shared" si="302"/>
        <v>271.84466019417476</v>
      </c>
      <c r="Y1040" s="1444"/>
    </row>
    <row r="1041" spans="1:25" ht="12.75">
      <c r="A1041" s="1497">
        <v>4210</v>
      </c>
      <c r="B1041" s="1513" t="s">
        <v>574</v>
      </c>
      <c r="C1041" s="1457">
        <v>5200</v>
      </c>
      <c r="D1041" s="1457">
        <f t="shared" si="304"/>
        <v>2385</v>
      </c>
      <c r="E1041" s="1458">
        <v>2000</v>
      </c>
      <c r="F1041" s="1459">
        <f t="shared" si="305"/>
        <v>2000</v>
      </c>
      <c r="G1041" s="1499">
        <f t="shared" si="295"/>
        <v>38.46153846153847</v>
      </c>
      <c r="H1041" s="1499">
        <f t="shared" si="289"/>
        <v>83.85744234800838</v>
      </c>
      <c r="I1041" s="1450"/>
      <c r="J1041" s="1461"/>
      <c r="K1041" s="1457"/>
      <c r="L1041" s="1457"/>
      <c r="M1041" s="1457"/>
      <c r="N1041" s="1457"/>
      <c r="O1041" s="1457"/>
      <c r="P1041" s="1462"/>
      <c r="Q1041" s="1495"/>
      <c r="R1041" s="1461">
        <v>2385</v>
      </c>
      <c r="S1041" s="1457">
        <v>2000</v>
      </c>
      <c r="T1041" s="1457"/>
      <c r="U1041" s="1457"/>
      <c r="V1041" s="1457"/>
      <c r="W1041" s="1462">
        <f t="shared" si="306"/>
        <v>2000</v>
      </c>
      <c r="X1041" s="1496">
        <f t="shared" si="302"/>
        <v>83.85744234800838</v>
      </c>
      <c r="Y1041" s="1444"/>
    </row>
    <row r="1042" spans="1:25" ht="12.75">
      <c r="A1042" s="1497">
        <v>4300</v>
      </c>
      <c r="B1042" s="1513" t="s">
        <v>564</v>
      </c>
      <c r="C1042" s="1457">
        <v>3020</v>
      </c>
      <c r="D1042" s="1457">
        <f t="shared" si="304"/>
        <v>3020</v>
      </c>
      <c r="E1042" s="1458">
        <v>9710</v>
      </c>
      <c r="F1042" s="1459">
        <f t="shared" si="305"/>
        <v>9710</v>
      </c>
      <c r="G1042" s="1499">
        <f t="shared" si="295"/>
        <v>321.52317880794703</v>
      </c>
      <c r="H1042" s="1499">
        <f t="shared" si="289"/>
        <v>321.52317880794703</v>
      </c>
      <c r="I1042" s="1450"/>
      <c r="J1042" s="1461"/>
      <c r="K1042" s="1457"/>
      <c r="L1042" s="1457"/>
      <c r="M1042" s="1457"/>
      <c r="N1042" s="1457"/>
      <c r="O1042" s="1457"/>
      <c r="P1042" s="1462"/>
      <c r="Q1042" s="1495"/>
      <c r="R1042" s="1461">
        <v>3020</v>
      </c>
      <c r="S1042" s="1457">
        <v>9710</v>
      </c>
      <c r="T1042" s="1457"/>
      <c r="U1042" s="1457"/>
      <c r="V1042" s="1457"/>
      <c r="W1042" s="1462">
        <f t="shared" si="306"/>
        <v>9710</v>
      </c>
      <c r="X1042" s="1496">
        <f t="shared" si="302"/>
        <v>321.52317880794703</v>
      </c>
      <c r="Y1042" s="1444"/>
    </row>
    <row r="1043" spans="1:25" ht="12.75">
      <c r="A1043" s="1497">
        <v>4170</v>
      </c>
      <c r="B1043" s="1513" t="s">
        <v>572</v>
      </c>
      <c r="C1043" s="1457"/>
      <c r="D1043" s="1457">
        <f t="shared" si="304"/>
        <v>0</v>
      </c>
      <c r="E1043" s="1458">
        <v>3200</v>
      </c>
      <c r="F1043" s="1459">
        <f t="shared" si="305"/>
        <v>3200</v>
      </c>
      <c r="G1043" s="1499"/>
      <c r="H1043" s="1499"/>
      <c r="I1043" s="1450"/>
      <c r="J1043" s="1461"/>
      <c r="K1043" s="1457"/>
      <c r="L1043" s="1457"/>
      <c r="M1043" s="1457"/>
      <c r="N1043" s="1457"/>
      <c r="O1043" s="1457"/>
      <c r="P1043" s="1462"/>
      <c r="Q1043" s="1495"/>
      <c r="R1043" s="1461"/>
      <c r="S1043" s="1457">
        <v>3200</v>
      </c>
      <c r="T1043" s="1457"/>
      <c r="U1043" s="1457"/>
      <c r="V1043" s="1457"/>
      <c r="W1043" s="1462">
        <f t="shared" si="306"/>
        <v>3200</v>
      </c>
      <c r="X1043" s="1496" t="e">
        <f t="shared" si="302"/>
        <v>#DIV/0!</v>
      </c>
      <c r="Y1043" s="1444"/>
    </row>
    <row r="1044" spans="1:25" ht="12.75">
      <c r="A1044" s="1497">
        <v>4410</v>
      </c>
      <c r="B1044" s="1513" t="s">
        <v>618</v>
      </c>
      <c r="C1044" s="1457">
        <v>360</v>
      </c>
      <c r="D1044" s="1457">
        <f t="shared" si="304"/>
        <v>360</v>
      </c>
      <c r="E1044" s="1458">
        <v>360</v>
      </c>
      <c r="F1044" s="1459">
        <f t="shared" si="305"/>
        <v>360</v>
      </c>
      <c r="G1044" s="1499">
        <f t="shared" si="295"/>
        <v>100</v>
      </c>
      <c r="H1044" s="1499">
        <f t="shared" si="289"/>
        <v>100</v>
      </c>
      <c r="I1044" s="1450"/>
      <c r="J1044" s="1461"/>
      <c r="K1044" s="1457"/>
      <c r="L1044" s="1457"/>
      <c r="M1044" s="1457"/>
      <c r="N1044" s="1457"/>
      <c r="O1044" s="1457"/>
      <c r="P1044" s="1462"/>
      <c r="Q1044" s="1495"/>
      <c r="R1044" s="1461">
        <v>360</v>
      </c>
      <c r="S1044" s="1457">
        <v>360</v>
      </c>
      <c r="T1044" s="1457"/>
      <c r="U1044" s="1457"/>
      <c r="V1044" s="1457"/>
      <c r="W1044" s="1462">
        <f t="shared" si="306"/>
        <v>360</v>
      </c>
      <c r="X1044" s="1496">
        <f t="shared" si="302"/>
        <v>100</v>
      </c>
      <c r="Y1044" s="1444"/>
    </row>
    <row r="1045" spans="1:25" ht="12.75">
      <c r="A1045" s="1497">
        <v>4440</v>
      </c>
      <c r="B1045" s="1513" t="s">
        <v>1036</v>
      </c>
      <c r="C1045" s="1457">
        <v>1920</v>
      </c>
      <c r="D1045" s="1457">
        <f t="shared" si="304"/>
        <v>1920</v>
      </c>
      <c r="E1045" s="1458">
        <v>2250</v>
      </c>
      <c r="F1045" s="1459">
        <f t="shared" si="305"/>
        <v>2250</v>
      </c>
      <c r="G1045" s="1499">
        <f t="shared" si="295"/>
        <v>117.1875</v>
      </c>
      <c r="H1045" s="1499">
        <f t="shared" si="289"/>
        <v>117.1875</v>
      </c>
      <c r="I1045" s="1450"/>
      <c r="J1045" s="1461"/>
      <c r="K1045" s="1457"/>
      <c r="L1045" s="1457"/>
      <c r="M1045" s="1457"/>
      <c r="N1045" s="1457"/>
      <c r="O1045" s="1457"/>
      <c r="P1045" s="1462"/>
      <c r="Q1045" s="1495"/>
      <c r="R1045" s="1461">
        <v>1920</v>
      </c>
      <c r="S1045" s="1457">
        <v>2250</v>
      </c>
      <c r="T1045" s="1457"/>
      <c r="U1045" s="1457"/>
      <c r="V1045" s="1457"/>
      <c r="W1045" s="1462">
        <f t="shared" si="306"/>
        <v>2250</v>
      </c>
      <c r="X1045" s="1496">
        <f t="shared" si="302"/>
        <v>117.1875</v>
      </c>
      <c r="Y1045" s="1444"/>
    </row>
    <row r="1046" spans="1:25" ht="24.75" thickBot="1">
      <c r="A1046" s="1645">
        <v>6060</v>
      </c>
      <c r="B1046" s="1718" t="s">
        <v>870</v>
      </c>
      <c r="C1046" s="1664">
        <v>5000</v>
      </c>
      <c r="D1046" s="1457">
        <f t="shared" si="304"/>
        <v>5000</v>
      </c>
      <c r="E1046" s="1665">
        <v>0</v>
      </c>
      <c r="F1046" s="1459">
        <f t="shared" si="305"/>
        <v>0</v>
      </c>
      <c r="G1046" s="1716">
        <f t="shared" si="295"/>
        <v>0</v>
      </c>
      <c r="H1046" s="1717">
        <f t="shared" si="289"/>
        <v>0</v>
      </c>
      <c r="I1046" s="1486"/>
      <c r="J1046" s="1667"/>
      <c r="K1046" s="1664"/>
      <c r="L1046" s="1664"/>
      <c r="M1046" s="1664"/>
      <c r="N1046" s="1664"/>
      <c r="O1046" s="1664"/>
      <c r="P1046" s="1668"/>
      <c r="Q1046" s="1662"/>
      <c r="R1046" s="1667">
        <v>5000</v>
      </c>
      <c r="S1046" s="1664"/>
      <c r="T1046" s="1664"/>
      <c r="U1046" s="1664"/>
      <c r="V1046" s="1664"/>
      <c r="W1046" s="1462">
        <f t="shared" si="306"/>
        <v>0</v>
      </c>
      <c r="X1046" s="1488">
        <f t="shared" si="302"/>
        <v>0</v>
      </c>
      <c r="Y1046" s="1444"/>
    </row>
    <row r="1047" spans="1:28" s="581" customFormat="1" ht="25.5" thickBot="1" thickTop="1">
      <c r="A1047" s="1719">
        <v>854</v>
      </c>
      <c r="B1047" s="1490" t="s">
        <v>232</v>
      </c>
      <c r="C1047" s="1434">
        <f>C1048+C1063+C1099+C1116+C1135+C1154+C1162+C1170+C1184+C1189</f>
        <v>8683160</v>
      </c>
      <c r="D1047" s="1434">
        <f>D1048+D1063+D1099+D1116+D1135+D1154+D1162+D1170+D1184+D1189</f>
        <v>9062811</v>
      </c>
      <c r="E1047" s="1435">
        <f>E1048+E1063+E1099+E1116+E1135+E1154+E1162+E1170+E1184+E1189</f>
        <v>9596400</v>
      </c>
      <c r="F1047" s="1436">
        <f>F1048+F1063+F1099+F1116+F1135+F1154+F1162+F1170+F1184+F1189</f>
        <v>8477600</v>
      </c>
      <c r="G1047" s="1437">
        <f t="shared" si="295"/>
        <v>97.63265907803151</v>
      </c>
      <c r="H1047" s="1438">
        <f t="shared" si="289"/>
        <v>93.54272090635014</v>
      </c>
      <c r="I1047" s="1439">
        <f>F1047/F$1426*100</f>
        <v>3.0919329490399914</v>
      </c>
      <c r="J1047" s="1440">
        <f>J1048+J1063+J1099+J1116+J1135+J1154+J1162+J1170+J1189</f>
        <v>1801116</v>
      </c>
      <c r="K1047" s="1434">
        <f>K1048+K1063+K1099+K1116+K1135+K1154+K1162+K1170+K1189</f>
        <v>1451700</v>
      </c>
      <c r="L1047" s="1434">
        <f>L1048+L1063+L1099+L1116+L1135+L1154+L1162+L1170+L1189</f>
        <v>0</v>
      </c>
      <c r="M1047" s="1434">
        <f>M1048+M1063+M1099+M1116+M1135+M1154+M1162+M1170+M1189</f>
        <v>0</v>
      </c>
      <c r="N1047" s="1434">
        <f>N1048+N1063+N1099+N1116+N1135+N1154+N1162+N1170+N1189</f>
        <v>0</v>
      </c>
      <c r="O1047" s="1434"/>
      <c r="P1047" s="1441">
        <f>P1048+P1063+P1099+P1116+P1135+P1154+P1162+P1170+P1189</f>
        <v>1451700</v>
      </c>
      <c r="Q1047" s="1442">
        <f>P1047/J1047*100</f>
        <v>80.60002798265076</v>
      </c>
      <c r="R1047" s="1440">
        <f aca="true" t="shared" si="307" ref="R1047:W1047">R1048+R1063+R1099+R1116+R1135+R1154+R1162+R1170+R1184+R1189</f>
        <v>7261695</v>
      </c>
      <c r="S1047" s="1434">
        <f t="shared" si="307"/>
        <v>6806600</v>
      </c>
      <c r="T1047" s="1434">
        <f t="shared" si="307"/>
        <v>195000</v>
      </c>
      <c r="U1047" s="1434">
        <f t="shared" si="307"/>
        <v>0</v>
      </c>
      <c r="V1047" s="1434">
        <f t="shared" si="307"/>
        <v>24300</v>
      </c>
      <c r="W1047" s="1441">
        <f t="shared" si="307"/>
        <v>7025900</v>
      </c>
      <c r="X1047" s="1443">
        <f t="shared" si="302"/>
        <v>96.75289309176439</v>
      </c>
      <c r="Y1047" s="1444"/>
      <c r="Z1047" s="1504" t="e">
        <f>Z1048+Z1063+Z1099+Z1116+Z1135+Z1162+Z1170+Z1184+Z1189</f>
        <v>#REF!</v>
      </c>
      <c r="AA1047" s="1504">
        <f>AA1048+AA1063+AA1099+AA1116+AA1135+AA1162+AA1170+AA1184+AA1189</f>
        <v>4765600</v>
      </c>
      <c r="AB1047" s="1505" t="e">
        <f>Z1047+AA1047</f>
        <v>#REF!</v>
      </c>
    </row>
    <row r="1048" spans="1:28" s="581" customFormat="1" ht="13.5" thickTop="1">
      <c r="A1048" s="1493">
        <v>85401</v>
      </c>
      <c r="B1048" s="1506" t="s">
        <v>1050</v>
      </c>
      <c r="C1048" s="1447">
        <f>SUM(C1049:C1062)</f>
        <v>1117800</v>
      </c>
      <c r="D1048" s="1447">
        <f aca="true" t="shared" si="308" ref="D1048:W1048">SUM(D1049:D1062)</f>
        <v>1123892</v>
      </c>
      <c r="E1048" s="1448">
        <f t="shared" si="308"/>
        <v>1237200</v>
      </c>
      <c r="F1048" s="1449">
        <f t="shared" si="308"/>
        <v>1221800</v>
      </c>
      <c r="G1048" s="1474">
        <f t="shared" si="295"/>
        <v>109.30398998031848</v>
      </c>
      <c r="H1048" s="1475">
        <f t="shared" si="289"/>
        <v>108.71151320589523</v>
      </c>
      <c r="I1048" s="1450"/>
      <c r="J1048" s="1451">
        <f t="shared" si="308"/>
        <v>982392</v>
      </c>
      <c r="K1048" s="1447">
        <f t="shared" si="308"/>
        <v>1077100</v>
      </c>
      <c r="L1048" s="1447">
        <f t="shared" si="308"/>
        <v>0</v>
      </c>
      <c r="M1048" s="1447">
        <f t="shared" si="308"/>
        <v>0</v>
      </c>
      <c r="N1048" s="1447">
        <f t="shared" si="308"/>
        <v>0</v>
      </c>
      <c r="O1048" s="1447"/>
      <c r="P1048" s="1452">
        <f t="shared" si="308"/>
        <v>1077100</v>
      </c>
      <c r="Q1048" s="1453">
        <f>P1048/J1048*100</f>
        <v>109.64055081881774</v>
      </c>
      <c r="R1048" s="1451">
        <f t="shared" si="308"/>
        <v>141500</v>
      </c>
      <c r="S1048" s="1447">
        <f t="shared" si="308"/>
        <v>144400</v>
      </c>
      <c r="T1048" s="1447">
        <f t="shared" si="308"/>
        <v>0</v>
      </c>
      <c r="U1048" s="1447">
        <f t="shared" si="308"/>
        <v>0</v>
      </c>
      <c r="V1048" s="1447">
        <f t="shared" si="308"/>
        <v>300</v>
      </c>
      <c r="W1048" s="1452">
        <f t="shared" si="308"/>
        <v>144700</v>
      </c>
      <c r="X1048" s="1454">
        <f t="shared" si="302"/>
        <v>102.26148409893993</v>
      </c>
      <c r="Y1048" s="1444"/>
      <c r="Z1048" s="1444">
        <f>SUM(K1049:K1051)+SUM(K1058:K1059)</f>
        <v>1021200</v>
      </c>
      <c r="AA1048" s="1444">
        <f>SUM(S1049:S1051)+SUM(S1058:S1059)</f>
        <v>132300</v>
      </c>
      <c r="AB1048" s="1505">
        <f>Z1048+AA1048</f>
        <v>1153500</v>
      </c>
    </row>
    <row r="1049" spans="1:25" ht="24">
      <c r="A1049" s="1497">
        <v>3020</v>
      </c>
      <c r="B1049" s="1513" t="s">
        <v>717</v>
      </c>
      <c r="C1049" s="1457">
        <v>3500</v>
      </c>
      <c r="D1049" s="1457">
        <f>J1049+R1049</f>
        <v>3300</v>
      </c>
      <c r="E1049" s="1458">
        <f>200+3700</f>
        <v>3900</v>
      </c>
      <c r="F1049" s="1459">
        <f>P1049+W1049</f>
        <v>3300</v>
      </c>
      <c r="G1049" s="1499">
        <f t="shared" si="295"/>
        <v>94.28571428571428</v>
      </c>
      <c r="H1049" s="1499">
        <f t="shared" si="289"/>
        <v>100</v>
      </c>
      <c r="I1049" s="1450"/>
      <c r="J1049" s="1461">
        <v>3100</v>
      </c>
      <c r="K1049" s="1457">
        <v>3100</v>
      </c>
      <c r="L1049" s="1457"/>
      <c r="M1049" s="1457"/>
      <c r="N1049" s="1457"/>
      <c r="O1049" s="1457"/>
      <c r="P1049" s="1462">
        <f>SUM(K1049:N1049)</f>
        <v>3100</v>
      </c>
      <c r="Q1049" s="1495">
        <f>P1049/J1049*100</f>
        <v>100</v>
      </c>
      <c r="R1049" s="1461">
        <v>200</v>
      </c>
      <c r="S1049" s="1457">
        <v>200</v>
      </c>
      <c r="T1049" s="1457"/>
      <c r="U1049" s="1457"/>
      <c r="V1049" s="1457"/>
      <c r="W1049" s="1462">
        <f>SUM(S1049:V1049)</f>
        <v>200</v>
      </c>
      <c r="X1049" s="1496">
        <f t="shared" si="302"/>
        <v>100</v>
      </c>
      <c r="Y1049" s="1444"/>
    </row>
    <row r="1050" spans="1:25" ht="24">
      <c r="A1050" s="1497">
        <v>4010</v>
      </c>
      <c r="B1050" s="1513" t="s">
        <v>626</v>
      </c>
      <c r="C1050" s="1457">
        <v>804500</v>
      </c>
      <c r="D1050" s="1457">
        <f aca="true" t="shared" si="309" ref="D1050:D1062">J1050+R1050</f>
        <v>822475</v>
      </c>
      <c r="E1050" s="1458">
        <f>110000+785900</f>
        <v>895900</v>
      </c>
      <c r="F1050" s="1459">
        <f aca="true" t="shared" si="310" ref="F1050:F1062">P1050+W1050</f>
        <v>887500</v>
      </c>
      <c r="G1050" s="1499">
        <f t="shared" si="295"/>
        <v>110.31696706028589</v>
      </c>
      <c r="H1050" s="1499">
        <f t="shared" si="289"/>
        <v>107.9060153804067</v>
      </c>
      <c r="I1050" s="1450"/>
      <c r="J1050" s="1461">
        <v>722775</v>
      </c>
      <c r="K1050" s="1457">
        <v>785900</v>
      </c>
      <c r="L1050" s="1457"/>
      <c r="M1050" s="1457"/>
      <c r="N1050" s="1457"/>
      <c r="O1050" s="1457"/>
      <c r="P1050" s="1462">
        <f aca="true" t="shared" si="311" ref="P1050:P1062">SUM(K1050:N1050)</f>
        <v>785900</v>
      </c>
      <c r="Q1050" s="1495"/>
      <c r="R1050" s="1461">
        <v>99700</v>
      </c>
      <c r="S1050" s="1457">
        <v>101600</v>
      </c>
      <c r="T1050" s="1457"/>
      <c r="U1050" s="1457"/>
      <c r="V1050" s="1457"/>
      <c r="W1050" s="1462">
        <f aca="true" t="shared" si="312" ref="W1050:W1062">SUM(S1050:V1050)</f>
        <v>101600</v>
      </c>
      <c r="X1050" s="1496"/>
      <c r="Y1050" s="1444"/>
    </row>
    <row r="1051" spans="1:25" ht="12.75">
      <c r="A1051" s="1497">
        <v>4040</v>
      </c>
      <c r="B1051" s="1513" t="s">
        <v>719</v>
      </c>
      <c r="C1051" s="1457">
        <v>65800</v>
      </c>
      <c r="D1051" s="1457">
        <f t="shared" si="309"/>
        <v>61107</v>
      </c>
      <c r="E1051" s="1458">
        <f>8400+59700</f>
        <v>68100</v>
      </c>
      <c r="F1051" s="1459">
        <f t="shared" si="310"/>
        <v>68100</v>
      </c>
      <c r="G1051" s="1499">
        <f t="shared" si="295"/>
        <v>103.49544072948329</v>
      </c>
      <c r="H1051" s="1499">
        <f t="shared" si="289"/>
        <v>111.44386076881536</v>
      </c>
      <c r="I1051" s="1450"/>
      <c r="J1051" s="1461">
        <v>54357</v>
      </c>
      <c r="K1051" s="1457">
        <v>59700</v>
      </c>
      <c r="L1051" s="1457"/>
      <c r="M1051" s="1457"/>
      <c r="N1051" s="1457"/>
      <c r="O1051" s="1457"/>
      <c r="P1051" s="1462">
        <f t="shared" si="311"/>
        <v>59700</v>
      </c>
      <c r="Q1051" s="1495">
        <f>P1051/J1051*100</f>
        <v>109.82946078701916</v>
      </c>
      <c r="R1051" s="1461">
        <v>6750</v>
      </c>
      <c r="S1051" s="1457">
        <v>8400</v>
      </c>
      <c r="T1051" s="1457"/>
      <c r="U1051" s="1457"/>
      <c r="V1051" s="1457"/>
      <c r="W1051" s="1462">
        <f t="shared" si="312"/>
        <v>8400</v>
      </c>
      <c r="X1051" s="1496">
        <f t="shared" si="302"/>
        <v>124.44444444444444</v>
      </c>
      <c r="Y1051" s="1444"/>
    </row>
    <row r="1052" spans="1:25" ht="12.75" hidden="1">
      <c r="A1052" s="1497"/>
      <c r="B1052" s="1513"/>
      <c r="C1052" s="1457"/>
      <c r="D1052" s="1457">
        <f t="shared" si="309"/>
        <v>0</v>
      </c>
      <c r="E1052" s="1458"/>
      <c r="F1052" s="1459">
        <f t="shared" si="310"/>
        <v>0</v>
      </c>
      <c r="G1052" s="1499" t="e">
        <f t="shared" si="295"/>
        <v>#DIV/0!</v>
      </c>
      <c r="H1052" s="1499" t="e">
        <f t="shared" si="289"/>
        <v>#DIV/0!</v>
      </c>
      <c r="I1052" s="1450"/>
      <c r="J1052" s="1461"/>
      <c r="K1052" s="1457"/>
      <c r="L1052" s="1457"/>
      <c r="M1052" s="1457"/>
      <c r="N1052" s="1457"/>
      <c r="O1052" s="1457"/>
      <c r="P1052" s="1462">
        <f t="shared" si="311"/>
        <v>0</v>
      </c>
      <c r="Q1052" s="1495" t="e">
        <f>P1052/J1052*100</f>
        <v>#DIV/0!</v>
      </c>
      <c r="R1052" s="1461"/>
      <c r="S1052" s="1457"/>
      <c r="T1052" s="1457"/>
      <c r="U1052" s="1457"/>
      <c r="V1052" s="1457"/>
      <c r="W1052" s="1462">
        <f t="shared" si="312"/>
        <v>0</v>
      </c>
      <c r="X1052" s="1496" t="e">
        <f t="shared" si="302"/>
        <v>#DIV/0!</v>
      </c>
      <c r="Y1052" s="1444"/>
    </row>
    <row r="1053" spans="1:25" ht="12.75">
      <c r="A1053" s="1497">
        <v>4210</v>
      </c>
      <c r="B1053" s="1513" t="s">
        <v>560</v>
      </c>
      <c r="C1053" s="1457">
        <v>2000</v>
      </c>
      <c r="D1053" s="1457">
        <f t="shared" si="309"/>
        <v>2000</v>
      </c>
      <c r="E1053" s="1458">
        <v>2700</v>
      </c>
      <c r="F1053" s="1459">
        <f t="shared" si="310"/>
        <v>1900</v>
      </c>
      <c r="G1053" s="1499">
        <f t="shared" si="295"/>
        <v>95</v>
      </c>
      <c r="H1053" s="1499">
        <f t="shared" si="289"/>
        <v>95</v>
      </c>
      <c r="I1053" s="1450"/>
      <c r="J1053" s="1461"/>
      <c r="K1053" s="1457"/>
      <c r="L1053" s="1457"/>
      <c r="M1053" s="1457"/>
      <c r="N1053" s="1457"/>
      <c r="O1053" s="1457"/>
      <c r="P1053" s="1462">
        <f t="shared" si="311"/>
        <v>0</v>
      </c>
      <c r="Q1053" s="1495"/>
      <c r="R1053" s="1461">
        <v>2000</v>
      </c>
      <c r="S1053" s="1457">
        <v>1900</v>
      </c>
      <c r="T1053" s="1457"/>
      <c r="U1053" s="1457"/>
      <c r="V1053" s="1457"/>
      <c r="W1053" s="1462">
        <f t="shared" si="312"/>
        <v>1900</v>
      </c>
      <c r="X1053" s="1496">
        <f t="shared" si="302"/>
        <v>95</v>
      </c>
      <c r="Y1053" s="1444"/>
    </row>
    <row r="1054" spans="1:25" ht="24">
      <c r="A1054" s="1497">
        <v>4240</v>
      </c>
      <c r="B1054" s="1513" t="s">
        <v>891</v>
      </c>
      <c r="C1054" s="1457">
        <v>800</v>
      </c>
      <c r="D1054" s="1457">
        <f t="shared" si="309"/>
        <v>800</v>
      </c>
      <c r="E1054" s="1458">
        <v>1400</v>
      </c>
      <c r="F1054" s="1459">
        <f t="shared" si="310"/>
        <v>800</v>
      </c>
      <c r="G1054" s="1499">
        <f t="shared" si="295"/>
        <v>100</v>
      </c>
      <c r="H1054" s="1499">
        <f t="shared" si="289"/>
        <v>100</v>
      </c>
      <c r="I1054" s="1450"/>
      <c r="J1054" s="1461"/>
      <c r="K1054" s="1457"/>
      <c r="L1054" s="1457"/>
      <c r="M1054" s="1457"/>
      <c r="N1054" s="1457"/>
      <c r="O1054" s="1457"/>
      <c r="P1054" s="1462">
        <f t="shared" si="311"/>
        <v>0</v>
      </c>
      <c r="Q1054" s="1495"/>
      <c r="R1054" s="1461">
        <v>800</v>
      </c>
      <c r="S1054" s="1457">
        <v>800</v>
      </c>
      <c r="T1054" s="1457"/>
      <c r="U1054" s="1457"/>
      <c r="V1054" s="1457"/>
      <c r="W1054" s="1462">
        <f t="shared" si="312"/>
        <v>800</v>
      </c>
      <c r="X1054" s="1496">
        <f t="shared" si="302"/>
        <v>100</v>
      </c>
      <c r="Y1054" s="1444"/>
    </row>
    <row r="1055" spans="1:25" ht="12.75">
      <c r="A1055" s="1497">
        <v>4260</v>
      </c>
      <c r="B1055" s="1513" t="s">
        <v>575</v>
      </c>
      <c r="C1055" s="1457">
        <v>5700</v>
      </c>
      <c r="D1055" s="1457">
        <f t="shared" si="309"/>
        <v>5700</v>
      </c>
      <c r="E1055" s="1458">
        <v>3000</v>
      </c>
      <c r="F1055" s="1459">
        <f t="shared" si="310"/>
        <v>3000</v>
      </c>
      <c r="G1055" s="1499">
        <f t="shared" si="295"/>
        <v>52.63157894736842</v>
      </c>
      <c r="H1055" s="1499">
        <f t="shared" si="289"/>
        <v>52.63157894736842</v>
      </c>
      <c r="I1055" s="1450"/>
      <c r="J1055" s="1461"/>
      <c r="K1055" s="1457"/>
      <c r="L1055" s="1457"/>
      <c r="M1055" s="1457"/>
      <c r="N1055" s="1457"/>
      <c r="O1055" s="1457"/>
      <c r="P1055" s="1462">
        <f t="shared" si="311"/>
        <v>0</v>
      </c>
      <c r="Q1055" s="1495"/>
      <c r="R1055" s="1461">
        <v>5700</v>
      </c>
      <c r="S1055" s="1457">
        <v>3000</v>
      </c>
      <c r="T1055" s="1457"/>
      <c r="U1055" s="1457"/>
      <c r="V1055" s="1457"/>
      <c r="W1055" s="1462">
        <f t="shared" si="312"/>
        <v>3000</v>
      </c>
      <c r="X1055" s="1496">
        <f t="shared" si="302"/>
        <v>52.63157894736842</v>
      </c>
      <c r="Y1055" s="1444"/>
    </row>
    <row r="1056" spans="1:25" ht="12.75">
      <c r="A1056" s="1497">
        <v>4270</v>
      </c>
      <c r="B1056" s="1513" t="s">
        <v>576</v>
      </c>
      <c r="C1056" s="1457">
        <v>300</v>
      </c>
      <c r="D1056" s="1457">
        <f t="shared" si="309"/>
        <v>300</v>
      </c>
      <c r="E1056" s="1458">
        <v>300</v>
      </c>
      <c r="F1056" s="1459">
        <f t="shared" si="310"/>
        <v>300</v>
      </c>
      <c r="G1056" s="1499">
        <f t="shared" si="295"/>
        <v>100</v>
      </c>
      <c r="H1056" s="1499">
        <f t="shared" si="289"/>
        <v>100</v>
      </c>
      <c r="I1056" s="1450"/>
      <c r="J1056" s="1461"/>
      <c r="K1056" s="1457"/>
      <c r="L1056" s="1457"/>
      <c r="M1056" s="1457"/>
      <c r="N1056" s="1457"/>
      <c r="O1056" s="1457"/>
      <c r="P1056" s="1462">
        <f t="shared" si="311"/>
        <v>0</v>
      </c>
      <c r="Q1056" s="1495"/>
      <c r="R1056" s="1461">
        <v>300</v>
      </c>
      <c r="S1056" s="1457"/>
      <c r="T1056" s="1457"/>
      <c r="U1056" s="1457"/>
      <c r="V1056" s="1457">
        <v>300</v>
      </c>
      <c r="W1056" s="1462">
        <f t="shared" si="312"/>
        <v>300</v>
      </c>
      <c r="X1056" s="1496">
        <f t="shared" si="302"/>
        <v>100</v>
      </c>
      <c r="Y1056" s="1444"/>
    </row>
    <row r="1057" spans="1:25" ht="12.75">
      <c r="A1057" s="1497">
        <v>4140</v>
      </c>
      <c r="B1057" s="1513" t="s">
        <v>722</v>
      </c>
      <c r="C1057" s="1457">
        <v>2200</v>
      </c>
      <c r="D1057" s="1457">
        <f t="shared" si="309"/>
        <v>2580</v>
      </c>
      <c r="E1057" s="1458">
        <v>2900</v>
      </c>
      <c r="F1057" s="1459">
        <f t="shared" si="310"/>
        <v>2600</v>
      </c>
      <c r="G1057" s="1499">
        <f t="shared" si="295"/>
        <v>118.18181818181819</v>
      </c>
      <c r="H1057" s="1499">
        <f t="shared" si="289"/>
        <v>100.7751937984496</v>
      </c>
      <c r="I1057" s="1450"/>
      <c r="J1057" s="1461">
        <v>2580</v>
      </c>
      <c r="K1057" s="1457">
        <v>2600</v>
      </c>
      <c r="L1057" s="1457"/>
      <c r="M1057" s="1457"/>
      <c r="N1057" s="1457"/>
      <c r="O1057" s="1457"/>
      <c r="P1057" s="1462">
        <f t="shared" si="311"/>
        <v>2600</v>
      </c>
      <c r="Q1057" s="1495">
        <f>P1057/J1057*100</f>
        <v>100.7751937984496</v>
      </c>
      <c r="R1057" s="1461"/>
      <c r="S1057" s="1457"/>
      <c r="T1057" s="1457"/>
      <c r="U1057" s="1457"/>
      <c r="V1057" s="1457"/>
      <c r="W1057" s="1462">
        <f t="shared" si="312"/>
        <v>0</v>
      </c>
      <c r="X1057" s="1496"/>
      <c r="Y1057" s="1444"/>
    </row>
    <row r="1058" spans="1:25" ht="12.75">
      <c r="A1058" s="1497">
        <v>4110</v>
      </c>
      <c r="B1058" s="1513" t="s">
        <v>568</v>
      </c>
      <c r="C1058" s="1457">
        <v>155400</v>
      </c>
      <c r="D1058" s="1457">
        <f t="shared" si="309"/>
        <v>145880</v>
      </c>
      <c r="E1058" s="1458">
        <f>21200+151600</f>
        <v>172800</v>
      </c>
      <c r="F1058" s="1459">
        <f t="shared" si="310"/>
        <v>171200</v>
      </c>
      <c r="G1058" s="1499">
        <f t="shared" si="295"/>
        <v>110.16731016731016</v>
      </c>
      <c r="H1058" s="1499">
        <f t="shared" si="289"/>
        <v>117.35673156018645</v>
      </c>
      <c r="I1058" s="1450"/>
      <c r="J1058" s="1461">
        <v>128680</v>
      </c>
      <c r="K1058" s="1457">
        <v>151600</v>
      </c>
      <c r="L1058" s="1457"/>
      <c r="M1058" s="1457"/>
      <c r="N1058" s="1457"/>
      <c r="O1058" s="1457"/>
      <c r="P1058" s="1462">
        <f t="shared" si="311"/>
        <v>151600</v>
      </c>
      <c r="Q1058" s="1495">
        <f>P1058/J1058*100</f>
        <v>117.81162573826546</v>
      </c>
      <c r="R1058" s="1461">
        <v>17200</v>
      </c>
      <c r="S1058" s="1457">
        <v>19600</v>
      </c>
      <c r="T1058" s="1457"/>
      <c r="U1058" s="1457"/>
      <c r="V1058" s="1457"/>
      <c r="W1058" s="1462">
        <f t="shared" si="312"/>
        <v>19600</v>
      </c>
      <c r="X1058" s="1496">
        <f t="shared" si="302"/>
        <v>113.95348837209302</v>
      </c>
      <c r="Y1058" s="1444"/>
    </row>
    <row r="1059" spans="1:25" ht="12.75">
      <c r="A1059" s="1497">
        <v>4120</v>
      </c>
      <c r="B1059" s="1513" t="s">
        <v>758</v>
      </c>
      <c r="C1059" s="1457">
        <v>21200</v>
      </c>
      <c r="D1059" s="1457">
        <f t="shared" si="309"/>
        <v>20830</v>
      </c>
      <c r="E1059" s="1458">
        <f>2900+20900</f>
        <v>23800</v>
      </c>
      <c r="F1059" s="1459">
        <f t="shared" si="310"/>
        <v>23400</v>
      </c>
      <c r="G1059" s="1499">
        <f t="shared" si="295"/>
        <v>110.37735849056605</v>
      </c>
      <c r="H1059" s="1499">
        <f t="shared" si="289"/>
        <v>112.33797407585213</v>
      </c>
      <c r="I1059" s="1450"/>
      <c r="J1059" s="1461">
        <v>18380</v>
      </c>
      <c r="K1059" s="1457">
        <v>20900</v>
      </c>
      <c r="L1059" s="1457"/>
      <c r="M1059" s="1457"/>
      <c r="N1059" s="1457"/>
      <c r="O1059" s="1457"/>
      <c r="P1059" s="1462">
        <f t="shared" si="311"/>
        <v>20900</v>
      </c>
      <c r="Q1059" s="1495">
        <f>P1059/J1059*100</f>
        <v>113.71055495103373</v>
      </c>
      <c r="R1059" s="1461">
        <v>2450</v>
      </c>
      <c r="S1059" s="1457">
        <v>2500</v>
      </c>
      <c r="T1059" s="1457"/>
      <c r="U1059" s="1457"/>
      <c r="V1059" s="1457"/>
      <c r="W1059" s="1462">
        <f t="shared" si="312"/>
        <v>2500</v>
      </c>
      <c r="X1059" s="1496">
        <f t="shared" si="302"/>
        <v>102.04081632653062</v>
      </c>
      <c r="Y1059" s="1444"/>
    </row>
    <row r="1060" spans="1:25" ht="12.75">
      <c r="A1060" s="1497">
        <v>4280</v>
      </c>
      <c r="B1060" s="1513" t="s">
        <v>723</v>
      </c>
      <c r="C1060" s="1457">
        <v>100</v>
      </c>
      <c r="D1060" s="1457">
        <f t="shared" si="309"/>
        <v>100</v>
      </c>
      <c r="E1060" s="1458">
        <v>100</v>
      </c>
      <c r="F1060" s="1459">
        <f t="shared" si="310"/>
        <v>100</v>
      </c>
      <c r="G1060" s="1499">
        <f t="shared" si="295"/>
        <v>100</v>
      </c>
      <c r="H1060" s="1499">
        <f aca="true" t="shared" si="313" ref="H1060:H1123">F1060/D1060*100</f>
        <v>100</v>
      </c>
      <c r="I1060" s="1450"/>
      <c r="J1060" s="1461"/>
      <c r="K1060" s="1457"/>
      <c r="L1060" s="1457"/>
      <c r="M1060" s="1457"/>
      <c r="N1060" s="1457"/>
      <c r="O1060" s="1457"/>
      <c r="P1060" s="1462">
        <f t="shared" si="311"/>
        <v>0</v>
      </c>
      <c r="Q1060" s="1495"/>
      <c r="R1060" s="1461">
        <v>100</v>
      </c>
      <c r="S1060" s="1457">
        <v>100</v>
      </c>
      <c r="T1060" s="1457"/>
      <c r="U1060" s="1457"/>
      <c r="V1060" s="1457"/>
      <c r="W1060" s="1462">
        <f t="shared" si="312"/>
        <v>100</v>
      </c>
      <c r="X1060" s="1496">
        <f t="shared" si="302"/>
        <v>100</v>
      </c>
      <c r="Y1060" s="1444"/>
    </row>
    <row r="1061" spans="1:25" ht="12.75">
      <c r="A1061" s="1497">
        <v>4300</v>
      </c>
      <c r="B1061" s="1513" t="s">
        <v>564</v>
      </c>
      <c r="C1061" s="1457">
        <v>500</v>
      </c>
      <c r="D1061" s="1457">
        <f t="shared" si="309"/>
        <v>500</v>
      </c>
      <c r="E1061" s="1458">
        <v>600</v>
      </c>
      <c r="F1061" s="1459">
        <f t="shared" si="310"/>
        <v>500</v>
      </c>
      <c r="G1061" s="1499">
        <f t="shared" si="295"/>
        <v>100</v>
      </c>
      <c r="H1061" s="1499">
        <f t="shared" si="313"/>
        <v>100</v>
      </c>
      <c r="I1061" s="1450"/>
      <c r="J1061" s="1461"/>
      <c r="K1061" s="1457"/>
      <c r="L1061" s="1457"/>
      <c r="M1061" s="1457"/>
      <c r="N1061" s="1457"/>
      <c r="O1061" s="1457"/>
      <c r="P1061" s="1462">
        <f t="shared" si="311"/>
        <v>0</v>
      </c>
      <c r="Q1061" s="1495"/>
      <c r="R1061" s="1461">
        <v>500</v>
      </c>
      <c r="S1061" s="1457">
        <v>500</v>
      </c>
      <c r="T1061" s="1457"/>
      <c r="U1061" s="1457"/>
      <c r="V1061" s="1457"/>
      <c r="W1061" s="1462">
        <f t="shared" si="312"/>
        <v>500</v>
      </c>
      <c r="X1061" s="1496">
        <f t="shared" si="302"/>
        <v>100</v>
      </c>
      <c r="Y1061" s="1444"/>
    </row>
    <row r="1062" spans="1:25" ht="12.75">
      <c r="A1062" s="1497">
        <v>4440</v>
      </c>
      <c r="B1062" s="1513" t="s">
        <v>641</v>
      </c>
      <c r="C1062" s="1457">
        <v>55800</v>
      </c>
      <c r="D1062" s="1457">
        <f t="shared" si="309"/>
        <v>58320</v>
      </c>
      <c r="E1062" s="1458">
        <f>5800+55900</f>
        <v>61700</v>
      </c>
      <c r="F1062" s="1459">
        <f t="shared" si="310"/>
        <v>59100</v>
      </c>
      <c r="G1062" s="1499">
        <f t="shared" si="295"/>
        <v>105.91397849462365</v>
      </c>
      <c r="H1062" s="1499">
        <f t="shared" si="313"/>
        <v>101.33744855967078</v>
      </c>
      <c r="I1062" s="1450"/>
      <c r="J1062" s="1461">
        <v>52520</v>
      </c>
      <c r="K1062" s="1457">
        <v>53300</v>
      </c>
      <c r="L1062" s="1457"/>
      <c r="M1062" s="1457"/>
      <c r="N1062" s="1457"/>
      <c r="O1062" s="1457"/>
      <c r="P1062" s="1462">
        <f t="shared" si="311"/>
        <v>53300</v>
      </c>
      <c r="Q1062" s="1495">
        <f>P1062/J1062*100</f>
        <v>101.48514851485149</v>
      </c>
      <c r="R1062" s="1461">
        <v>5800</v>
      </c>
      <c r="S1062" s="1457">
        <v>5800</v>
      </c>
      <c r="T1062" s="1457"/>
      <c r="U1062" s="1457"/>
      <c r="V1062" s="1457"/>
      <c r="W1062" s="1462">
        <f t="shared" si="312"/>
        <v>5800</v>
      </c>
      <c r="X1062" s="1496">
        <f t="shared" si="302"/>
        <v>100</v>
      </c>
      <c r="Y1062" s="1444"/>
    </row>
    <row r="1063" spans="1:28" s="581" customFormat="1" ht="24">
      <c r="A1063" s="1516">
        <v>85403</v>
      </c>
      <c r="B1063" s="1550" t="s">
        <v>1051</v>
      </c>
      <c r="C1063" s="1467">
        <f>SUM(C1064:C1082)</f>
        <v>1319100</v>
      </c>
      <c r="D1063" s="1467">
        <f>SUM(D1064:D1082)</f>
        <v>1298440</v>
      </c>
      <c r="E1063" s="1468">
        <f>SUM(E1064:E1082)</f>
        <v>1390700</v>
      </c>
      <c r="F1063" s="1469">
        <f>SUM(F1064:F1082)</f>
        <v>1262400</v>
      </c>
      <c r="G1063" s="1519">
        <f t="shared" si="295"/>
        <v>95.70161473732091</v>
      </c>
      <c r="H1063" s="1519">
        <f t="shared" si="313"/>
        <v>97.22436154154217</v>
      </c>
      <c r="I1063" s="1450"/>
      <c r="J1063" s="1470"/>
      <c r="K1063" s="1467"/>
      <c r="L1063" s="1467"/>
      <c r="M1063" s="1467"/>
      <c r="N1063" s="1467"/>
      <c r="O1063" s="1467"/>
      <c r="P1063" s="1471"/>
      <c r="Q1063" s="1453"/>
      <c r="R1063" s="1470">
        <f aca="true" t="shared" si="314" ref="R1063:W1063">SUM(R1064:R1082)</f>
        <v>1298440</v>
      </c>
      <c r="S1063" s="1467">
        <f t="shared" si="314"/>
        <v>1254400</v>
      </c>
      <c r="T1063" s="1467">
        <f t="shared" si="314"/>
        <v>0</v>
      </c>
      <c r="U1063" s="1467">
        <f t="shared" si="314"/>
        <v>0</v>
      </c>
      <c r="V1063" s="1467">
        <f t="shared" si="314"/>
        <v>8000</v>
      </c>
      <c r="W1063" s="1471">
        <f t="shared" si="314"/>
        <v>1262400</v>
      </c>
      <c r="X1063" s="1454">
        <f t="shared" si="302"/>
        <v>97.22436154154217</v>
      </c>
      <c r="Y1063" s="1444"/>
      <c r="AA1063" s="1444">
        <f>SUM(S1065:S1068)</f>
        <v>974800</v>
      </c>
      <c r="AB1063" s="1444">
        <f>Z1063+AA1063</f>
        <v>974800</v>
      </c>
    </row>
    <row r="1064" spans="1:25" ht="24">
      <c r="A1064" s="1497">
        <v>3020</v>
      </c>
      <c r="B1064" s="1513" t="s">
        <v>717</v>
      </c>
      <c r="C1064" s="1457">
        <v>4400</v>
      </c>
      <c r="D1064" s="1457">
        <f>J1064+R1064</f>
        <v>4400</v>
      </c>
      <c r="E1064" s="1458">
        <v>4400</v>
      </c>
      <c r="F1064" s="1459">
        <f>P1064+W1064</f>
        <v>4400</v>
      </c>
      <c r="G1064" s="1499">
        <f t="shared" si="295"/>
        <v>100</v>
      </c>
      <c r="H1064" s="1499">
        <f t="shared" si="313"/>
        <v>100</v>
      </c>
      <c r="I1064" s="1450"/>
      <c r="J1064" s="1461"/>
      <c r="K1064" s="1457"/>
      <c r="L1064" s="1457"/>
      <c r="M1064" s="1457"/>
      <c r="N1064" s="1457"/>
      <c r="O1064" s="1457"/>
      <c r="P1064" s="1462"/>
      <c r="Q1064" s="1495"/>
      <c r="R1064" s="1461">
        <v>4400</v>
      </c>
      <c r="S1064" s="1457">
        <v>4400</v>
      </c>
      <c r="T1064" s="1457"/>
      <c r="U1064" s="1457"/>
      <c r="V1064" s="1457"/>
      <c r="W1064" s="1462">
        <f>SUM(S1064:V1064)</f>
        <v>4400</v>
      </c>
      <c r="X1064" s="1496">
        <f t="shared" si="302"/>
        <v>100</v>
      </c>
      <c r="Y1064" s="1444"/>
    </row>
    <row r="1065" spans="1:25" ht="24">
      <c r="A1065" s="1497">
        <v>4010</v>
      </c>
      <c r="B1065" s="1513" t="s">
        <v>626</v>
      </c>
      <c r="C1065" s="1457">
        <v>778000</v>
      </c>
      <c r="D1065" s="1457">
        <f aca="true" t="shared" si="315" ref="D1065:D1082">J1065+R1065</f>
        <v>739930</v>
      </c>
      <c r="E1065" s="1458">
        <v>772000</v>
      </c>
      <c r="F1065" s="1459">
        <f aca="true" t="shared" si="316" ref="F1065:F1082">P1065+W1065</f>
        <v>750000</v>
      </c>
      <c r="G1065" s="1499">
        <f aca="true" t="shared" si="317" ref="G1065:G1122">F1065/C1065*100</f>
        <v>96.40102827763496</v>
      </c>
      <c r="H1065" s="1499">
        <f t="shared" si="313"/>
        <v>101.36093954833565</v>
      </c>
      <c r="I1065" s="1450"/>
      <c r="J1065" s="1461"/>
      <c r="K1065" s="1457"/>
      <c r="L1065" s="1457"/>
      <c r="M1065" s="1457"/>
      <c r="N1065" s="1457"/>
      <c r="O1065" s="1457"/>
      <c r="P1065" s="1462"/>
      <c r="Q1065" s="1495"/>
      <c r="R1065" s="1461">
        <v>739930</v>
      </c>
      <c r="S1065" s="1457">
        <v>750000</v>
      </c>
      <c r="T1065" s="1457"/>
      <c r="U1065" s="1457"/>
      <c r="V1065" s="1457"/>
      <c r="W1065" s="1462">
        <f aca="true" t="shared" si="318" ref="W1065:W1082">SUM(S1065:V1065)</f>
        <v>750000</v>
      </c>
      <c r="X1065" s="1496">
        <f t="shared" si="302"/>
        <v>101.36093954833565</v>
      </c>
      <c r="Y1065" s="1444"/>
    </row>
    <row r="1066" spans="1:25" ht="12.75">
      <c r="A1066" s="1497">
        <v>4040</v>
      </c>
      <c r="B1066" s="1513" t="s">
        <v>630</v>
      </c>
      <c r="C1066" s="1457">
        <v>65300</v>
      </c>
      <c r="D1066" s="1457">
        <f t="shared" si="315"/>
        <v>59860</v>
      </c>
      <c r="E1066" s="1458">
        <v>62900</v>
      </c>
      <c r="F1066" s="1459">
        <f t="shared" si="316"/>
        <v>60000</v>
      </c>
      <c r="G1066" s="1499">
        <f t="shared" si="317"/>
        <v>91.88361408882083</v>
      </c>
      <c r="H1066" s="1499">
        <f t="shared" si="313"/>
        <v>100.23387905111927</v>
      </c>
      <c r="I1066" s="1450"/>
      <c r="J1066" s="1461"/>
      <c r="K1066" s="1457"/>
      <c r="L1066" s="1457"/>
      <c r="M1066" s="1457"/>
      <c r="N1066" s="1457"/>
      <c r="O1066" s="1457"/>
      <c r="P1066" s="1462"/>
      <c r="Q1066" s="1495"/>
      <c r="R1066" s="1461">
        <v>59860</v>
      </c>
      <c r="S1066" s="1457">
        <v>60000</v>
      </c>
      <c r="T1066" s="1457"/>
      <c r="U1066" s="1457"/>
      <c r="V1066" s="1457"/>
      <c r="W1066" s="1462">
        <f t="shared" si="318"/>
        <v>60000</v>
      </c>
      <c r="X1066" s="1496">
        <f t="shared" si="302"/>
        <v>100.23387905111927</v>
      </c>
      <c r="Y1066" s="1444"/>
    </row>
    <row r="1067" spans="1:25" ht="12.75">
      <c r="A1067" s="1497">
        <v>4110</v>
      </c>
      <c r="B1067" s="1513" t="s">
        <v>568</v>
      </c>
      <c r="C1067" s="1457">
        <v>145000</v>
      </c>
      <c r="D1067" s="1457">
        <f t="shared" si="315"/>
        <v>135000</v>
      </c>
      <c r="E1067" s="1458">
        <v>148000</v>
      </c>
      <c r="F1067" s="1459">
        <f t="shared" si="316"/>
        <v>145000</v>
      </c>
      <c r="G1067" s="1499">
        <f t="shared" si="317"/>
        <v>100</v>
      </c>
      <c r="H1067" s="1499">
        <f t="shared" si="313"/>
        <v>107.40740740740742</v>
      </c>
      <c r="I1067" s="1450"/>
      <c r="J1067" s="1461"/>
      <c r="K1067" s="1457"/>
      <c r="L1067" s="1457"/>
      <c r="M1067" s="1457"/>
      <c r="N1067" s="1457"/>
      <c r="O1067" s="1457"/>
      <c r="P1067" s="1462"/>
      <c r="Q1067" s="1495"/>
      <c r="R1067" s="1461">
        <v>135000</v>
      </c>
      <c r="S1067" s="1457">
        <v>145000</v>
      </c>
      <c r="T1067" s="1457"/>
      <c r="U1067" s="1457"/>
      <c r="V1067" s="1457"/>
      <c r="W1067" s="1462">
        <f t="shared" si="318"/>
        <v>145000</v>
      </c>
      <c r="X1067" s="1496">
        <f t="shared" si="302"/>
        <v>107.40740740740742</v>
      </c>
      <c r="Y1067" s="1444"/>
    </row>
    <row r="1068" spans="1:25" ht="12.75">
      <c r="A1068" s="1497">
        <v>4120</v>
      </c>
      <c r="B1068" s="1513" t="s">
        <v>758</v>
      </c>
      <c r="C1068" s="1457">
        <v>20000</v>
      </c>
      <c r="D1068" s="1457">
        <f t="shared" si="315"/>
        <v>19200</v>
      </c>
      <c r="E1068" s="1458">
        <v>20400</v>
      </c>
      <c r="F1068" s="1459">
        <f t="shared" si="316"/>
        <v>19800</v>
      </c>
      <c r="G1068" s="1499">
        <f t="shared" si="317"/>
        <v>99</v>
      </c>
      <c r="H1068" s="1499">
        <f t="shared" si="313"/>
        <v>103.125</v>
      </c>
      <c r="I1068" s="1450"/>
      <c r="J1068" s="1461"/>
      <c r="K1068" s="1457"/>
      <c r="L1068" s="1457"/>
      <c r="M1068" s="1457"/>
      <c r="N1068" s="1457"/>
      <c r="O1068" s="1457"/>
      <c r="P1068" s="1462"/>
      <c r="Q1068" s="1495"/>
      <c r="R1068" s="1461">
        <v>19200</v>
      </c>
      <c r="S1068" s="1457">
        <v>19800</v>
      </c>
      <c r="T1068" s="1457"/>
      <c r="U1068" s="1457"/>
      <c r="V1068" s="1457"/>
      <c r="W1068" s="1462">
        <f t="shared" si="318"/>
        <v>19800</v>
      </c>
      <c r="X1068" s="1496">
        <f t="shared" si="302"/>
        <v>103.125</v>
      </c>
      <c r="Y1068" s="1444"/>
    </row>
    <row r="1069" spans="1:25" ht="12.75">
      <c r="A1069" s="1497">
        <v>4130</v>
      </c>
      <c r="B1069" s="1513" t="s">
        <v>1052</v>
      </c>
      <c r="C1069" s="1457">
        <v>1400</v>
      </c>
      <c r="D1069" s="1457">
        <f t="shared" si="315"/>
        <v>750</v>
      </c>
      <c r="E1069" s="1458">
        <v>0</v>
      </c>
      <c r="F1069" s="1459">
        <f>P1069+W1069</f>
        <v>0</v>
      </c>
      <c r="G1069" s="1499">
        <f>F1069/C1069*100</f>
        <v>0</v>
      </c>
      <c r="H1069" s="1499">
        <f>F1069/D1069*100</f>
        <v>0</v>
      </c>
      <c r="I1069" s="1450"/>
      <c r="J1069" s="1461"/>
      <c r="K1069" s="1457"/>
      <c r="L1069" s="1457"/>
      <c r="M1069" s="1457"/>
      <c r="N1069" s="1457"/>
      <c r="O1069" s="1457"/>
      <c r="P1069" s="1462"/>
      <c r="Q1069" s="1495"/>
      <c r="R1069" s="1461">
        <v>750</v>
      </c>
      <c r="S1069" s="1457"/>
      <c r="T1069" s="1457"/>
      <c r="U1069" s="1457"/>
      <c r="V1069" s="1457"/>
      <c r="W1069" s="1462">
        <f t="shared" si="318"/>
        <v>0</v>
      </c>
      <c r="X1069" s="1496">
        <f t="shared" si="302"/>
        <v>0</v>
      </c>
      <c r="Y1069" s="1444"/>
    </row>
    <row r="1070" spans="1:25" ht="12.75">
      <c r="A1070" s="1497">
        <v>4170</v>
      </c>
      <c r="B1070" s="1513" t="s">
        <v>572</v>
      </c>
      <c r="C1070" s="1457"/>
      <c r="D1070" s="1457">
        <f t="shared" si="315"/>
        <v>1000</v>
      </c>
      <c r="E1070" s="1458">
        <v>4000</v>
      </c>
      <c r="F1070" s="1459">
        <f>P1070+W1070</f>
        <v>1000</v>
      </c>
      <c r="G1070" s="1499"/>
      <c r="H1070" s="1499">
        <f>F1070/D1070*100</f>
        <v>100</v>
      </c>
      <c r="I1070" s="1450"/>
      <c r="J1070" s="1461"/>
      <c r="K1070" s="1457"/>
      <c r="L1070" s="1457"/>
      <c r="M1070" s="1457"/>
      <c r="N1070" s="1457"/>
      <c r="O1070" s="1457"/>
      <c r="P1070" s="1462"/>
      <c r="Q1070" s="1495"/>
      <c r="R1070" s="1461">
        <v>1000</v>
      </c>
      <c r="S1070" s="1457">
        <v>1000</v>
      </c>
      <c r="T1070" s="1457"/>
      <c r="U1070" s="1457"/>
      <c r="V1070" s="1457"/>
      <c r="W1070" s="1462">
        <f t="shared" si="318"/>
        <v>1000</v>
      </c>
      <c r="X1070" s="1496"/>
      <c r="Y1070" s="1444"/>
    </row>
    <row r="1071" spans="1:25" ht="12.75">
      <c r="A1071" s="1497">
        <v>4210</v>
      </c>
      <c r="B1071" s="1513" t="s">
        <v>560</v>
      </c>
      <c r="C1071" s="1457">
        <v>50000</v>
      </c>
      <c r="D1071" s="1457">
        <f t="shared" si="315"/>
        <v>82700</v>
      </c>
      <c r="E1071" s="1458">
        <v>116200</v>
      </c>
      <c r="F1071" s="1459">
        <f t="shared" si="316"/>
        <v>60000</v>
      </c>
      <c r="G1071" s="1499">
        <f t="shared" si="317"/>
        <v>120</v>
      </c>
      <c r="H1071" s="1499">
        <f t="shared" si="313"/>
        <v>72.55139056831923</v>
      </c>
      <c r="I1071" s="1450"/>
      <c r="J1071" s="1461"/>
      <c r="K1071" s="1457"/>
      <c r="L1071" s="1457"/>
      <c r="M1071" s="1457"/>
      <c r="N1071" s="1457"/>
      <c r="O1071" s="1457"/>
      <c r="P1071" s="1462"/>
      <c r="Q1071" s="1495"/>
      <c r="R1071" s="1461">
        <v>82700</v>
      </c>
      <c r="S1071" s="1457">
        <v>60000</v>
      </c>
      <c r="T1071" s="1457"/>
      <c r="U1071" s="1457"/>
      <c r="V1071" s="1457"/>
      <c r="W1071" s="1462">
        <f t="shared" si="318"/>
        <v>60000</v>
      </c>
      <c r="X1071" s="1496">
        <f t="shared" si="302"/>
        <v>72.55139056831923</v>
      </c>
      <c r="Y1071" s="1444"/>
    </row>
    <row r="1072" spans="1:25" ht="12.75">
      <c r="A1072" s="1497">
        <v>4220</v>
      </c>
      <c r="B1072" s="1513" t="s">
        <v>1053</v>
      </c>
      <c r="C1072" s="1457">
        <v>80000</v>
      </c>
      <c r="D1072" s="1457">
        <f t="shared" si="315"/>
        <v>58000</v>
      </c>
      <c r="E1072" s="1458">
        <v>80000</v>
      </c>
      <c r="F1072" s="1459">
        <f t="shared" si="316"/>
        <v>80000</v>
      </c>
      <c r="G1072" s="1499">
        <f t="shared" si="317"/>
        <v>100</v>
      </c>
      <c r="H1072" s="1499">
        <f t="shared" si="313"/>
        <v>137.93103448275863</v>
      </c>
      <c r="I1072" s="1450"/>
      <c r="J1072" s="1461"/>
      <c r="K1072" s="1457"/>
      <c r="L1072" s="1457"/>
      <c r="M1072" s="1457"/>
      <c r="N1072" s="1457"/>
      <c r="O1072" s="1457"/>
      <c r="P1072" s="1462"/>
      <c r="Q1072" s="1495"/>
      <c r="R1072" s="1461">
        <v>58000</v>
      </c>
      <c r="S1072" s="1457">
        <v>80000</v>
      </c>
      <c r="T1072" s="1457"/>
      <c r="U1072" s="1457"/>
      <c r="V1072" s="1457"/>
      <c r="W1072" s="1462">
        <f t="shared" si="318"/>
        <v>80000</v>
      </c>
      <c r="X1072" s="1496">
        <f t="shared" si="302"/>
        <v>137.93103448275863</v>
      </c>
      <c r="Y1072" s="1444"/>
    </row>
    <row r="1073" spans="1:25" ht="24">
      <c r="A1073" s="1497">
        <v>4240</v>
      </c>
      <c r="B1073" s="1513" t="s">
        <v>1054</v>
      </c>
      <c r="C1073" s="1457">
        <v>5000</v>
      </c>
      <c r="D1073" s="1457">
        <f t="shared" si="315"/>
        <v>5000</v>
      </c>
      <c r="E1073" s="1458">
        <v>14200</v>
      </c>
      <c r="F1073" s="1459">
        <f t="shared" si="316"/>
        <v>5000</v>
      </c>
      <c r="G1073" s="1499">
        <f t="shared" si="317"/>
        <v>100</v>
      </c>
      <c r="H1073" s="1499">
        <f t="shared" si="313"/>
        <v>100</v>
      </c>
      <c r="I1073" s="1450"/>
      <c r="J1073" s="1461"/>
      <c r="K1073" s="1457"/>
      <c r="L1073" s="1457"/>
      <c r="M1073" s="1457"/>
      <c r="N1073" s="1457"/>
      <c r="O1073" s="1457"/>
      <c r="P1073" s="1462"/>
      <c r="Q1073" s="1495"/>
      <c r="R1073" s="1461">
        <v>5000</v>
      </c>
      <c r="S1073" s="1457">
        <v>5000</v>
      </c>
      <c r="T1073" s="1457"/>
      <c r="U1073" s="1457"/>
      <c r="V1073" s="1457"/>
      <c r="W1073" s="1462">
        <f t="shared" si="318"/>
        <v>5000</v>
      </c>
      <c r="X1073" s="1496">
        <f t="shared" si="302"/>
        <v>100</v>
      </c>
      <c r="Y1073" s="1444"/>
    </row>
    <row r="1074" spans="1:25" ht="12.75">
      <c r="A1074" s="1497">
        <v>4260</v>
      </c>
      <c r="B1074" s="1513" t="s">
        <v>575</v>
      </c>
      <c r="C1074" s="1457">
        <v>62400</v>
      </c>
      <c r="D1074" s="1457">
        <f t="shared" si="315"/>
        <v>53400</v>
      </c>
      <c r="E1074" s="1458">
        <v>53400</v>
      </c>
      <c r="F1074" s="1459">
        <f t="shared" si="316"/>
        <v>53400</v>
      </c>
      <c r="G1074" s="1499">
        <f t="shared" si="317"/>
        <v>85.57692307692307</v>
      </c>
      <c r="H1074" s="1499">
        <f t="shared" si="313"/>
        <v>100</v>
      </c>
      <c r="I1074" s="1450"/>
      <c r="J1074" s="1461"/>
      <c r="K1074" s="1457"/>
      <c r="L1074" s="1457"/>
      <c r="M1074" s="1457"/>
      <c r="N1074" s="1457"/>
      <c r="O1074" s="1457"/>
      <c r="P1074" s="1462"/>
      <c r="Q1074" s="1495"/>
      <c r="R1074" s="1461">
        <v>53400</v>
      </c>
      <c r="S1074" s="1457">
        <v>53400</v>
      </c>
      <c r="T1074" s="1457"/>
      <c r="U1074" s="1457"/>
      <c r="V1074" s="1457"/>
      <c r="W1074" s="1462">
        <f t="shared" si="318"/>
        <v>53400</v>
      </c>
      <c r="X1074" s="1496">
        <f t="shared" si="302"/>
        <v>100</v>
      </c>
      <c r="Y1074" s="1444"/>
    </row>
    <row r="1075" spans="1:25" ht="12.75">
      <c r="A1075" s="1497">
        <v>4270</v>
      </c>
      <c r="B1075" s="1513" t="s">
        <v>576</v>
      </c>
      <c r="C1075" s="1457">
        <v>8000</v>
      </c>
      <c r="D1075" s="1457">
        <f t="shared" si="315"/>
        <v>8000</v>
      </c>
      <c r="E1075" s="1458">
        <v>13900</v>
      </c>
      <c r="F1075" s="1459">
        <f t="shared" si="316"/>
        <v>8000</v>
      </c>
      <c r="G1075" s="1499">
        <f t="shared" si="317"/>
        <v>100</v>
      </c>
      <c r="H1075" s="1499">
        <f t="shared" si="313"/>
        <v>100</v>
      </c>
      <c r="I1075" s="1450"/>
      <c r="J1075" s="1461"/>
      <c r="K1075" s="1457"/>
      <c r="L1075" s="1457"/>
      <c r="M1075" s="1457"/>
      <c r="N1075" s="1457"/>
      <c r="O1075" s="1457"/>
      <c r="P1075" s="1462"/>
      <c r="Q1075" s="1495"/>
      <c r="R1075" s="1461">
        <v>8000</v>
      </c>
      <c r="S1075" s="1457"/>
      <c r="T1075" s="1457"/>
      <c r="U1075" s="1457"/>
      <c r="V1075" s="1457">
        <v>8000</v>
      </c>
      <c r="W1075" s="1462">
        <f t="shared" si="318"/>
        <v>8000</v>
      </c>
      <c r="X1075" s="1496">
        <f t="shared" si="302"/>
        <v>100</v>
      </c>
      <c r="Y1075" s="1444"/>
    </row>
    <row r="1076" spans="1:25" ht="12.75">
      <c r="A1076" s="1497">
        <v>4280</v>
      </c>
      <c r="B1076" s="1513" t="s">
        <v>723</v>
      </c>
      <c r="C1076" s="1457">
        <v>2300</v>
      </c>
      <c r="D1076" s="1457">
        <f t="shared" si="315"/>
        <v>2300</v>
      </c>
      <c r="E1076" s="1458">
        <v>2900</v>
      </c>
      <c r="F1076" s="1459">
        <f t="shared" si="316"/>
        <v>2900</v>
      </c>
      <c r="G1076" s="1499">
        <f t="shared" si="317"/>
        <v>126.08695652173914</v>
      </c>
      <c r="H1076" s="1499">
        <f t="shared" si="313"/>
        <v>126.08695652173914</v>
      </c>
      <c r="I1076" s="1450"/>
      <c r="J1076" s="1461"/>
      <c r="K1076" s="1457"/>
      <c r="L1076" s="1457"/>
      <c r="M1076" s="1457"/>
      <c r="N1076" s="1457"/>
      <c r="O1076" s="1457"/>
      <c r="P1076" s="1462"/>
      <c r="Q1076" s="1495"/>
      <c r="R1076" s="1461">
        <v>2300</v>
      </c>
      <c r="S1076" s="1457">
        <v>2900</v>
      </c>
      <c r="T1076" s="1457"/>
      <c r="U1076" s="1457"/>
      <c r="V1076" s="1457"/>
      <c r="W1076" s="1462">
        <f t="shared" si="318"/>
        <v>2900</v>
      </c>
      <c r="X1076" s="1496">
        <f t="shared" si="302"/>
        <v>126.08695652173914</v>
      </c>
      <c r="Y1076" s="1444"/>
    </row>
    <row r="1077" spans="1:25" ht="12.75">
      <c r="A1077" s="1497">
        <v>4300</v>
      </c>
      <c r="B1077" s="1513" t="s">
        <v>564</v>
      </c>
      <c r="C1077" s="1457">
        <v>30400</v>
      </c>
      <c r="D1077" s="1457">
        <f t="shared" si="315"/>
        <v>27700</v>
      </c>
      <c r="E1077" s="1458">
        <v>34500</v>
      </c>
      <c r="F1077" s="1459">
        <f t="shared" si="316"/>
        <v>28000</v>
      </c>
      <c r="G1077" s="1499">
        <f t="shared" si="317"/>
        <v>92.10526315789474</v>
      </c>
      <c r="H1077" s="1499">
        <f t="shared" si="313"/>
        <v>101.08303249097472</v>
      </c>
      <c r="I1077" s="1450"/>
      <c r="J1077" s="1461"/>
      <c r="K1077" s="1457"/>
      <c r="L1077" s="1457"/>
      <c r="M1077" s="1457"/>
      <c r="N1077" s="1457"/>
      <c r="O1077" s="1457"/>
      <c r="P1077" s="1462"/>
      <c r="Q1077" s="1495"/>
      <c r="R1077" s="1461">
        <v>27700</v>
      </c>
      <c r="S1077" s="1457">
        <v>28000</v>
      </c>
      <c r="T1077" s="1457"/>
      <c r="U1077" s="1457"/>
      <c r="V1077" s="1457"/>
      <c r="W1077" s="1462">
        <f t="shared" si="318"/>
        <v>28000</v>
      </c>
      <c r="X1077" s="1496">
        <f t="shared" si="302"/>
        <v>101.08303249097472</v>
      </c>
      <c r="Y1077" s="1444"/>
    </row>
    <row r="1078" spans="1:25" ht="12.75">
      <c r="A1078" s="1497">
        <v>4350</v>
      </c>
      <c r="B1078" s="1513" t="s">
        <v>820</v>
      </c>
      <c r="C1078" s="1457"/>
      <c r="D1078" s="1457">
        <f t="shared" si="315"/>
        <v>2700</v>
      </c>
      <c r="E1078" s="1458">
        <v>3600</v>
      </c>
      <c r="F1078" s="1459">
        <f t="shared" si="316"/>
        <v>3600</v>
      </c>
      <c r="G1078" s="1499"/>
      <c r="H1078" s="1499">
        <f t="shared" si="313"/>
        <v>133.33333333333331</v>
      </c>
      <c r="I1078" s="1450"/>
      <c r="J1078" s="1461"/>
      <c r="K1078" s="1457"/>
      <c r="L1078" s="1457"/>
      <c r="M1078" s="1457"/>
      <c r="N1078" s="1457"/>
      <c r="O1078" s="1457"/>
      <c r="P1078" s="1462"/>
      <c r="Q1078" s="1495"/>
      <c r="R1078" s="1461">
        <v>2700</v>
      </c>
      <c r="S1078" s="1457">
        <v>3600</v>
      </c>
      <c r="T1078" s="1457"/>
      <c r="U1078" s="1457"/>
      <c r="V1078" s="1457"/>
      <c r="W1078" s="1462">
        <f t="shared" si="318"/>
        <v>3600</v>
      </c>
      <c r="X1078" s="1496">
        <f t="shared" si="302"/>
        <v>133.33333333333331</v>
      </c>
      <c r="Y1078" s="1444"/>
    </row>
    <row r="1079" spans="1:25" ht="12.75">
      <c r="A1079" s="1497">
        <v>4410</v>
      </c>
      <c r="B1079" s="1513" t="s">
        <v>618</v>
      </c>
      <c r="C1079" s="1457">
        <v>200</v>
      </c>
      <c r="D1079" s="1457">
        <f t="shared" si="315"/>
        <v>200</v>
      </c>
      <c r="E1079" s="1458">
        <v>300</v>
      </c>
      <c r="F1079" s="1459">
        <f t="shared" si="316"/>
        <v>300</v>
      </c>
      <c r="G1079" s="1499">
        <f t="shared" si="317"/>
        <v>150</v>
      </c>
      <c r="H1079" s="1499">
        <f t="shared" si="313"/>
        <v>150</v>
      </c>
      <c r="I1079" s="1450"/>
      <c r="J1079" s="1461"/>
      <c r="K1079" s="1457"/>
      <c r="L1079" s="1457"/>
      <c r="M1079" s="1457"/>
      <c r="N1079" s="1457"/>
      <c r="O1079" s="1457"/>
      <c r="P1079" s="1462"/>
      <c r="Q1079" s="1495"/>
      <c r="R1079" s="1461">
        <v>200</v>
      </c>
      <c r="S1079" s="1457">
        <v>300</v>
      </c>
      <c r="T1079" s="1457"/>
      <c r="U1079" s="1457"/>
      <c r="V1079" s="1457"/>
      <c r="W1079" s="1462">
        <f t="shared" si="318"/>
        <v>300</v>
      </c>
      <c r="X1079" s="1496">
        <f t="shared" si="302"/>
        <v>150</v>
      </c>
      <c r="Y1079" s="1444"/>
    </row>
    <row r="1080" spans="1:25" ht="24">
      <c r="A1080" s="1497">
        <v>6050</v>
      </c>
      <c r="B1080" s="1513" t="s">
        <v>892</v>
      </c>
      <c r="C1080" s="1457"/>
      <c r="D1080" s="1457">
        <f t="shared" si="315"/>
        <v>35000</v>
      </c>
      <c r="E1080" s="1458">
        <v>19000</v>
      </c>
      <c r="F1080" s="1459">
        <f t="shared" si="316"/>
        <v>0</v>
      </c>
      <c r="G1080" s="1499"/>
      <c r="H1080" s="1499">
        <f t="shared" si="313"/>
        <v>0</v>
      </c>
      <c r="I1080" s="1450"/>
      <c r="J1080" s="1461"/>
      <c r="K1080" s="1457"/>
      <c r="L1080" s="1457"/>
      <c r="M1080" s="1457"/>
      <c r="N1080" s="1457"/>
      <c r="O1080" s="1457"/>
      <c r="P1080" s="1462"/>
      <c r="Q1080" s="1495"/>
      <c r="R1080" s="1461">
        <v>35000</v>
      </c>
      <c r="S1080" s="1457"/>
      <c r="T1080" s="1457"/>
      <c r="U1080" s="1457"/>
      <c r="V1080" s="1457"/>
      <c r="W1080" s="1462">
        <f t="shared" si="318"/>
        <v>0</v>
      </c>
      <c r="X1080" s="1496">
        <f t="shared" si="302"/>
        <v>0</v>
      </c>
      <c r="Y1080" s="1444"/>
    </row>
    <row r="1081" spans="1:25" ht="24">
      <c r="A1081" s="1497">
        <v>6060</v>
      </c>
      <c r="B1081" s="1513" t="s">
        <v>870</v>
      </c>
      <c r="C1081" s="1457">
        <v>27000</v>
      </c>
      <c r="D1081" s="1457">
        <f t="shared" si="315"/>
        <v>22400</v>
      </c>
      <c r="E1081" s="1458">
        <v>0</v>
      </c>
      <c r="F1081" s="1459">
        <f t="shared" si="316"/>
        <v>0</v>
      </c>
      <c r="G1081" s="1499">
        <f t="shared" si="317"/>
        <v>0</v>
      </c>
      <c r="H1081" s="1499">
        <f t="shared" si="313"/>
        <v>0</v>
      </c>
      <c r="I1081" s="1450"/>
      <c r="J1081" s="1461"/>
      <c r="K1081" s="1457"/>
      <c r="L1081" s="1457"/>
      <c r="M1081" s="1457"/>
      <c r="N1081" s="1457"/>
      <c r="O1081" s="1457"/>
      <c r="P1081" s="1462"/>
      <c r="Q1081" s="1495"/>
      <c r="R1081" s="1461">
        <v>22400</v>
      </c>
      <c r="S1081" s="1457"/>
      <c r="T1081" s="1457"/>
      <c r="U1081" s="1457"/>
      <c r="V1081" s="1457"/>
      <c r="W1081" s="1462">
        <f t="shared" si="318"/>
        <v>0</v>
      </c>
      <c r="X1081" s="1496">
        <f t="shared" si="302"/>
        <v>0</v>
      </c>
      <c r="Y1081" s="1444"/>
    </row>
    <row r="1082" spans="1:25" ht="12.75">
      <c r="A1082" s="1497">
        <v>4440</v>
      </c>
      <c r="B1082" s="1513" t="s">
        <v>641</v>
      </c>
      <c r="C1082" s="1457">
        <v>39700</v>
      </c>
      <c r="D1082" s="1457">
        <f t="shared" si="315"/>
        <v>40900</v>
      </c>
      <c r="E1082" s="1458">
        <v>41000</v>
      </c>
      <c r="F1082" s="1459">
        <f t="shared" si="316"/>
        <v>41000</v>
      </c>
      <c r="G1082" s="1499">
        <f t="shared" si="317"/>
        <v>103.27455919395464</v>
      </c>
      <c r="H1082" s="1499">
        <f t="shared" si="313"/>
        <v>100.24449877750612</v>
      </c>
      <c r="I1082" s="1450"/>
      <c r="J1082" s="1461"/>
      <c r="K1082" s="1457"/>
      <c r="L1082" s="1457"/>
      <c r="M1082" s="1457"/>
      <c r="N1082" s="1457"/>
      <c r="O1082" s="1457"/>
      <c r="P1082" s="1462"/>
      <c r="Q1082" s="1495"/>
      <c r="R1082" s="1461">
        <v>40900</v>
      </c>
      <c r="S1082" s="1457">
        <v>41000</v>
      </c>
      <c r="T1082" s="1457"/>
      <c r="U1082" s="1457"/>
      <c r="V1082" s="1457"/>
      <c r="W1082" s="1462">
        <f t="shared" si="318"/>
        <v>41000</v>
      </c>
      <c r="X1082" s="1496">
        <f t="shared" si="302"/>
        <v>100.24449877750612</v>
      </c>
      <c r="Y1082" s="1444"/>
    </row>
    <row r="1083" spans="1:25" ht="13.5" hidden="1" thickBot="1">
      <c r="A1083" s="1622"/>
      <c r="B1083" s="636"/>
      <c r="C1083" s="1623"/>
      <c r="D1083" s="1624"/>
      <c r="E1083" s="1625"/>
      <c r="F1083" s="1623"/>
      <c r="G1083" s="1602" t="e">
        <f t="shared" si="317"/>
        <v>#DIV/0!</v>
      </c>
      <c r="H1083" s="1603" t="e">
        <f t="shared" si="313"/>
        <v>#DIV/0!</v>
      </c>
      <c r="I1083" s="1626"/>
      <c r="J1083" s="1627"/>
      <c r="K1083" s="1623"/>
      <c r="L1083" s="1623"/>
      <c r="M1083" s="1623"/>
      <c r="N1083" s="1623"/>
      <c r="O1083" s="1623"/>
      <c r="P1083" s="1625"/>
      <c r="Q1083" s="1720"/>
      <c r="R1083" s="1627"/>
      <c r="S1083" s="1623"/>
      <c r="T1083" s="1623"/>
      <c r="U1083" s="1623"/>
      <c r="V1083" s="1623"/>
      <c r="W1083" s="1625"/>
      <c r="Y1083" s="1444"/>
    </row>
    <row r="1084" spans="1:25" ht="14.25" hidden="1" thickBot="1" thickTop="1">
      <c r="A1084" s="1622"/>
      <c r="B1084" s="636"/>
      <c r="C1084" s="1623"/>
      <c r="D1084" s="1624"/>
      <c r="E1084" s="1625"/>
      <c r="F1084" s="1623"/>
      <c r="G1084" s="1437" t="e">
        <f t="shared" si="317"/>
        <v>#DIV/0!</v>
      </c>
      <c r="H1084" s="1438" t="e">
        <f t="shared" si="313"/>
        <v>#DIV/0!</v>
      </c>
      <c r="I1084" s="1626"/>
      <c r="J1084" s="1627"/>
      <c r="K1084" s="1623"/>
      <c r="L1084" s="1623"/>
      <c r="M1084" s="1623"/>
      <c r="N1084" s="1623"/>
      <c r="O1084" s="1623"/>
      <c r="P1084" s="1625"/>
      <c r="Q1084" s="1720"/>
      <c r="R1084" s="1627"/>
      <c r="S1084" s="1623"/>
      <c r="T1084" s="1623"/>
      <c r="U1084" s="1623"/>
      <c r="V1084" s="1623"/>
      <c r="W1084" s="1625"/>
      <c r="Y1084" s="1444"/>
    </row>
    <row r="1085" spans="1:25" s="581" customFormat="1" ht="14.25" hidden="1" thickBot="1" thickTop="1">
      <c r="A1085" s="1613"/>
      <c r="B1085" s="556"/>
      <c r="C1085" s="556"/>
      <c r="D1085" s="1614"/>
      <c r="E1085" s="1615"/>
      <c r="F1085" s="556"/>
      <c r="G1085" s="1437" t="e">
        <f t="shared" si="317"/>
        <v>#DIV/0!</v>
      </c>
      <c r="H1085" s="1438" t="e">
        <f t="shared" si="313"/>
        <v>#DIV/0!</v>
      </c>
      <c r="I1085" s="1616"/>
      <c r="J1085" s="1613"/>
      <c r="K1085" s="556"/>
      <c r="L1085" s="556"/>
      <c r="M1085" s="556"/>
      <c r="N1085" s="556"/>
      <c r="O1085" s="556"/>
      <c r="P1085" s="1615"/>
      <c r="Q1085" s="1721"/>
      <c r="R1085" s="1613"/>
      <c r="S1085" s="556"/>
      <c r="T1085" s="556"/>
      <c r="U1085" s="556"/>
      <c r="V1085" s="556"/>
      <c r="W1085" s="1615"/>
      <c r="X1085" s="1617"/>
      <c r="Y1085" s="1444"/>
    </row>
    <row r="1086" spans="1:25" ht="14.25" hidden="1" thickBot="1" thickTop="1">
      <c r="A1086" s="1622"/>
      <c r="B1086" s="636"/>
      <c r="C1086" s="1623"/>
      <c r="D1086" s="1624"/>
      <c r="E1086" s="1625"/>
      <c r="F1086" s="1623"/>
      <c r="G1086" s="1437" t="e">
        <f t="shared" si="317"/>
        <v>#DIV/0!</v>
      </c>
      <c r="H1086" s="1438" t="e">
        <f t="shared" si="313"/>
        <v>#DIV/0!</v>
      </c>
      <c r="I1086" s="1626"/>
      <c r="J1086" s="1627"/>
      <c r="K1086" s="1623"/>
      <c r="L1086" s="1623"/>
      <c r="M1086" s="1623"/>
      <c r="N1086" s="1623"/>
      <c r="O1086" s="1623"/>
      <c r="P1086" s="1625"/>
      <c r="Q1086" s="1720"/>
      <c r="R1086" s="1627"/>
      <c r="S1086" s="1623"/>
      <c r="T1086" s="1623"/>
      <c r="U1086" s="1623"/>
      <c r="V1086" s="1623"/>
      <c r="W1086" s="1625"/>
      <c r="Y1086" s="1444"/>
    </row>
    <row r="1087" spans="1:25" ht="14.25" hidden="1" thickBot="1" thickTop="1">
      <c r="A1087" s="1622"/>
      <c r="B1087" s="636"/>
      <c r="C1087" s="1623"/>
      <c r="D1087" s="1624"/>
      <c r="E1087" s="1625"/>
      <c r="F1087" s="1623"/>
      <c r="G1087" s="1437" t="e">
        <f t="shared" si="317"/>
        <v>#DIV/0!</v>
      </c>
      <c r="H1087" s="1438" t="e">
        <f t="shared" si="313"/>
        <v>#DIV/0!</v>
      </c>
      <c r="I1087" s="1626"/>
      <c r="J1087" s="1627"/>
      <c r="K1087" s="1623"/>
      <c r="L1087" s="1623"/>
      <c r="M1087" s="1623"/>
      <c r="N1087" s="1623"/>
      <c r="O1087" s="1623"/>
      <c r="P1087" s="1625"/>
      <c r="Q1087" s="1720"/>
      <c r="R1087" s="1627"/>
      <c r="S1087" s="1623"/>
      <c r="T1087" s="1623"/>
      <c r="U1087" s="1623"/>
      <c r="V1087" s="1623"/>
      <c r="W1087" s="1625"/>
      <c r="Y1087" s="1444"/>
    </row>
    <row r="1088" spans="1:25" ht="14.25" hidden="1" thickBot="1" thickTop="1">
      <c r="A1088" s="1622"/>
      <c r="B1088" s="636"/>
      <c r="C1088" s="1623"/>
      <c r="D1088" s="1624"/>
      <c r="E1088" s="1625"/>
      <c r="F1088" s="1623"/>
      <c r="G1088" s="1437" t="e">
        <f t="shared" si="317"/>
        <v>#DIV/0!</v>
      </c>
      <c r="H1088" s="1438" t="e">
        <f t="shared" si="313"/>
        <v>#DIV/0!</v>
      </c>
      <c r="I1088" s="1626"/>
      <c r="J1088" s="1627"/>
      <c r="K1088" s="1623"/>
      <c r="L1088" s="1623"/>
      <c r="M1088" s="1623"/>
      <c r="N1088" s="1623"/>
      <c r="O1088" s="1623"/>
      <c r="P1088" s="1625"/>
      <c r="Q1088" s="1720"/>
      <c r="R1088" s="1627"/>
      <c r="S1088" s="1623"/>
      <c r="T1088" s="1623"/>
      <c r="U1088" s="1623"/>
      <c r="V1088" s="1623"/>
      <c r="W1088" s="1625"/>
      <c r="Y1088" s="1444"/>
    </row>
    <row r="1089" spans="1:25" ht="14.25" hidden="1" thickBot="1" thickTop="1">
      <c r="A1089" s="1622"/>
      <c r="B1089" s="636"/>
      <c r="C1089" s="1623"/>
      <c r="D1089" s="1624"/>
      <c r="E1089" s="1625"/>
      <c r="F1089" s="1623"/>
      <c r="G1089" s="1437" t="e">
        <f t="shared" si="317"/>
        <v>#DIV/0!</v>
      </c>
      <c r="H1089" s="1438" t="e">
        <f t="shared" si="313"/>
        <v>#DIV/0!</v>
      </c>
      <c r="I1089" s="1626"/>
      <c r="J1089" s="1627"/>
      <c r="K1089" s="1623"/>
      <c r="L1089" s="1623"/>
      <c r="M1089" s="1623"/>
      <c r="N1089" s="1623"/>
      <c r="O1089" s="1623"/>
      <c r="P1089" s="1625"/>
      <c r="Q1089" s="1720"/>
      <c r="R1089" s="1627"/>
      <c r="S1089" s="1623"/>
      <c r="T1089" s="1623"/>
      <c r="U1089" s="1623"/>
      <c r="V1089" s="1623"/>
      <c r="W1089" s="1625"/>
      <c r="Y1089" s="1444"/>
    </row>
    <row r="1090" spans="1:25" ht="14.25" hidden="1" thickBot="1" thickTop="1">
      <c r="A1090" s="1622"/>
      <c r="B1090" s="636"/>
      <c r="C1090" s="1623"/>
      <c r="D1090" s="1624"/>
      <c r="E1090" s="1625"/>
      <c r="F1090" s="1623"/>
      <c r="G1090" s="1437" t="e">
        <f t="shared" si="317"/>
        <v>#DIV/0!</v>
      </c>
      <c r="H1090" s="1438" t="e">
        <f t="shared" si="313"/>
        <v>#DIV/0!</v>
      </c>
      <c r="I1090" s="1626"/>
      <c r="J1090" s="1627"/>
      <c r="K1090" s="1623"/>
      <c r="L1090" s="1623"/>
      <c r="M1090" s="1623"/>
      <c r="N1090" s="1623"/>
      <c r="O1090" s="1623"/>
      <c r="P1090" s="1625"/>
      <c r="Q1090" s="1720"/>
      <c r="R1090" s="1627"/>
      <c r="S1090" s="1623"/>
      <c r="T1090" s="1623"/>
      <c r="U1090" s="1623"/>
      <c r="V1090" s="1623"/>
      <c r="W1090" s="1625"/>
      <c r="Y1090" s="1444"/>
    </row>
    <row r="1091" spans="1:25" ht="14.25" hidden="1" thickBot="1" thickTop="1">
      <c r="A1091" s="1622"/>
      <c r="B1091" s="636"/>
      <c r="C1091" s="1623"/>
      <c r="D1091" s="1624"/>
      <c r="E1091" s="1625"/>
      <c r="F1091" s="1623"/>
      <c r="G1091" s="1437" t="e">
        <f t="shared" si="317"/>
        <v>#DIV/0!</v>
      </c>
      <c r="H1091" s="1438" t="e">
        <f t="shared" si="313"/>
        <v>#DIV/0!</v>
      </c>
      <c r="I1091" s="1626"/>
      <c r="J1091" s="1627"/>
      <c r="K1091" s="1623"/>
      <c r="L1091" s="1623"/>
      <c r="M1091" s="1623"/>
      <c r="N1091" s="1623"/>
      <c r="O1091" s="1623"/>
      <c r="P1091" s="1625"/>
      <c r="Q1091" s="1720"/>
      <c r="R1091" s="1627"/>
      <c r="S1091" s="1623"/>
      <c r="T1091" s="1623"/>
      <c r="U1091" s="1623"/>
      <c r="V1091" s="1623"/>
      <c r="W1091" s="1625"/>
      <c r="Y1091" s="1444"/>
    </row>
    <row r="1092" spans="1:25" ht="14.25" hidden="1" thickBot="1" thickTop="1">
      <c r="A1092" s="1622"/>
      <c r="B1092" s="636"/>
      <c r="C1092" s="1623"/>
      <c r="D1092" s="1624"/>
      <c r="E1092" s="1625"/>
      <c r="F1092" s="1623"/>
      <c r="G1092" s="1437" t="e">
        <f t="shared" si="317"/>
        <v>#DIV/0!</v>
      </c>
      <c r="H1092" s="1438" t="e">
        <f t="shared" si="313"/>
        <v>#DIV/0!</v>
      </c>
      <c r="I1092" s="1626"/>
      <c r="J1092" s="1627"/>
      <c r="K1092" s="1623"/>
      <c r="L1092" s="1623"/>
      <c r="M1092" s="1623"/>
      <c r="N1092" s="1623"/>
      <c r="O1092" s="1623"/>
      <c r="P1092" s="1625"/>
      <c r="Q1092" s="1720"/>
      <c r="R1092" s="1627"/>
      <c r="S1092" s="1623"/>
      <c r="T1092" s="1623"/>
      <c r="U1092" s="1623"/>
      <c r="V1092" s="1623"/>
      <c r="W1092" s="1625"/>
      <c r="Y1092" s="1444"/>
    </row>
    <row r="1093" spans="1:25" ht="14.25" hidden="1" thickBot="1" thickTop="1">
      <c r="A1093" s="1622"/>
      <c r="B1093" s="636"/>
      <c r="C1093" s="1623"/>
      <c r="D1093" s="1624"/>
      <c r="E1093" s="1625"/>
      <c r="F1093" s="1623"/>
      <c r="G1093" s="1437" t="e">
        <f t="shared" si="317"/>
        <v>#DIV/0!</v>
      </c>
      <c r="H1093" s="1438" t="e">
        <f t="shared" si="313"/>
        <v>#DIV/0!</v>
      </c>
      <c r="I1093" s="1626"/>
      <c r="J1093" s="1627"/>
      <c r="K1093" s="1623"/>
      <c r="L1093" s="1623"/>
      <c r="M1093" s="1623"/>
      <c r="N1093" s="1623"/>
      <c r="O1093" s="1623"/>
      <c r="P1093" s="1625"/>
      <c r="Q1093" s="1720"/>
      <c r="R1093" s="1627"/>
      <c r="S1093" s="1623"/>
      <c r="T1093" s="1623"/>
      <c r="U1093" s="1623"/>
      <c r="V1093" s="1623"/>
      <c r="W1093" s="1625"/>
      <c r="Y1093" s="1444"/>
    </row>
    <row r="1094" spans="1:25" ht="14.25" hidden="1" thickBot="1" thickTop="1">
      <c r="A1094" s="1622"/>
      <c r="B1094" s="636"/>
      <c r="C1094" s="1623"/>
      <c r="D1094" s="1624"/>
      <c r="E1094" s="1625"/>
      <c r="F1094" s="1623"/>
      <c r="G1094" s="1437" t="e">
        <f t="shared" si="317"/>
        <v>#DIV/0!</v>
      </c>
      <c r="H1094" s="1438" t="e">
        <f t="shared" si="313"/>
        <v>#DIV/0!</v>
      </c>
      <c r="I1094" s="1626"/>
      <c r="J1094" s="1627"/>
      <c r="K1094" s="1623"/>
      <c r="L1094" s="1623"/>
      <c r="M1094" s="1623"/>
      <c r="N1094" s="1623"/>
      <c r="O1094" s="1623"/>
      <c r="P1094" s="1625"/>
      <c r="Q1094" s="1720"/>
      <c r="R1094" s="1627"/>
      <c r="S1094" s="1623"/>
      <c r="T1094" s="1623"/>
      <c r="U1094" s="1623"/>
      <c r="V1094" s="1623"/>
      <c r="W1094" s="1625"/>
      <c r="Y1094" s="1444"/>
    </row>
    <row r="1095" spans="1:25" ht="14.25" hidden="1" thickBot="1" thickTop="1">
      <c r="A1095" s="1622"/>
      <c r="B1095" s="636"/>
      <c r="C1095" s="1623"/>
      <c r="D1095" s="1624"/>
      <c r="E1095" s="1625"/>
      <c r="F1095" s="1623"/>
      <c r="G1095" s="1437" t="e">
        <f t="shared" si="317"/>
        <v>#DIV/0!</v>
      </c>
      <c r="H1095" s="1438" t="e">
        <f t="shared" si="313"/>
        <v>#DIV/0!</v>
      </c>
      <c r="I1095" s="1626"/>
      <c r="J1095" s="1627"/>
      <c r="K1095" s="1623"/>
      <c r="L1095" s="1623"/>
      <c r="M1095" s="1623"/>
      <c r="N1095" s="1623"/>
      <c r="O1095" s="1623"/>
      <c r="P1095" s="1625"/>
      <c r="Q1095" s="1720"/>
      <c r="R1095" s="1627"/>
      <c r="S1095" s="1623"/>
      <c r="T1095" s="1623"/>
      <c r="U1095" s="1623"/>
      <c r="V1095" s="1623"/>
      <c r="W1095" s="1625"/>
      <c r="Y1095" s="1444"/>
    </row>
    <row r="1096" spans="1:25" ht="14.25" hidden="1" thickBot="1" thickTop="1">
      <c r="A1096" s="1622"/>
      <c r="B1096" s="636"/>
      <c r="C1096" s="1623"/>
      <c r="D1096" s="1624"/>
      <c r="E1096" s="1625"/>
      <c r="F1096" s="1623"/>
      <c r="G1096" s="1437" t="e">
        <f t="shared" si="317"/>
        <v>#DIV/0!</v>
      </c>
      <c r="H1096" s="1438" t="e">
        <f t="shared" si="313"/>
        <v>#DIV/0!</v>
      </c>
      <c r="I1096" s="1626"/>
      <c r="J1096" s="1627"/>
      <c r="K1096" s="1623"/>
      <c r="L1096" s="1623"/>
      <c r="M1096" s="1623"/>
      <c r="N1096" s="1623"/>
      <c r="O1096" s="1623"/>
      <c r="P1096" s="1625"/>
      <c r="Q1096" s="1720"/>
      <c r="R1096" s="1627"/>
      <c r="S1096" s="1623"/>
      <c r="T1096" s="1623"/>
      <c r="U1096" s="1623"/>
      <c r="V1096" s="1623"/>
      <c r="W1096" s="1625"/>
      <c r="Y1096" s="1444"/>
    </row>
    <row r="1097" spans="1:25" ht="14.25" hidden="1" thickBot="1" thickTop="1">
      <c r="A1097" s="1622"/>
      <c r="B1097" s="636"/>
      <c r="C1097" s="1623"/>
      <c r="D1097" s="1624"/>
      <c r="E1097" s="1625"/>
      <c r="F1097" s="1623"/>
      <c r="G1097" s="1437" t="e">
        <f t="shared" si="317"/>
        <v>#DIV/0!</v>
      </c>
      <c r="H1097" s="1438" t="e">
        <f t="shared" si="313"/>
        <v>#DIV/0!</v>
      </c>
      <c r="I1097" s="1626"/>
      <c r="J1097" s="1627"/>
      <c r="K1097" s="1623"/>
      <c r="L1097" s="1623"/>
      <c r="M1097" s="1623"/>
      <c r="N1097" s="1623"/>
      <c r="O1097" s="1623"/>
      <c r="P1097" s="1625"/>
      <c r="Q1097" s="1720"/>
      <c r="R1097" s="1627"/>
      <c r="S1097" s="1623"/>
      <c r="T1097" s="1623"/>
      <c r="U1097" s="1623"/>
      <c r="V1097" s="1623"/>
      <c r="W1097" s="1625"/>
      <c r="Y1097" s="1444"/>
    </row>
    <row r="1098" spans="1:25" ht="13.5" hidden="1" thickTop="1">
      <c r="A1098" s="1622"/>
      <c r="B1098" s="636"/>
      <c r="C1098" s="1623"/>
      <c r="D1098" s="1624"/>
      <c r="E1098" s="1625"/>
      <c r="F1098" s="1623"/>
      <c r="G1098" s="1474" t="e">
        <f t="shared" si="317"/>
        <v>#DIV/0!</v>
      </c>
      <c r="H1098" s="1475" t="e">
        <f t="shared" si="313"/>
        <v>#DIV/0!</v>
      </c>
      <c r="I1098" s="1626"/>
      <c r="J1098" s="1627"/>
      <c r="K1098" s="1623"/>
      <c r="L1098" s="1623"/>
      <c r="M1098" s="1623"/>
      <c r="N1098" s="1623"/>
      <c r="O1098" s="1623"/>
      <c r="P1098" s="1625"/>
      <c r="Q1098" s="1720"/>
      <c r="R1098" s="1627"/>
      <c r="S1098" s="1623"/>
      <c r="T1098" s="1623"/>
      <c r="U1098" s="1623"/>
      <c r="V1098" s="1623"/>
      <c r="W1098" s="1625"/>
      <c r="Y1098" s="1444"/>
    </row>
    <row r="1099" spans="1:28" s="581" customFormat="1" ht="36">
      <c r="A1099" s="1516">
        <v>85406</v>
      </c>
      <c r="B1099" s="1550" t="s">
        <v>1055</v>
      </c>
      <c r="C1099" s="1467">
        <f>SUM(C1100:C1115)</f>
        <v>1181900</v>
      </c>
      <c r="D1099" s="1467">
        <f>SUM(D1100:D1115)</f>
        <v>1165000</v>
      </c>
      <c r="E1099" s="1468">
        <f>SUM(E1100:E1115)</f>
        <v>1270100</v>
      </c>
      <c r="F1099" s="1469">
        <f>SUM(F1100:F1115)</f>
        <v>1195500</v>
      </c>
      <c r="G1099" s="1519">
        <f t="shared" si="317"/>
        <v>101.15068956764533</v>
      </c>
      <c r="H1099" s="1519">
        <f t="shared" si="313"/>
        <v>102.61802575107298</v>
      </c>
      <c r="I1099" s="1450"/>
      <c r="J1099" s="1470"/>
      <c r="K1099" s="1467"/>
      <c r="L1099" s="1467"/>
      <c r="M1099" s="1467"/>
      <c r="N1099" s="1467"/>
      <c r="O1099" s="1467"/>
      <c r="P1099" s="1471"/>
      <c r="Q1099" s="1453"/>
      <c r="R1099" s="1470">
        <f aca="true" t="shared" si="319" ref="R1099:W1099">SUM(R1100:R1115)</f>
        <v>1165000</v>
      </c>
      <c r="S1099" s="1467">
        <f t="shared" si="319"/>
        <v>1195500</v>
      </c>
      <c r="T1099" s="1467">
        <f t="shared" si="319"/>
        <v>0</v>
      </c>
      <c r="U1099" s="1467">
        <f t="shared" si="319"/>
        <v>0</v>
      </c>
      <c r="V1099" s="1467">
        <f t="shared" si="319"/>
        <v>0</v>
      </c>
      <c r="W1099" s="1471">
        <f t="shared" si="319"/>
        <v>1195500</v>
      </c>
      <c r="X1099" s="1454">
        <f aca="true" t="shared" si="320" ref="X1099:X1162">W1099/R1099*100</f>
        <v>102.61802575107298</v>
      </c>
      <c r="Y1099" s="1444"/>
      <c r="AA1099" s="1444">
        <f>SUM(S1101:S1104)</f>
        <v>1047400</v>
      </c>
      <c r="AB1099" s="1444">
        <f>Z1099+AA1099</f>
        <v>1047400</v>
      </c>
    </row>
    <row r="1100" spans="1:25" ht="24">
      <c r="A1100" s="1497">
        <v>3020</v>
      </c>
      <c r="B1100" s="1513" t="s">
        <v>717</v>
      </c>
      <c r="C1100" s="1457">
        <v>4300</v>
      </c>
      <c r="D1100" s="1457">
        <f>J1100+R1100</f>
        <v>4300</v>
      </c>
      <c r="E1100" s="1458">
        <v>4300</v>
      </c>
      <c r="F1100" s="1459">
        <f>P1100+W1100</f>
        <v>4300</v>
      </c>
      <c r="G1100" s="1499">
        <f t="shared" si="317"/>
        <v>100</v>
      </c>
      <c r="H1100" s="1499">
        <f t="shared" si="313"/>
        <v>100</v>
      </c>
      <c r="I1100" s="1450"/>
      <c r="J1100" s="1461"/>
      <c r="K1100" s="1457"/>
      <c r="L1100" s="1457"/>
      <c r="M1100" s="1457"/>
      <c r="N1100" s="1457"/>
      <c r="O1100" s="1457"/>
      <c r="P1100" s="1462"/>
      <c r="Q1100" s="1495"/>
      <c r="R1100" s="1461">
        <v>4300</v>
      </c>
      <c r="S1100" s="1457">
        <v>4300</v>
      </c>
      <c r="T1100" s="1457"/>
      <c r="U1100" s="1457"/>
      <c r="V1100" s="1457"/>
      <c r="W1100" s="1462">
        <f>SUM(S1100:V1100)</f>
        <v>4300</v>
      </c>
      <c r="X1100" s="1496">
        <f t="shared" si="320"/>
        <v>100</v>
      </c>
      <c r="Y1100" s="1444"/>
    </row>
    <row r="1101" spans="1:25" ht="24">
      <c r="A1101" s="1497">
        <v>4010</v>
      </c>
      <c r="B1101" s="1513" t="s">
        <v>626</v>
      </c>
      <c r="C1101" s="1457">
        <v>800000</v>
      </c>
      <c r="D1101" s="1457">
        <f aca="true" t="shared" si="321" ref="D1101:D1115">J1101+R1101</f>
        <v>791528</v>
      </c>
      <c r="E1101" s="1458">
        <v>827700</v>
      </c>
      <c r="F1101" s="1459">
        <f aca="true" t="shared" si="322" ref="F1101:F1115">P1101+W1101</f>
        <v>815000</v>
      </c>
      <c r="G1101" s="1499">
        <f t="shared" si="317"/>
        <v>101.875</v>
      </c>
      <c r="H1101" s="1499">
        <f t="shared" si="313"/>
        <v>102.9654036243822</v>
      </c>
      <c r="I1101" s="1450"/>
      <c r="J1101" s="1461"/>
      <c r="K1101" s="1457"/>
      <c r="L1101" s="1457"/>
      <c r="M1101" s="1457"/>
      <c r="N1101" s="1457"/>
      <c r="O1101" s="1457"/>
      <c r="P1101" s="1462"/>
      <c r="Q1101" s="1495"/>
      <c r="R1101" s="1461">
        <v>791528</v>
      </c>
      <c r="S1101" s="1457">
        <v>815000</v>
      </c>
      <c r="T1101" s="1457"/>
      <c r="U1101" s="1457"/>
      <c r="V1101" s="1457"/>
      <c r="W1101" s="1462">
        <f aca="true" t="shared" si="323" ref="W1101:W1115">SUM(S1101:V1101)</f>
        <v>815000</v>
      </c>
      <c r="X1101" s="1496">
        <f t="shared" si="320"/>
        <v>102.9654036243822</v>
      </c>
      <c r="Y1101" s="1444"/>
    </row>
    <row r="1102" spans="1:25" ht="12.75">
      <c r="A1102" s="1497">
        <v>4040</v>
      </c>
      <c r="B1102" s="1513" t="s">
        <v>630</v>
      </c>
      <c r="C1102" s="1457">
        <v>61700</v>
      </c>
      <c r="D1102" s="1457">
        <f t="shared" si="321"/>
        <v>60172</v>
      </c>
      <c r="E1102" s="1458">
        <v>61400</v>
      </c>
      <c r="F1102" s="1459">
        <f t="shared" si="322"/>
        <v>61400</v>
      </c>
      <c r="G1102" s="1499">
        <f t="shared" si="317"/>
        <v>99.51377633711506</v>
      </c>
      <c r="H1102" s="1499">
        <f t="shared" si="313"/>
        <v>102.04081632653062</v>
      </c>
      <c r="I1102" s="1450"/>
      <c r="J1102" s="1461"/>
      <c r="K1102" s="1457"/>
      <c r="L1102" s="1457"/>
      <c r="M1102" s="1457"/>
      <c r="N1102" s="1457"/>
      <c r="O1102" s="1457"/>
      <c r="P1102" s="1462"/>
      <c r="Q1102" s="1495"/>
      <c r="R1102" s="1461">
        <v>60172</v>
      </c>
      <c r="S1102" s="1457">
        <v>61400</v>
      </c>
      <c r="T1102" s="1457"/>
      <c r="U1102" s="1457"/>
      <c r="V1102" s="1457"/>
      <c r="W1102" s="1462">
        <f t="shared" si="323"/>
        <v>61400</v>
      </c>
      <c r="X1102" s="1496">
        <f t="shared" si="320"/>
        <v>102.04081632653062</v>
      </c>
      <c r="Y1102" s="1444"/>
    </row>
    <row r="1103" spans="1:25" ht="12.75">
      <c r="A1103" s="1497">
        <v>4110</v>
      </c>
      <c r="B1103" s="1513" t="s">
        <v>568</v>
      </c>
      <c r="C1103" s="1457">
        <v>153000</v>
      </c>
      <c r="D1103" s="1457">
        <f t="shared" si="321"/>
        <v>144000</v>
      </c>
      <c r="E1103" s="1458">
        <v>157700</v>
      </c>
      <c r="F1103" s="1459">
        <f t="shared" si="322"/>
        <v>150000</v>
      </c>
      <c r="G1103" s="1499">
        <f t="shared" si="317"/>
        <v>98.0392156862745</v>
      </c>
      <c r="H1103" s="1499">
        <f t="shared" si="313"/>
        <v>104.16666666666667</v>
      </c>
      <c r="I1103" s="1450"/>
      <c r="J1103" s="1461"/>
      <c r="K1103" s="1457"/>
      <c r="L1103" s="1457"/>
      <c r="M1103" s="1457"/>
      <c r="N1103" s="1457"/>
      <c r="O1103" s="1457"/>
      <c r="P1103" s="1462"/>
      <c r="Q1103" s="1495"/>
      <c r="R1103" s="1461">
        <v>144000</v>
      </c>
      <c r="S1103" s="1457">
        <v>150000</v>
      </c>
      <c r="T1103" s="1457"/>
      <c r="U1103" s="1457"/>
      <c r="V1103" s="1457"/>
      <c r="W1103" s="1462">
        <f t="shared" si="323"/>
        <v>150000</v>
      </c>
      <c r="X1103" s="1496">
        <f t="shared" si="320"/>
        <v>104.16666666666667</v>
      </c>
      <c r="Y1103" s="1444"/>
    </row>
    <row r="1104" spans="1:25" ht="12.75">
      <c r="A1104" s="1497">
        <v>4120</v>
      </c>
      <c r="B1104" s="1513" t="s">
        <v>758</v>
      </c>
      <c r="C1104" s="1457">
        <v>21000</v>
      </c>
      <c r="D1104" s="1457">
        <f t="shared" si="321"/>
        <v>20300</v>
      </c>
      <c r="E1104" s="1458">
        <v>21800</v>
      </c>
      <c r="F1104" s="1459">
        <f t="shared" si="322"/>
        <v>21000</v>
      </c>
      <c r="G1104" s="1499">
        <f t="shared" si="317"/>
        <v>100</v>
      </c>
      <c r="H1104" s="1499">
        <f t="shared" si="313"/>
        <v>103.44827586206897</v>
      </c>
      <c r="I1104" s="1450"/>
      <c r="J1104" s="1461"/>
      <c r="K1104" s="1457"/>
      <c r="L1104" s="1457"/>
      <c r="M1104" s="1457"/>
      <c r="N1104" s="1457"/>
      <c r="O1104" s="1457"/>
      <c r="P1104" s="1462"/>
      <c r="Q1104" s="1495"/>
      <c r="R1104" s="1461">
        <v>20300</v>
      </c>
      <c r="S1104" s="1457">
        <v>21000</v>
      </c>
      <c r="T1104" s="1457"/>
      <c r="U1104" s="1457"/>
      <c r="V1104" s="1457"/>
      <c r="W1104" s="1462">
        <f t="shared" si="323"/>
        <v>21000</v>
      </c>
      <c r="X1104" s="1496">
        <f t="shared" si="320"/>
        <v>103.44827586206897</v>
      </c>
      <c r="Y1104" s="1444"/>
    </row>
    <row r="1105" spans="1:25" ht="12.75">
      <c r="A1105" s="1497">
        <v>4140</v>
      </c>
      <c r="B1105" s="1513" t="s">
        <v>722</v>
      </c>
      <c r="C1105" s="1457">
        <v>7200</v>
      </c>
      <c r="D1105" s="1457">
        <f t="shared" si="321"/>
        <v>2700</v>
      </c>
      <c r="E1105" s="1458">
        <v>8400</v>
      </c>
      <c r="F1105" s="1459">
        <f t="shared" si="322"/>
        <v>8400</v>
      </c>
      <c r="G1105" s="1499">
        <f t="shared" si="317"/>
        <v>116.66666666666667</v>
      </c>
      <c r="H1105" s="1499">
        <f t="shared" si="313"/>
        <v>311.11111111111114</v>
      </c>
      <c r="I1105" s="1450"/>
      <c r="J1105" s="1461"/>
      <c r="K1105" s="1457"/>
      <c r="L1105" s="1457"/>
      <c r="M1105" s="1457"/>
      <c r="N1105" s="1457"/>
      <c r="O1105" s="1457"/>
      <c r="P1105" s="1462"/>
      <c r="Q1105" s="1495"/>
      <c r="R1105" s="1461">
        <v>2700</v>
      </c>
      <c r="S1105" s="1457">
        <v>8400</v>
      </c>
      <c r="T1105" s="1457"/>
      <c r="U1105" s="1457"/>
      <c r="V1105" s="1457"/>
      <c r="W1105" s="1462">
        <f t="shared" si="323"/>
        <v>8400</v>
      </c>
      <c r="X1105" s="1496">
        <f t="shared" si="320"/>
        <v>311.11111111111114</v>
      </c>
      <c r="Y1105" s="1444"/>
    </row>
    <row r="1106" spans="1:25" ht="12.75">
      <c r="A1106" s="1497">
        <v>4210</v>
      </c>
      <c r="B1106" s="1513" t="s">
        <v>560</v>
      </c>
      <c r="C1106" s="1457">
        <v>15000</v>
      </c>
      <c r="D1106" s="1457">
        <f t="shared" si="321"/>
        <v>19000</v>
      </c>
      <c r="E1106" s="1458">
        <v>33500</v>
      </c>
      <c r="F1106" s="1459">
        <f t="shared" si="322"/>
        <v>18000</v>
      </c>
      <c r="G1106" s="1499">
        <f t="shared" si="317"/>
        <v>120</v>
      </c>
      <c r="H1106" s="1499">
        <f t="shared" si="313"/>
        <v>94.73684210526315</v>
      </c>
      <c r="I1106" s="1450"/>
      <c r="J1106" s="1461"/>
      <c r="K1106" s="1457"/>
      <c r="L1106" s="1457"/>
      <c r="M1106" s="1457"/>
      <c r="N1106" s="1457"/>
      <c r="O1106" s="1457"/>
      <c r="P1106" s="1462"/>
      <c r="Q1106" s="1495"/>
      <c r="R1106" s="1461">
        <v>19000</v>
      </c>
      <c r="S1106" s="1457">
        <v>18000</v>
      </c>
      <c r="T1106" s="1457"/>
      <c r="U1106" s="1457"/>
      <c r="V1106" s="1457"/>
      <c r="W1106" s="1462">
        <f t="shared" si="323"/>
        <v>18000</v>
      </c>
      <c r="X1106" s="1496">
        <f t="shared" si="320"/>
        <v>94.73684210526315</v>
      </c>
      <c r="Y1106" s="1444"/>
    </row>
    <row r="1107" spans="1:25" ht="24">
      <c r="A1107" s="1497">
        <v>4240</v>
      </c>
      <c r="B1107" s="1513" t="s">
        <v>897</v>
      </c>
      <c r="C1107" s="1457">
        <v>2500</v>
      </c>
      <c r="D1107" s="1457">
        <f t="shared" si="321"/>
        <v>2500</v>
      </c>
      <c r="E1107" s="1458">
        <v>7400</v>
      </c>
      <c r="F1107" s="1459">
        <f t="shared" si="322"/>
        <v>4000</v>
      </c>
      <c r="G1107" s="1499">
        <f t="shared" si="317"/>
        <v>160</v>
      </c>
      <c r="H1107" s="1499">
        <f t="shared" si="313"/>
        <v>160</v>
      </c>
      <c r="I1107" s="1450"/>
      <c r="J1107" s="1461"/>
      <c r="K1107" s="1457"/>
      <c r="L1107" s="1457"/>
      <c r="M1107" s="1457"/>
      <c r="N1107" s="1457"/>
      <c r="O1107" s="1457"/>
      <c r="P1107" s="1462"/>
      <c r="Q1107" s="1495"/>
      <c r="R1107" s="1461">
        <v>2500</v>
      </c>
      <c r="S1107" s="1457">
        <v>4000</v>
      </c>
      <c r="T1107" s="1457"/>
      <c r="U1107" s="1457"/>
      <c r="V1107" s="1457"/>
      <c r="W1107" s="1462">
        <f t="shared" si="323"/>
        <v>4000</v>
      </c>
      <c r="X1107" s="1496">
        <f t="shared" si="320"/>
        <v>160</v>
      </c>
      <c r="Y1107" s="1444"/>
    </row>
    <row r="1108" spans="1:25" ht="12.75">
      <c r="A1108" s="1497">
        <v>4260</v>
      </c>
      <c r="B1108" s="1513" t="s">
        <v>575</v>
      </c>
      <c r="C1108" s="1457">
        <v>27000</v>
      </c>
      <c r="D1108" s="1457">
        <f t="shared" si="321"/>
        <v>24000</v>
      </c>
      <c r="E1108" s="1458">
        <v>34000</v>
      </c>
      <c r="F1108" s="1459">
        <f t="shared" si="322"/>
        <v>24000</v>
      </c>
      <c r="G1108" s="1499">
        <f t="shared" si="317"/>
        <v>88.88888888888889</v>
      </c>
      <c r="H1108" s="1499">
        <f t="shared" si="313"/>
        <v>100</v>
      </c>
      <c r="I1108" s="1450"/>
      <c r="J1108" s="1461"/>
      <c r="K1108" s="1457"/>
      <c r="L1108" s="1457"/>
      <c r="M1108" s="1457"/>
      <c r="N1108" s="1457"/>
      <c r="O1108" s="1457"/>
      <c r="P1108" s="1462"/>
      <c r="Q1108" s="1495"/>
      <c r="R1108" s="1461">
        <v>24000</v>
      </c>
      <c r="S1108" s="1457">
        <v>24000</v>
      </c>
      <c r="T1108" s="1457"/>
      <c r="U1108" s="1457"/>
      <c r="V1108" s="1457"/>
      <c r="W1108" s="1462">
        <f t="shared" si="323"/>
        <v>24000</v>
      </c>
      <c r="X1108" s="1496">
        <f t="shared" si="320"/>
        <v>100</v>
      </c>
      <c r="Y1108" s="1444"/>
    </row>
    <row r="1109" spans="1:25" ht="12.75">
      <c r="A1109" s="1497">
        <v>4280</v>
      </c>
      <c r="B1109" s="1513" t="s">
        <v>723</v>
      </c>
      <c r="C1109" s="1457">
        <v>1200</v>
      </c>
      <c r="D1109" s="1457">
        <f t="shared" si="321"/>
        <v>700</v>
      </c>
      <c r="E1109" s="1458">
        <v>800</v>
      </c>
      <c r="F1109" s="1459">
        <f t="shared" si="322"/>
        <v>800</v>
      </c>
      <c r="G1109" s="1499">
        <f t="shared" si="317"/>
        <v>66.66666666666666</v>
      </c>
      <c r="H1109" s="1499">
        <f t="shared" si="313"/>
        <v>114.28571428571428</v>
      </c>
      <c r="I1109" s="1450"/>
      <c r="J1109" s="1461"/>
      <c r="K1109" s="1457"/>
      <c r="L1109" s="1457"/>
      <c r="M1109" s="1457"/>
      <c r="N1109" s="1457"/>
      <c r="O1109" s="1457"/>
      <c r="P1109" s="1462"/>
      <c r="Q1109" s="1495"/>
      <c r="R1109" s="1461">
        <v>700</v>
      </c>
      <c r="S1109" s="1457">
        <v>800</v>
      </c>
      <c r="T1109" s="1457"/>
      <c r="U1109" s="1457"/>
      <c r="V1109" s="1457"/>
      <c r="W1109" s="1462">
        <f t="shared" si="323"/>
        <v>800</v>
      </c>
      <c r="X1109" s="1496">
        <f t="shared" si="320"/>
        <v>114.28571428571428</v>
      </c>
      <c r="Y1109" s="1444"/>
    </row>
    <row r="1110" spans="1:25" ht="12.75">
      <c r="A1110" s="1497">
        <v>4300</v>
      </c>
      <c r="B1110" s="1513" t="s">
        <v>564</v>
      </c>
      <c r="C1110" s="1457">
        <v>40000</v>
      </c>
      <c r="D1110" s="1457">
        <f t="shared" si="321"/>
        <v>37600</v>
      </c>
      <c r="E1110" s="1458">
        <v>52300</v>
      </c>
      <c r="F1110" s="1459">
        <f t="shared" si="322"/>
        <v>35000</v>
      </c>
      <c r="G1110" s="1499">
        <f t="shared" si="317"/>
        <v>87.5</v>
      </c>
      <c r="H1110" s="1499">
        <f t="shared" si="313"/>
        <v>93.08510638297872</v>
      </c>
      <c r="I1110" s="1450"/>
      <c r="J1110" s="1461"/>
      <c r="K1110" s="1457"/>
      <c r="L1110" s="1457"/>
      <c r="M1110" s="1457"/>
      <c r="N1110" s="1457"/>
      <c r="O1110" s="1457"/>
      <c r="P1110" s="1462"/>
      <c r="Q1110" s="1495"/>
      <c r="R1110" s="1461">
        <v>37600</v>
      </c>
      <c r="S1110" s="1457">
        <v>35000</v>
      </c>
      <c r="T1110" s="1457"/>
      <c r="U1110" s="1457"/>
      <c r="V1110" s="1457"/>
      <c r="W1110" s="1462">
        <f t="shared" si="323"/>
        <v>35000</v>
      </c>
      <c r="X1110" s="1496">
        <f t="shared" si="320"/>
        <v>93.08510638297872</v>
      </c>
      <c r="Y1110" s="1444"/>
    </row>
    <row r="1111" spans="1:25" ht="12.75">
      <c r="A1111" s="1497">
        <v>4350</v>
      </c>
      <c r="B1111" s="1513" t="s">
        <v>820</v>
      </c>
      <c r="C1111" s="1457"/>
      <c r="D1111" s="1457">
        <f t="shared" si="321"/>
        <v>1000</v>
      </c>
      <c r="E1111" s="1458">
        <v>2400</v>
      </c>
      <c r="F1111" s="1459">
        <f t="shared" si="322"/>
        <v>2400</v>
      </c>
      <c r="G1111" s="1499"/>
      <c r="H1111" s="1499">
        <f t="shared" si="313"/>
        <v>240</v>
      </c>
      <c r="I1111" s="1450"/>
      <c r="J1111" s="1461"/>
      <c r="K1111" s="1457"/>
      <c r="L1111" s="1457"/>
      <c r="M1111" s="1457"/>
      <c r="N1111" s="1457"/>
      <c r="O1111" s="1457"/>
      <c r="P1111" s="1462"/>
      <c r="Q1111" s="1495"/>
      <c r="R1111" s="1461">
        <v>1000</v>
      </c>
      <c r="S1111" s="1457">
        <v>2400</v>
      </c>
      <c r="T1111" s="1457"/>
      <c r="U1111" s="1457"/>
      <c r="V1111" s="1457"/>
      <c r="W1111" s="1462">
        <f t="shared" si="323"/>
        <v>2400</v>
      </c>
      <c r="X1111" s="1496">
        <f t="shared" si="320"/>
        <v>240</v>
      </c>
      <c r="Y1111" s="1444"/>
    </row>
    <row r="1112" spans="1:25" ht="12.75">
      <c r="A1112" s="1497">
        <v>4410</v>
      </c>
      <c r="B1112" s="1513" t="s">
        <v>618</v>
      </c>
      <c r="C1112" s="1457">
        <v>1800</v>
      </c>
      <c r="D1112" s="1457">
        <f t="shared" si="321"/>
        <v>1800</v>
      </c>
      <c r="E1112" s="1458">
        <v>2000</v>
      </c>
      <c r="F1112" s="1459">
        <f t="shared" si="322"/>
        <v>1800</v>
      </c>
      <c r="G1112" s="1499">
        <f t="shared" si="317"/>
        <v>100</v>
      </c>
      <c r="H1112" s="1499">
        <f t="shared" si="313"/>
        <v>100</v>
      </c>
      <c r="I1112" s="1450"/>
      <c r="J1112" s="1461"/>
      <c r="K1112" s="1457"/>
      <c r="L1112" s="1457"/>
      <c r="M1112" s="1457"/>
      <c r="N1112" s="1457"/>
      <c r="O1112" s="1457"/>
      <c r="P1112" s="1462"/>
      <c r="Q1112" s="1495"/>
      <c r="R1112" s="1461">
        <v>1800</v>
      </c>
      <c r="S1112" s="1457">
        <v>1800</v>
      </c>
      <c r="T1112" s="1457"/>
      <c r="U1112" s="1457"/>
      <c r="V1112" s="1457"/>
      <c r="W1112" s="1462">
        <f t="shared" si="323"/>
        <v>1800</v>
      </c>
      <c r="X1112" s="1496">
        <f t="shared" si="320"/>
        <v>100</v>
      </c>
      <c r="Y1112" s="1444"/>
    </row>
    <row r="1113" spans="1:25" ht="12.75">
      <c r="A1113" s="1497">
        <v>4440</v>
      </c>
      <c r="B1113" s="1513" t="s">
        <v>641</v>
      </c>
      <c r="C1113" s="1457">
        <v>47200</v>
      </c>
      <c r="D1113" s="1457">
        <f t="shared" si="321"/>
        <v>48400</v>
      </c>
      <c r="E1113" s="1458">
        <v>49400</v>
      </c>
      <c r="F1113" s="1459">
        <f t="shared" si="322"/>
        <v>49400</v>
      </c>
      <c r="G1113" s="1609">
        <f t="shared" si="317"/>
        <v>104.66101694915255</v>
      </c>
      <c r="H1113" s="1610">
        <f t="shared" si="313"/>
        <v>102.06611570247934</v>
      </c>
      <c r="I1113" s="1450"/>
      <c r="J1113" s="1461"/>
      <c r="K1113" s="1457"/>
      <c r="L1113" s="1457"/>
      <c r="M1113" s="1457"/>
      <c r="N1113" s="1457"/>
      <c r="O1113" s="1457"/>
      <c r="P1113" s="1462"/>
      <c r="Q1113" s="1495"/>
      <c r="R1113" s="1461">
        <v>48400</v>
      </c>
      <c r="S1113" s="1457">
        <v>49400</v>
      </c>
      <c r="T1113" s="1457"/>
      <c r="U1113" s="1457"/>
      <c r="V1113" s="1457"/>
      <c r="W1113" s="1462">
        <f t="shared" si="323"/>
        <v>49400</v>
      </c>
      <c r="X1113" s="1496">
        <f t="shared" si="320"/>
        <v>102.06611570247934</v>
      </c>
      <c r="Y1113" s="1444"/>
    </row>
    <row r="1114" spans="1:25" ht="24">
      <c r="A1114" s="1497">
        <v>6060</v>
      </c>
      <c r="B1114" s="1513" t="s">
        <v>870</v>
      </c>
      <c r="C1114" s="1457"/>
      <c r="D1114" s="1457">
        <f t="shared" si="321"/>
        <v>7000</v>
      </c>
      <c r="E1114" s="1458">
        <v>7000</v>
      </c>
      <c r="F1114" s="1459">
        <f t="shared" si="322"/>
        <v>0</v>
      </c>
      <c r="G1114" s="1499"/>
      <c r="H1114" s="1499">
        <f t="shared" si="313"/>
        <v>0</v>
      </c>
      <c r="I1114" s="1450"/>
      <c r="J1114" s="1461"/>
      <c r="K1114" s="1457"/>
      <c r="L1114" s="1457"/>
      <c r="M1114" s="1457"/>
      <c r="N1114" s="1457"/>
      <c r="O1114" s="1457"/>
      <c r="P1114" s="1462"/>
      <c r="Q1114" s="1495"/>
      <c r="R1114" s="1461">
        <v>7000</v>
      </c>
      <c r="S1114" s="1457"/>
      <c r="T1114" s="1457"/>
      <c r="U1114" s="1457"/>
      <c r="V1114" s="1457"/>
      <c r="W1114" s="1462">
        <f t="shared" si="323"/>
        <v>0</v>
      </c>
      <c r="X1114" s="1496">
        <f t="shared" si="320"/>
        <v>0</v>
      </c>
      <c r="Y1114" s="1444"/>
    </row>
    <row r="1115" spans="1:25" ht="12.75" hidden="1">
      <c r="A1115" s="1497">
        <v>4480</v>
      </c>
      <c r="B1115" s="1513" t="s">
        <v>1327</v>
      </c>
      <c r="C1115" s="1457">
        <v>0</v>
      </c>
      <c r="D1115" s="1457">
        <f t="shared" si="321"/>
        <v>0</v>
      </c>
      <c r="E1115" s="1458">
        <v>0</v>
      </c>
      <c r="F1115" s="1459">
        <f t="shared" si="322"/>
        <v>0</v>
      </c>
      <c r="G1115" s="1519" t="e">
        <f t="shared" si="317"/>
        <v>#DIV/0!</v>
      </c>
      <c r="H1115" s="1519" t="e">
        <f t="shared" si="313"/>
        <v>#DIV/0!</v>
      </c>
      <c r="I1115" s="1450"/>
      <c r="J1115" s="1461"/>
      <c r="K1115" s="1457"/>
      <c r="L1115" s="1457"/>
      <c r="M1115" s="1457"/>
      <c r="N1115" s="1457"/>
      <c r="O1115" s="1457"/>
      <c r="P1115" s="1462">
        <f>SUM(K1115:N1115)</f>
        <v>0</v>
      </c>
      <c r="Q1115" s="1495" t="e">
        <f>P1115/J1115*100</f>
        <v>#DIV/0!</v>
      </c>
      <c r="R1115" s="1461">
        <v>0</v>
      </c>
      <c r="S1115" s="1457">
        <v>0</v>
      </c>
      <c r="T1115" s="1457"/>
      <c r="U1115" s="1457"/>
      <c r="V1115" s="1457"/>
      <c r="W1115" s="1462">
        <f t="shared" si="323"/>
        <v>0</v>
      </c>
      <c r="X1115" s="1496" t="e">
        <f t="shared" si="320"/>
        <v>#DIV/0!</v>
      </c>
      <c r="Y1115" s="1444"/>
    </row>
    <row r="1116" spans="1:28" s="581" customFormat="1" ht="24">
      <c r="A1116" s="1516">
        <v>85407</v>
      </c>
      <c r="B1116" s="1550" t="s">
        <v>1056</v>
      </c>
      <c r="C1116" s="1467">
        <f>SUM(C1117:C1134)</f>
        <v>1034900</v>
      </c>
      <c r="D1116" s="1467">
        <f>SUM(D1117:D1134)</f>
        <v>1101010</v>
      </c>
      <c r="E1116" s="1468">
        <f>SUM(E1117:E1134)</f>
        <v>1138000</v>
      </c>
      <c r="F1116" s="1469">
        <f>SUM(F1117:F1134)</f>
        <v>1067500</v>
      </c>
      <c r="G1116" s="1519">
        <f t="shared" si="317"/>
        <v>103.15006280800077</v>
      </c>
      <c r="H1116" s="1519">
        <f t="shared" si="313"/>
        <v>96.95643091343403</v>
      </c>
      <c r="I1116" s="1450"/>
      <c r="J1116" s="1470"/>
      <c r="K1116" s="1467"/>
      <c r="L1116" s="1467"/>
      <c r="M1116" s="1467"/>
      <c r="N1116" s="1467"/>
      <c r="O1116" s="1467"/>
      <c r="P1116" s="1471"/>
      <c r="Q1116" s="1453"/>
      <c r="R1116" s="1470">
        <f aca="true" t="shared" si="324" ref="R1116:W1116">SUM(R1117:R1134)</f>
        <v>1101010</v>
      </c>
      <c r="S1116" s="1467">
        <f t="shared" si="324"/>
        <v>1067500</v>
      </c>
      <c r="T1116" s="1467">
        <f t="shared" si="324"/>
        <v>0</v>
      </c>
      <c r="U1116" s="1467">
        <f t="shared" si="324"/>
        <v>0</v>
      </c>
      <c r="V1116" s="1467">
        <f t="shared" si="324"/>
        <v>0</v>
      </c>
      <c r="W1116" s="1471">
        <f t="shared" si="324"/>
        <v>1067500</v>
      </c>
      <c r="X1116" s="1454">
        <f t="shared" si="320"/>
        <v>96.95643091343403</v>
      </c>
      <c r="Y1116" s="1444"/>
      <c r="AA1116" s="1444">
        <f>SUM(S1118:S1121)</f>
        <v>871500</v>
      </c>
      <c r="AB1116" s="1444">
        <f>Z1116+AA1116</f>
        <v>871500</v>
      </c>
    </row>
    <row r="1117" spans="1:25" ht="24">
      <c r="A1117" s="1497">
        <v>3020</v>
      </c>
      <c r="B1117" s="1513" t="s">
        <v>717</v>
      </c>
      <c r="C1117" s="1457">
        <v>2500</v>
      </c>
      <c r="D1117" s="1457">
        <f>J1117+R1117</f>
        <v>2700</v>
      </c>
      <c r="E1117" s="1458">
        <v>4300</v>
      </c>
      <c r="F1117" s="1459">
        <f>P1117+W1117</f>
        <v>4300</v>
      </c>
      <c r="G1117" s="1499">
        <f t="shared" si="317"/>
        <v>172</v>
      </c>
      <c r="H1117" s="1499">
        <f t="shared" si="313"/>
        <v>159.25925925925927</v>
      </c>
      <c r="I1117" s="1450"/>
      <c r="J1117" s="1461"/>
      <c r="K1117" s="1457"/>
      <c r="L1117" s="1457"/>
      <c r="M1117" s="1457"/>
      <c r="N1117" s="1457"/>
      <c r="O1117" s="1457"/>
      <c r="P1117" s="1462"/>
      <c r="Q1117" s="1495"/>
      <c r="R1117" s="1461">
        <v>2700</v>
      </c>
      <c r="S1117" s="1457">
        <v>4300</v>
      </c>
      <c r="T1117" s="1457"/>
      <c r="U1117" s="1457"/>
      <c r="V1117" s="1457"/>
      <c r="W1117" s="1462">
        <f>SUM(S1117:V1117)</f>
        <v>4300</v>
      </c>
      <c r="X1117" s="1496">
        <f t="shared" si="320"/>
        <v>159.25925925925927</v>
      </c>
      <c r="Y1117" s="1444"/>
    </row>
    <row r="1118" spans="1:25" ht="24">
      <c r="A1118" s="1497">
        <v>4010</v>
      </c>
      <c r="B1118" s="1513" t="s">
        <v>626</v>
      </c>
      <c r="C1118" s="1457">
        <v>623300</v>
      </c>
      <c r="D1118" s="1457">
        <f aca="true" t="shared" si="325" ref="D1118:D1134">J1118+R1118</f>
        <v>652400</v>
      </c>
      <c r="E1118" s="1458">
        <v>698200</v>
      </c>
      <c r="F1118" s="1459">
        <f aca="true" t="shared" si="326" ref="F1118:F1134">P1118+W1118</f>
        <v>672000</v>
      </c>
      <c r="G1118" s="1499">
        <f t="shared" si="317"/>
        <v>107.81325204556393</v>
      </c>
      <c r="H1118" s="1499">
        <f t="shared" si="313"/>
        <v>103.00429184549355</v>
      </c>
      <c r="I1118" s="1450"/>
      <c r="J1118" s="1461"/>
      <c r="K1118" s="1457"/>
      <c r="L1118" s="1457"/>
      <c r="M1118" s="1457"/>
      <c r="N1118" s="1457"/>
      <c r="O1118" s="1457"/>
      <c r="P1118" s="1462"/>
      <c r="Q1118" s="1495"/>
      <c r="R1118" s="1461">
        <v>652400</v>
      </c>
      <c r="S1118" s="1457">
        <v>672000</v>
      </c>
      <c r="T1118" s="1457"/>
      <c r="U1118" s="1457"/>
      <c r="V1118" s="1457"/>
      <c r="W1118" s="1462">
        <f aca="true" t="shared" si="327" ref="W1118:W1134">SUM(S1118:V1118)</f>
        <v>672000</v>
      </c>
      <c r="X1118" s="1496">
        <f t="shared" si="320"/>
        <v>103.00429184549355</v>
      </c>
      <c r="Y1118" s="1444"/>
    </row>
    <row r="1119" spans="1:25" ht="12.75">
      <c r="A1119" s="1497">
        <v>4040</v>
      </c>
      <c r="B1119" s="1513" t="s">
        <v>630</v>
      </c>
      <c r="C1119" s="1457">
        <v>46100</v>
      </c>
      <c r="D1119" s="1457">
        <f t="shared" si="325"/>
        <v>45550</v>
      </c>
      <c r="E1119" s="1458">
        <v>51800</v>
      </c>
      <c r="F1119" s="1459">
        <f t="shared" si="326"/>
        <v>51800</v>
      </c>
      <c r="G1119" s="1499">
        <f t="shared" si="317"/>
        <v>112.36442516268981</v>
      </c>
      <c r="H1119" s="1499">
        <f t="shared" si="313"/>
        <v>113.72118551042809</v>
      </c>
      <c r="I1119" s="1450"/>
      <c r="J1119" s="1461"/>
      <c r="K1119" s="1457"/>
      <c r="L1119" s="1457"/>
      <c r="M1119" s="1457"/>
      <c r="N1119" s="1457"/>
      <c r="O1119" s="1457"/>
      <c r="P1119" s="1462"/>
      <c r="Q1119" s="1495"/>
      <c r="R1119" s="1461">
        <v>45550</v>
      </c>
      <c r="S1119" s="1457">
        <v>51800</v>
      </c>
      <c r="T1119" s="1457"/>
      <c r="U1119" s="1457"/>
      <c r="V1119" s="1457"/>
      <c r="W1119" s="1462">
        <f t="shared" si="327"/>
        <v>51800</v>
      </c>
      <c r="X1119" s="1496">
        <f t="shared" si="320"/>
        <v>113.72118551042809</v>
      </c>
      <c r="Y1119" s="1444"/>
    </row>
    <row r="1120" spans="1:25" ht="12.75">
      <c r="A1120" s="1497">
        <v>4110</v>
      </c>
      <c r="B1120" s="1513" t="s">
        <v>568</v>
      </c>
      <c r="C1120" s="1457">
        <v>118100</v>
      </c>
      <c r="D1120" s="1457">
        <f t="shared" si="325"/>
        <v>119100</v>
      </c>
      <c r="E1120" s="1458">
        <v>133800</v>
      </c>
      <c r="F1120" s="1459">
        <f t="shared" si="326"/>
        <v>130000</v>
      </c>
      <c r="G1120" s="1499">
        <f t="shared" si="317"/>
        <v>110.0762066045724</v>
      </c>
      <c r="H1120" s="1499">
        <f t="shared" si="313"/>
        <v>109.15197313182199</v>
      </c>
      <c r="I1120" s="1450"/>
      <c r="J1120" s="1461"/>
      <c r="K1120" s="1457"/>
      <c r="L1120" s="1457"/>
      <c r="M1120" s="1457"/>
      <c r="N1120" s="1457"/>
      <c r="O1120" s="1457"/>
      <c r="P1120" s="1462"/>
      <c r="Q1120" s="1495"/>
      <c r="R1120" s="1461">
        <v>119100</v>
      </c>
      <c r="S1120" s="1457">
        <v>130000</v>
      </c>
      <c r="T1120" s="1457"/>
      <c r="U1120" s="1457"/>
      <c r="V1120" s="1457"/>
      <c r="W1120" s="1462">
        <f t="shared" si="327"/>
        <v>130000</v>
      </c>
      <c r="X1120" s="1496">
        <f t="shared" si="320"/>
        <v>109.15197313182199</v>
      </c>
      <c r="Y1120" s="1444"/>
    </row>
    <row r="1121" spans="1:25" ht="12.75">
      <c r="A1121" s="1497">
        <v>4120</v>
      </c>
      <c r="B1121" s="1513" t="s">
        <v>758</v>
      </c>
      <c r="C1121" s="1457">
        <v>16100</v>
      </c>
      <c r="D1121" s="1457">
        <f t="shared" si="325"/>
        <v>16500</v>
      </c>
      <c r="E1121" s="1458">
        <v>18200</v>
      </c>
      <c r="F1121" s="1459">
        <f>P1121+W1121</f>
        <v>17700</v>
      </c>
      <c r="G1121" s="1499">
        <f t="shared" si="317"/>
        <v>109.93788819875776</v>
      </c>
      <c r="H1121" s="1499">
        <f t="shared" si="313"/>
        <v>107.27272727272728</v>
      </c>
      <c r="I1121" s="1450"/>
      <c r="J1121" s="1461"/>
      <c r="K1121" s="1457"/>
      <c r="L1121" s="1457"/>
      <c r="M1121" s="1457"/>
      <c r="N1121" s="1457"/>
      <c r="O1121" s="1457"/>
      <c r="P1121" s="1462"/>
      <c r="Q1121" s="1495"/>
      <c r="R1121" s="1461">
        <v>16500</v>
      </c>
      <c r="S1121" s="1457">
        <v>17700</v>
      </c>
      <c r="T1121" s="1457"/>
      <c r="U1121" s="1457"/>
      <c r="V1121" s="1457"/>
      <c r="W1121" s="1462">
        <f>SUM(S1121:V1121)</f>
        <v>17700</v>
      </c>
      <c r="X1121" s="1496">
        <f>W1121/R1121*100</f>
        <v>107.27272727272728</v>
      </c>
      <c r="Y1121" s="1444"/>
    </row>
    <row r="1122" spans="1:25" ht="12.75">
      <c r="A1122" s="1497">
        <v>4140</v>
      </c>
      <c r="B1122" s="1513" t="s">
        <v>722</v>
      </c>
      <c r="C1122" s="1457">
        <v>8100</v>
      </c>
      <c r="D1122" s="1457">
        <f t="shared" si="325"/>
        <v>9650</v>
      </c>
      <c r="E1122" s="1458">
        <v>10800</v>
      </c>
      <c r="F1122" s="1459">
        <f>P1122+W1122</f>
        <v>10800</v>
      </c>
      <c r="G1122" s="1499">
        <f t="shared" si="317"/>
        <v>133.33333333333331</v>
      </c>
      <c r="H1122" s="1499">
        <f t="shared" si="313"/>
        <v>111.91709844559585</v>
      </c>
      <c r="I1122" s="1450"/>
      <c r="J1122" s="1461"/>
      <c r="K1122" s="1457"/>
      <c r="L1122" s="1457"/>
      <c r="M1122" s="1457"/>
      <c r="N1122" s="1457"/>
      <c r="O1122" s="1457"/>
      <c r="P1122" s="1462"/>
      <c r="Q1122" s="1495"/>
      <c r="R1122" s="1461">
        <v>9650</v>
      </c>
      <c r="S1122" s="1457">
        <v>10800</v>
      </c>
      <c r="T1122" s="1457"/>
      <c r="U1122" s="1457"/>
      <c r="V1122" s="1457"/>
      <c r="W1122" s="1462">
        <f>SUM(S1122:V1122)</f>
        <v>10800</v>
      </c>
      <c r="X1122" s="1496">
        <f>W1122/R1122*100</f>
        <v>111.91709844559585</v>
      </c>
      <c r="Y1122" s="1444"/>
    </row>
    <row r="1123" spans="1:25" ht="12.75">
      <c r="A1123" s="1497">
        <v>4170</v>
      </c>
      <c r="B1123" s="1513" t="s">
        <v>1057</v>
      </c>
      <c r="C1123" s="1457"/>
      <c r="D1123" s="1457">
        <f t="shared" si="325"/>
        <v>9420</v>
      </c>
      <c r="E1123" s="1458"/>
      <c r="F1123" s="1459"/>
      <c r="G1123" s="1499"/>
      <c r="H1123" s="1499">
        <f t="shared" si="313"/>
        <v>0</v>
      </c>
      <c r="I1123" s="1450"/>
      <c r="J1123" s="1461"/>
      <c r="K1123" s="1457"/>
      <c r="L1123" s="1457"/>
      <c r="M1123" s="1457"/>
      <c r="N1123" s="1457"/>
      <c r="O1123" s="1457"/>
      <c r="P1123" s="1462"/>
      <c r="Q1123" s="1495"/>
      <c r="R1123" s="1461">
        <v>9420</v>
      </c>
      <c r="S1123" s="1457"/>
      <c r="T1123" s="1457"/>
      <c r="U1123" s="1457"/>
      <c r="V1123" s="1457"/>
      <c r="W1123" s="1462"/>
      <c r="X1123" s="1496"/>
      <c r="Y1123" s="1444"/>
    </row>
    <row r="1124" spans="1:25" ht="12.75">
      <c r="A1124" s="1497">
        <v>4210</v>
      </c>
      <c r="B1124" s="1513" t="s">
        <v>560</v>
      </c>
      <c r="C1124" s="1457">
        <v>38200</v>
      </c>
      <c r="D1124" s="1457">
        <f t="shared" si="325"/>
        <v>56990</v>
      </c>
      <c r="E1124" s="1458">
        <v>41600</v>
      </c>
      <c r="F1124" s="1459">
        <f t="shared" si="326"/>
        <v>30000</v>
      </c>
      <c r="G1124" s="1499">
        <f aca="true" t="shared" si="328" ref="G1124:G1184">F1124/C1124*100</f>
        <v>78.53403141361257</v>
      </c>
      <c r="H1124" s="1499">
        <f aca="true" t="shared" si="329" ref="H1124:H1187">F1124/D1124*100</f>
        <v>52.640814177925954</v>
      </c>
      <c r="I1124" s="1450"/>
      <c r="J1124" s="1461"/>
      <c r="K1124" s="1457"/>
      <c r="L1124" s="1457"/>
      <c r="M1124" s="1457"/>
      <c r="N1124" s="1457"/>
      <c r="O1124" s="1457"/>
      <c r="P1124" s="1462"/>
      <c r="Q1124" s="1495"/>
      <c r="R1124" s="1461">
        <v>56990</v>
      </c>
      <c r="S1124" s="1457">
        <v>30000</v>
      </c>
      <c r="T1124" s="1457"/>
      <c r="U1124" s="1457"/>
      <c r="V1124" s="1457"/>
      <c r="W1124" s="1462">
        <f t="shared" si="327"/>
        <v>30000</v>
      </c>
      <c r="X1124" s="1496">
        <f t="shared" si="320"/>
        <v>52.640814177925954</v>
      </c>
      <c r="Y1124" s="1444"/>
    </row>
    <row r="1125" spans="1:25" ht="24">
      <c r="A1125" s="1497">
        <v>4240</v>
      </c>
      <c r="B1125" s="1513" t="s">
        <v>897</v>
      </c>
      <c r="C1125" s="1457">
        <v>15200</v>
      </c>
      <c r="D1125" s="1457">
        <f t="shared" si="325"/>
        <v>15200</v>
      </c>
      <c r="E1125" s="1458">
        <v>17000</v>
      </c>
      <c r="F1125" s="1459">
        <f t="shared" si="326"/>
        <v>5000</v>
      </c>
      <c r="G1125" s="1499">
        <f t="shared" si="328"/>
        <v>32.89473684210527</v>
      </c>
      <c r="H1125" s="1499">
        <f t="shared" si="329"/>
        <v>32.89473684210527</v>
      </c>
      <c r="I1125" s="1450"/>
      <c r="J1125" s="1461"/>
      <c r="K1125" s="1457"/>
      <c r="L1125" s="1457"/>
      <c r="M1125" s="1457"/>
      <c r="N1125" s="1457"/>
      <c r="O1125" s="1457"/>
      <c r="P1125" s="1462"/>
      <c r="Q1125" s="1495"/>
      <c r="R1125" s="1461">
        <v>15200</v>
      </c>
      <c r="S1125" s="1457">
        <v>5000</v>
      </c>
      <c r="T1125" s="1457"/>
      <c r="U1125" s="1457"/>
      <c r="V1125" s="1457"/>
      <c r="W1125" s="1462">
        <f t="shared" si="327"/>
        <v>5000</v>
      </c>
      <c r="X1125" s="1496">
        <f t="shared" si="320"/>
        <v>32.89473684210527</v>
      </c>
      <c r="Y1125" s="1444"/>
    </row>
    <row r="1126" spans="1:25" ht="12.75">
      <c r="A1126" s="1497">
        <v>4260</v>
      </c>
      <c r="B1126" s="1513" t="s">
        <v>575</v>
      </c>
      <c r="C1126" s="1457">
        <v>81400</v>
      </c>
      <c r="D1126" s="1457">
        <f t="shared" si="325"/>
        <v>64000</v>
      </c>
      <c r="E1126" s="1458">
        <v>67000</v>
      </c>
      <c r="F1126" s="1459">
        <f t="shared" si="326"/>
        <v>65000</v>
      </c>
      <c r="G1126" s="1499">
        <f t="shared" si="328"/>
        <v>79.85257985257985</v>
      </c>
      <c r="H1126" s="1499">
        <f t="shared" si="329"/>
        <v>101.5625</v>
      </c>
      <c r="I1126" s="1450"/>
      <c r="J1126" s="1461"/>
      <c r="K1126" s="1457"/>
      <c r="L1126" s="1457"/>
      <c r="M1126" s="1457"/>
      <c r="N1126" s="1457"/>
      <c r="O1126" s="1457"/>
      <c r="P1126" s="1462"/>
      <c r="Q1126" s="1495"/>
      <c r="R1126" s="1461">
        <v>64000</v>
      </c>
      <c r="S1126" s="1457">
        <v>65000</v>
      </c>
      <c r="T1126" s="1457"/>
      <c r="U1126" s="1457"/>
      <c r="V1126" s="1457"/>
      <c r="W1126" s="1462">
        <f t="shared" si="327"/>
        <v>65000</v>
      </c>
      <c r="X1126" s="1496">
        <f t="shared" si="320"/>
        <v>101.5625</v>
      </c>
      <c r="Y1126" s="1444"/>
    </row>
    <row r="1127" spans="1:25" ht="12.75">
      <c r="A1127" s="1497">
        <v>4280</v>
      </c>
      <c r="B1127" s="1513" t="s">
        <v>723</v>
      </c>
      <c r="C1127" s="1457">
        <v>1200</v>
      </c>
      <c r="D1127" s="1457">
        <f t="shared" si="325"/>
        <v>1200</v>
      </c>
      <c r="E1127" s="1458">
        <v>1300</v>
      </c>
      <c r="F1127" s="1459">
        <f t="shared" si="326"/>
        <v>1300</v>
      </c>
      <c r="G1127" s="1499">
        <f t="shared" si="328"/>
        <v>108.33333333333333</v>
      </c>
      <c r="H1127" s="1499">
        <f t="shared" si="329"/>
        <v>108.33333333333333</v>
      </c>
      <c r="I1127" s="1450"/>
      <c r="J1127" s="1461"/>
      <c r="K1127" s="1457"/>
      <c r="L1127" s="1457"/>
      <c r="M1127" s="1457"/>
      <c r="N1127" s="1457"/>
      <c r="O1127" s="1457"/>
      <c r="P1127" s="1462"/>
      <c r="Q1127" s="1495"/>
      <c r="R1127" s="1461">
        <v>1200</v>
      </c>
      <c r="S1127" s="1457">
        <v>1300</v>
      </c>
      <c r="T1127" s="1457"/>
      <c r="U1127" s="1457"/>
      <c r="V1127" s="1457"/>
      <c r="W1127" s="1462">
        <f t="shared" si="327"/>
        <v>1300</v>
      </c>
      <c r="X1127" s="1496">
        <f t="shared" si="320"/>
        <v>108.33333333333333</v>
      </c>
      <c r="Y1127" s="1444"/>
    </row>
    <row r="1128" spans="1:25" ht="12.75">
      <c r="A1128" s="1497">
        <v>4300</v>
      </c>
      <c r="B1128" s="1513" t="s">
        <v>564</v>
      </c>
      <c r="C1128" s="1457">
        <v>38800</v>
      </c>
      <c r="D1128" s="1457">
        <f t="shared" si="325"/>
        <v>59950</v>
      </c>
      <c r="E1128" s="1458">
        <v>43900</v>
      </c>
      <c r="F1128" s="1459">
        <f t="shared" si="326"/>
        <v>30000</v>
      </c>
      <c r="G1128" s="1499">
        <f t="shared" si="328"/>
        <v>77.31958762886599</v>
      </c>
      <c r="H1128" s="1499">
        <f t="shared" si="329"/>
        <v>50.0417014178482</v>
      </c>
      <c r="I1128" s="1450"/>
      <c r="J1128" s="1461"/>
      <c r="K1128" s="1457"/>
      <c r="L1128" s="1457"/>
      <c r="M1128" s="1457"/>
      <c r="N1128" s="1457"/>
      <c r="O1128" s="1457"/>
      <c r="P1128" s="1462"/>
      <c r="Q1128" s="1495"/>
      <c r="R1128" s="1461">
        <v>59950</v>
      </c>
      <c r="S1128" s="1457">
        <v>30000</v>
      </c>
      <c r="T1128" s="1457"/>
      <c r="U1128" s="1457"/>
      <c r="V1128" s="1457"/>
      <c r="W1128" s="1462">
        <f t="shared" si="327"/>
        <v>30000</v>
      </c>
      <c r="X1128" s="1496">
        <f t="shared" si="320"/>
        <v>50.0417014178482</v>
      </c>
      <c r="Y1128" s="1444"/>
    </row>
    <row r="1129" spans="1:25" ht="12.75">
      <c r="A1129" s="1497">
        <v>4350</v>
      </c>
      <c r="B1129" s="1513" t="s">
        <v>820</v>
      </c>
      <c r="C1129" s="1457"/>
      <c r="D1129" s="1457">
        <f t="shared" si="325"/>
        <v>1500</v>
      </c>
      <c r="E1129" s="1458">
        <v>1500</v>
      </c>
      <c r="F1129" s="1459">
        <f t="shared" si="326"/>
        <v>1500</v>
      </c>
      <c r="G1129" s="1499"/>
      <c r="H1129" s="1499">
        <f t="shared" si="329"/>
        <v>100</v>
      </c>
      <c r="I1129" s="1450"/>
      <c r="J1129" s="1461"/>
      <c r="K1129" s="1457"/>
      <c r="L1129" s="1457"/>
      <c r="M1129" s="1457"/>
      <c r="N1129" s="1457"/>
      <c r="O1129" s="1457"/>
      <c r="P1129" s="1462"/>
      <c r="Q1129" s="1495"/>
      <c r="R1129" s="1461">
        <v>1500</v>
      </c>
      <c r="S1129" s="1457">
        <v>1500</v>
      </c>
      <c r="T1129" s="1457"/>
      <c r="U1129" s="1457"/>
      <c r="V1129" s="1457"/>
      <c r="W1129" s="1462">
        <f t="shared" si="327"/>
        <v>1500</v>
      </c>
      <c r="X1129" s="1496">
        <f t="shared" si="320"/>
        <v>100</v>
      </c>
      <c r="Y1129" s="1444"/>
    </row>
    <row r="1130" spans="1:25" ht="12.75">
      <c r="A1130" s="1497">
        <v>4410</v>
      </c>
      <c r="B1130" s="1513" t="s">
        <v>618</v>
      </c>
      <c r="C1130" s="1457">
        <v>3500</v>
      </c>
      <c r="D1130" s="1457">
        <f t="shared" si="325"/>
        <v>3500</v>
      </c>
      <c r="E1130" s="1458">
        <v>4000</v>
      </c>
      <c r="F1130" s="1459">
        <f t="shared" si="326"/>
        <v>3500</v>
      </c>
      <c r="G1130" s="1499">
        <f t="shared" si="328"/>
        <v>100</v>
      </c>
      <c r="H1130" s="1499">
        <f t="shared" si="329"/>
        <v>100</v>
      </c>
      <c r="I1130" s="1450"/>
      <c r="J1130" s="1461"/>
      <c r="K1130" s="1457"/>
      <c r="L1130" s="1457"/>
      <c r="M1130" s="1457"/>
      <c r="N1130" s="1457"/>
      <c r="O1130" s="1457"/>
      <c r="P1130" s="1462"/>
      <c r="Q1130" s="1495"/>
      <c r="R1130" s="1461">
        <v>3500</v>
      </c>
      <c r="S1130" s="1457">
        <v>3500</v>
      </c>
      <c r="T1130" s="1457"/>
      <c r="U1130" s="1457"/>
      <c r="V1130" s="1457"/>
      <c r="W1130" s="1462">
        <f t="shared" si="327"/>
        <v>3500</v>
      </c>
      <c r="X1130" s="1496">
        <f t="shared" si="320"/>
        <v>100</v>
      </c>
      <c r="Y1130" s="1444"/>
    </row>
    <row r="1131" spans="1:25" ht="12.75" hidden="1">
      <c r="A1131" s="1497">
        <v>4430</v>
      </c>
      <c r="B1131" s="1513" t="s">
        <v>582</v>
      </c>
      <c r="C1131" s="1457"/>
      <c r="D1131" s="1457">
        <f t="shared" si="325"/>
        <v>0</v>
      </c>
      <c r="E1131" s="1458"/>
      <c r="F1131" s="1459">
        <f t="shared" si="326"/>
        <v>0</v>
      </c>
      <c r="G1131" s="1499" t="e">
        <f t="shared" si="328"/>
        <v>#DIV/0!</v>
      </c>
      <c r="H1131" s="1499" t="e">
        <f t="shared" si="329"/>
        <v>#DIV/0!</v>
      </c>
      <c r="I1131" s="1450"/>
      <c r="J1131" s="1461"/>
      <c r="K1131" s="1457"/>
      <c r="L1131" s="1457"/>
      <c r="M1131" s="1457"/>
      <c r="N1131" s="1457"/>
      <c r="O1131" s="1457"/>
      <c r="P1131" s="1462"/>
      <c r="Q1131" s="1495"/>
      <c r="R1131" s="1461"/>
      <c r="S1131" s="1457"/>
      <c r="T1131" s="1457"/>
      <c r="U1131" s="1457"/>
      <c r="V1131" s="1457"/>
      <c r="W1131" s="1462">
        <f t="shared" si="327"/>
        <v>0</v>
      </c>
      <c r="X1131" s="1496" t="e">
        <f t="shared" si="320"/>
        <v>#DIV/0!</v>
      </c>
      <c r="Y1131" s="1444"/>
    </row>
    <row r="1132" spans="1:25" ht="12.75">
      <c r="A1132" s="1497">
        <v>4440</v>
      </c>
      <c r="B1132" s="1513" t="s">
        <v>641</v>
      </c>
      <c r="C1132" s="1457">
        <v>42400</v>
      </c>
      <c r="D1132" s="1457">
        <f t="shared" si="325"/>
        <v>43350</v>
      </c>
      <c r="E1132" s="1458">
        <v>44600</v>
      </c>
      <c r="F1132" s="1459">
        <f t="shared" si="326"/>
        <v>44600</v>
      </c>
      <c r="G1132" s="1499">
        <f t="shared" si="328"/>
        <v>105.18867924528301</v>
      </c>
      <c r="H1132" s="1499">
        <f t="shared" si="329"/>
        <v>102.88350634371395</v>
      </c>
      <c r="I1132" s="1450"/>
      <c r="J1132" s="1461"/>
      <c r="K1132" s="1457"/>
      <c r="L1132" s="1457"/>
      <c r="M1132" s="1457"/>
      <c r="N1132" s="1457"/>
      <c r="O1132" s="1457"/>
      <c r="P1132" s="1462"/>
      <c r="Q1132" s="1495"/>
      <c r="R1132" s="1461">
        <v>43350</v>
      </c>
      <c r="S1132" s="1457">
        <v>44600</v>
      </c>
      <c r="T1132" s="1457"/>
      <c r="U1132" s="1457"/>
      <c r="V1132" s="1457"/>
      <c r="W1132" s="1462">
        <f t="shared" si="327"/>
        <v>44600</v>
      </c>
      <c r="X1132" s="1496">
        <f t="shared" si="320"/>
        <v>102.88350634371395</v>
      </c>
      <c r="Y1132" s="1444"/>
    </row>
    <row r="1133" spans="1:25" ht="24" hidden="1">
      <c r="A1133" s="1497">
        <v>6060</v>
      </c>
      <c r="B1133" s="1513" t="s">
        <v>1058</v>
      </c>
      <c r="C1133" s="1457"/>
      <c r="D1133" s="1457">
        <f t="shared" si="325"/>
        <v>0</v>
      </c>
      <c r="E1133" s="1458"/>
      <c r="F1133" s="1459">
        <f t="shared" si="326"/>
        <v>0</v>
      </c>
      <c r="G1133" s="1499" t="e">
        <f t="shared" si="328"/>
        <v>#DIV/0!</v>
      </c>
      <c r="H1133" s="1499" t="e">
        <f t="shared" si="329"/>
        <v>#DIV/0!</v>
      </c>
      <c r="I1133" s="1450"/>
      <c r="J1133" s="1461"/>
      <c r="K1133" s="1457"/>
      <c r="L1133" s="1457"/>
      <c r="M1133" s="1457"/>
      <c r="N1133" s="1457"/>
      <c r="O1133" s="1457"/>
      <c r="P1133" s="1462"/>
      <c r="Q1133" s="1495"/>
      <c r="R1133" s="1461">
        <v>0</v>
      </c>
      <c r="S1133" s="1457"/>
      <c r="T1133" s="1457"/>
      <c r="U1133" s="1457"/>
      <c r="V1133" s="1457"/>
      <c r="W1133" s="1462">
        <f t="shared" si="327"/>
        <v>0</v>
      </c>
      <c r="X1133" s="1496" t="e">
        <f t="shared" si="320"/>
        <v>#DIV/0!</v>
      </c>
      <c r="Y1133" s="1444"/>
    </row>
    <row r="1134" spans="1:25" ht="24" hidden="1">
      <c r="A1134" s="1497">
        <v>6050</v>
      </c>
      <c r="B1134" s="1513" t="s">
        <v>1059</v>
      </c>
      <c r="C1134" s="1457">
        <v>0</v>
      </c>
      <c r="D1134" s="1457">
        <f t="shared" si="325"/>
        <v>0</v>
      </c>
      <c r="E1134" s="1458">
        <v>0</v>
      </c>
      <c r="F1134" s="1459">
        <f t="shared" si="326"/>
        <v>0</v>
      </c>
      <c r="G1134" s="1499" t="e">
        <f t="shared" si="328"/>
        <v>#DIV/0!</v>
      </c>
      <c r="H1134" s="1499" t="e">
        <f t="shared" si="329"/>
        <v>#DIV/0!</v>
      </c>
      <c r="I1134" s="1450"/>
      <c r="J1134" s="1461"/>
      <c r="K1134" s="1457"/>
      <c r="L1134" s="1457"/>
      <c r="M1134" s="1457"/>
      <c r="N1134" s="1457"/>
      <c r="O1134" s="1457"/>
      <c r="P1134" s="1462"/>
      <c r="Q1134" s="1495" t="e">
        <f>P1134/J1134*100</f>
        <v>#DIV/0!</v>
      </c>
      <c r="R1134" s="1461">
        <v>0</v>
      </c>
      <c r="S1134" s="1457">
        <v>0</v>
      </c>
      <c r="T1134" s="1457"/>
      <c r="U1134" s="1457"/>
      <c r="V1134" s="1457"/>
      <c r="W1134" s="1462">
        <f t="shared" si="327"/>
        <v>0</v>
      </c>
      <c r="X1134" s="1496" t="e">
        <f t="shared" si="320"/>
        <v>#DIV/0!</v>
      </c>
      <c r="Y1134" s="1444"/>
    </row>
    <row r="1135" spans="1:28" s="581" customFormat="1" ht="12.75">
      <c r="A1135" s="1516">
        <v>85410</v>
      </c>
      <c r="B1135" s="1550" t="s">
        <v>233</v>
      </c>
      <c r="C1135" s="1467">
        <f>SUM(C1136:C1153)</f>
        <v>2584300</v>
      </c>
      <c r="D1135" s="1467">
        <f>SUM(D1136:D1153)</f>
        <v>2608600</v>
      </c>
      <c r="E1135" s="1468">
        <f>SUM(E1136:E1153)</f>
        <v>3032200</v>
      </c>
      <c r="F1135" s="1469">
        <f>SUM(F1136:F1153)</f>
        <v>2609600</v>
      </c>
      <c r="G1135" s="1519">
        <f t="shared" si="328"/>
        <v>100.97898850752622</v>
      </c>
      <c r="H1135" s="1519">
        <f t="shared" si="329"/>
        <v>100.03833473894043</v>
      </c>
      <c r="I1135" s="1450"/>
      <c r="J1135" s="1470"/>
      <c r="K1135" s="1467"/>
      <c r="L1135" s="1467"/>
      <c r="M1135" s="1467"/>
      <c r="N1135" s="1467"/>
      <c r="O1135" s="1467"/>
      <c r="P1135" s="1471"/>
      <c r="Q1135" s="1453"/>
      <c r="R1135" s="1470">
        <f aca="true" t="shared" si="330" ref="R1135:W1135">SUM(R1136:R1153)</f>
        <v>2608600</v>
      </c>
      <c r="S1135" s="1467">
        <f t="shared" si="330"/>
        <v>2433600</v>
      </c>
      <c r="T1135" s="1467">
        <f t="shared" si="330"/>
        <v>160000</v>
      </c>
      <c r="U1135" s="1467">
        <f t="shared" si="330"/>
        <v>0</v>
      </c>
      <c r="V1135" s="1467">
        <f t="shared" si="330"/>
        <v>16000</v>
      </c>
      <c r="W1135" s="1471">
        <f t="shared" si="330"/>
        <v>2609600</v>
      </c>
      <c r="X1135" s="1454">
        <f t="shared" si="320"/>
        <v>100.03833473894043</v>
      </c>
      <c r="Y1135" s="1444"/>
      <c r="AA1135" s="1444">
        <f>SUM(S1137:S1140)</f>
        <v>1739600</v>
      </c>
      <c r="AB1135" s="1444">
        <f>Z1135+AA1135</f>
        <v>1739600</v>
      </c>
    </row>
    <row r="1136" spans="1:25" ht="24">
      <c r="A1136" s="1497">
        <v>3020</v>
      </c>
      <c r="B1136" s="1513" t="s">
        <v>717</v>
      </c>
      <c r="C1136" s="1457">
        <v>8200</v>
      </c>
      <c r="D1136" s="1457">
        <f>J1136+R1136</f>
        <v>6200</v>
      </c>
      <c r="E1136" s="1458">
        <v>8400</v>
      </c>
      <c r="F1136" s="1459">
        <f>P1136+W1136</f>
        <v>8400</v>
      </c>
      <c r="G1136" s="1499">
        <f t="shared" si="328"/>
        <v>102.4390243902439</v>
      </c>
      <c r="H1136" s="1499">
        <f t="shared" si="329"/>
        <v>135.48387096774192</v>
      </c>
      <c r="I1136" s="1450"/>
      <c r="J1136" s="1461"/>
      <c r="K1136" s="1457"/>
      <c r="L1136" s="1457"/>
      <c r="M1136" s="1457"/>
      <c r="N1136" s="1457"/>
      <c r="O1136" s="1457"/>
      <c r="P1136" s="1462"/>
      <c r="Q1136" s="1495"/>
      <c r="R1136" s="1461">
        <v>6200</v>
      </c>
      <c r="S1136" s="1457">
        <v>8400</v>
      </c>
      <c r="T1136" s="1457"/>
      <c r="U1136" s="1457"/>
      <c r="V1136" s="1457"/>
      <c r="W1136" s="1462">
        <f>SUM(S1136:V1136)</f>
        <v>8400</v>
      </c>
      <c r="X1136" s="1496">
        <f t="shared" si="320"/>
        <v>135.48387096774192</v>
      </c>
      <c r="Y1136" s="1444"/>
    </row>
    <row r="1137" spans="1:25" ht="24">
      <c r="A1137" s="1497">
        <v>4010</v>
      </c>
      <c r="B1137" s="1513" t="s">
        <v>626</v>
      </c>
      <c r="C1137" s="1457">
        <v>1325000</v>
      </c>
      <c r="D1137" s="1457">
        <f aca="true" t="shared" si="331" ref="D1137:D1153">J1137+R1137</f>
        <v>1317182</v>
      </c>
      <c r="E1137" s="1458">
        <v>1443100</v>
      </c>
      <c r="F1137" s="1459">
        <f aca="true" t="shared" si="332" ref="F1137:F1161">P1137+W1137</f>
        <v>1336000</v>
      </c>
      <c r="G1137" s="1499">
        <f t="shared" si="328"/>
        <v>100.8301886792453</v>
      </c>
      <c r="H1137" s="1499">
        <f t="shared" si="329"/>
        <v>101.42865602475588</v>
      </c>
      <c r="I1137" s="1450"/>
      <c r="J1137" s="1461"/>
      <c r="K1137" s="1457"/>
      <c r="L1137" s="1457"/>
      <c r="M1137" s="1457"/>
      <c r="N1137" s="1457"/>
      <c r="O1137" s="1457"/>
      <c r="P1137" s="1462"/>
      <c r="Q1137" s="1495"/>
      <c r="R1137" s="1461">
        <v>1317182</v>
      </c>
      <c r="S1137" s="1457">
        <v>1336000</v>
      </c>
      <c r="T1137" s="1457"/>
      <c r="U1137" s="1457"/>
      <c r="V1137" s="1457"/>
      <c r="W1137" s="1462">
        <f aca="true" t="shared" si="333" ref="W1137:W1161">SUM(S1137:V1137)</f>
        <v>1336000</v>
      </c>
      <c r="X1137" s="1496">
        <f t="shared" si="320"/>
        <v>101.42865602475588</v>
      </c>
      <c r="Y1137" s="1444"/>
    </row>
    <row r="1138" spans="1:25" ht="12.75">
      <c r="A1138" s="1497">
        <v>4040</v>
      </c>
      <c r="B1138" s="1513" t="s">
        <v>630</v>
      </c>
      <c r="C1138" s="1457">
        <v>110700</v>
      </c>
      <c r="D1138" s="1457">
        <f t="shared" si="331"/>
        <v>104320</v>
      </c>
      <c r="E1138" s="1458">
        <v>109600</v>
      </c>
      <c r="F1138" s="1459">
        <f t="shared" si="332"/>
        <v>109600</v>
      </c>
      <c r="G1138" s="1499">
        <f t="shared" si="328"/>
        <v>99.0063233965673</v>
      </c>
      <c r="H1138" s="1499">
        <f t="shared" si="329"/>
        <v>105.06134969325154</v>
      </c>
      <c r="I1138" s="1450"/>
      <c r="J1138" s="1461"/>
      <c r="K1138" s="1457"/>
      <c r="L1138" s="1457"/>
      <c r="M1138" s="1457"/>
      <c r="N1138" s="1457"/>
      <c r="O1138" s="1457"/>
      <c r="P1138" s="1462"/>
      <c r="Q1138" s="1495"/>
      <c r="R1138" s="1461">
        <v>104320</v>
      </c>
      <c r="S1138" s="1457">
        <v>109600</v>
      </c>
      <c r="T1138" s="1457"/>
      <c r="U1138" s="1457"/>
      <c r="V1138" s="1457"/>
      <c r="W1138" s="1462">
        <f t="shared" si="333"/>
        <v>109600</v>
      </c>
      <c r="X1138" s="1496">
        <f t="shared" si="320"/>
        <v>105.06134969325154</v>
      </c>
      <c r="Y1138" s="1444"/>
    </row>
    <row r="1139" spans="1:25" ht="12.75">
      <c r="A1139" s="1497">
        <v>4110</v>
      </c>
      <c r="B1139" s="1513" t="s">
        <v>568</v>
      </c>
      <c r="C1139" s="1457">
        <v>253000</v>
      </c>
      <c r="D1139" s="1457">
        <f t="shared" si="331"/>
        <v>240200</v>
      </c>
      <c r="E1139" s="1458">
        <v>277900</v>
      </c>
      <c r="F1139" s="1459">
        <f t="shared" si="332"/>
        <v>259000</v>
      </c>
      <c r="G1139" s="1499">
        <f t="shared" si="328"/>
        <v>102.3715415019763</v>
      </c>
      <c r="H1139" s="1499">
        <f t="shared" si="329"/>
        <v>107.82681099084097</v>
      </c>
      <c r="I1139" s="1450"/>
      <c r="J1139" s="1461"/>
      <c r="K1139" s="1457"/>
      <c r="L1139" s="1457"/>
      <c r="M1139" s="1457"/>
      <c r="N1139" s="1457"/>
      <c r="O1139" s="1457"/>
      <c r="P1139" s="1462"/>
      <c r="Q1139" s="1495"/>
      <c r="R1139" s="1461">
        <v>240200</v>
      </c>
      <c r="S1139" s="1457">
        <v>259000</v>
      </c>
      <c r="T1139" s="1457"/>
      <c r="U1139" s="1457"/>
      <c r="V1139" s="1457"/>
      <c r="W1139" s="1462">
        <f t="shared" si="333"/>
        <v>259000</v>
      </c>
      <c r="X1139" s="1496">
        <f t="shared" si="320"/>
        <v>107.82681099084097</v>
      </c>
      <c r="Y1139" s="1444"/>
    </row>
    <row r="1140" spans="1:25" ht="12.75">
      <c r="A1140" s="1497">
        <v>4120</v>
      </c>
      <c r="B1140" s="1513" t="s">
        <v>758</v>
      </c>
      <c r="C1140" s="1457">
        <v>34000</v>
      </c>
      <c r="D1140" s="1457">
        <f t="shared" si="331"/>
        <v>31600</v>
      </c>
      <c r="E1140" s="1458">
        <v>38500</v>
      </c>
      <c r="F1140" s="1459">
        <f t="shared" si="332"/>
        <v>35000</v>
      </c>
      <c r="G1140" s="1499">
        <f t="shared" si="328"/>
        <v>102.94117647058823</v>
      </c>
      <c r="H1140" s="1499">
        <f t="shared" si="329"/>
        <v>110.75949367088607</v>
      </c>
      <c r="I1140" s="1450"/>
      <c r="J1140" s="1461"/>
      <c r="K1140" s="1457"/>
      <c r="L1140" s="1457"/>
      <c r="M1140" s="1457"/>
      <c r="N1140" s="1457"/>
      <c r="O1140" s="1457"/>
      <c r="P1140" s="1462"/>
      <c r="Q1140" s="1495"/>
      <c r="R1140" s="1461">
        <v>31600</v>
      </c>
      <c r="S1140" s="1457">
        <v>35000</v>
      </c>
      <c r="T1140" s="1457"/>
      <c r="U1140" s="1457"/>
      <c r="V1140" s="1457"/>
      <c r="W1140" s="1462">
        <f t="shared" si="333"/>
        <v>35000</v>
      </c>
      <c r="X1140" s="1496">
        <f t="shared" si="320"/>
        <v>110.75949367088607</v>
      </c>
      <c r="Y1140" s="1444"/>
    </row>
    <row r="1141" spans="1:25" ht="12.75">
      <c r="A1141" s="1497">
        <v>4140</v>
      </c>
      <c r="B1141" s="1513" t="s">
        <v>722</v>
      </c>
      <c r="C1141" s="1457">
        <v>7000</v>
      </c>
      <c r="D1141" s="1457">
        <f t="shared" si="331"/>
        <v>12730</v>
      </c>
      <c r="E1141" s="1458">
        <v>12700</v>
      </c>
      <c r="F1141" s="1459">
        <f t="shared" si="332"/>
        <v>12700</v>
      </c>
      <c r="G1141" s="1499">
        <f t="shared" si="328"/>
        <v>181.42857142857142</v>
      </c>
      <c r="H1141" s="1499">
        <f t="shared" si="329"/>
        <v>99.7643362136685</v>
      </c>
      <c r="I1141" s="1450"/>
      <c r="J1141" s="1461"/>
      <c r="K1141" s="1457"/>
      <c r="L1141" s="1457"/>
      <c r="M1141" s="1457"/>
      <c r="N1141" s="1457"/>
      <c r="O1141" s="1457"/>
      <c r="P1141" s="1462"/>
      <c r="Q1141" s="1495"/>
      <c r="R1141" s="1461">
        <v>12730</v>
      </c>
      <c r="S1141" s="1457">
        <v>12700</v>
      </c>
      <c r="T1141" s="1457"/>
      <c r="U1141" s="1457"/>
      <c r="V1141" s="1457"/>
      <c r="W1141" s="1462">
        <f t="shared" si="333"/>
        <v>12700</v>
      </c>
      <c r="X1141" s="1496">
        <f t="shared" si="320"/>
        <v>99.7643362136685</v>
      </c>
      <c r="Y1141" s="1444"/>
    </row>
    <row r="1142" spans="1:25" ht="12.75">
      <c r="A1142" s="1497">
        <v>4170</v>
      </c>
      <c r="B1142" s="1513" t="s">
        <v>1057</v>
      </c>
      <c r="C1142" s="1457"/>
      <c r="D1142" s="1457">
        <f t="shared" si="331"/>
        <v>18500</v>
      </c>
      <c r="E1142" s="1458">
        <v>25000</v>
      </c>
      <c r="F1142" s="1459">
        <f t="shared" si="332"/>
        <v>20000</v>
      </c>
      <c r="G1142" s="1499"/>
      <c r="H1142" s="1499">
        <f t="shared" si="329"/>
        <v>108.10810810810811</v>
      </c>
      <c r="I1142" s="1450"/>
      <c r="J1142" s="1461"/>
      <c r="K1142" s="1457"/>
      <c r="L1142" s="1457"/>
      <c r="M1142" s="1457"/>
      <c r="N1142" s="1457"/>
      <c r="O1142" s="1457"/>
      <c r="P1142" s="1462"/>
      <c r="Q1142" s="1495"/>
      <c r="R1142" s="1461">
        <v>18500</v>
      </c>
      <c r="S1142" s="1457">
        <v>20000</v>
      </c>
      <c r="T1142" s="1457"/>
      <c r="U1142" s="1457"/>
      <c r="V1142" s="1457"/>
      <c r="W1142" s="1462">
        <f t="shared" si="333"/>
        <v>20000</v>
      </c>
      <c r="X1142" s="1496">
        <f t="shared" si="320"/>
        <v>108.10810810810811</v>
      </c>
      <c r="Y1142" s="1444"/>
    </row>
    <row r="1143" spans="1:25" ht="12.75">
      <c r="A1143" s="1497">
        <v>4210</v>
      </c>
      <c r="B1143" s="1513" t="s">
        <v>560</v>
      </c>
      <c r="C1143" s="1457">
        <v>87700</v>
      </c>
      <c r="D1143" s="1457">
        <f t="shared" si="331"/>
        <v>87700</v>
      </c>
      <c r="E1143" s="1458">
        <v>98300</v>
      </c>
      <c r="F1143" s="1459">
        <f t="shared" si="332"/>
        <v>75000</v>
      </c>
      <c r="G1143" s="1499">
        <f t="shared" si="328"/>
        <v>85.5188141391106</v>
      </c>
      <c r="H1143" s="1499">
        <f t="shared" si="329"/>
        <v>85.5188141391106</v>
      </c>
      <c r="I1143" s="1450"/>
      <c r="J1143" s="1461"/>
      <c r="K1143" s="1457"/>
      <c r="L1143" s="1457"/>
      <c r="M1143" s="1457"/>
      <c r="N1143" s="1457"/>
      <c r="O1143" s="1457"/>
      <c r="P1143" s="1462"/>
      <c r="Q1143" s="1495"/>
      <c r="R1143" s="1461">
        <v>87700</v>
      </c>
      <c r="S1143" s="1457">
        <v>75000</v>
      </c>
      <c r="T1143" s="1457"/>
      <c r="U1143" s="1457"/>
      <c r="V1143" s="1457"/>
      <c r="W1143" s="1462">
        <f t="shared" si="333"/>
        <v>75000</v>
      </c>
      <c r="X1143" s="1496">
        <f t="shared" si="320"/>
        <v>85.5188141391106</v>
      </c>
      <c r="Y1143" s="1444"/>
    </row>
    <row r="1144" spans="1:25" ht="24">
      <c r="A1144" s="1497">
        <v>4240</v>
      </c>
      <c r="B1144" s="1513" t="s">
        <v>897</v>
      </c>
      <c r="C1144" s="1457">
        <v>1500</v>
      </c>
      <c r="D1144" s="1457">
        <f t="shared" si="331"/>
        <v>1500</v>
      </c>
      <c r="E1144" s="1458">
        <v>5600</v>
      </c>
      <c r="F1144" s="1459">
        <f t="shared" si="332"/>
        <v>1000</v>
      </c>
      <c r="G1144" s="1499">
        <f t="shared" si="328"/>
        <v>66.66666666666666</v>
      </c>
      <c r="H1144" s="1499">
        <f t="shared" si="329"/>
        <v>66.66666666666666</v>
      </c>
      <c r="I1144" s="1450"/>
      <c r="J1144" s="1461"/>
      <c r="K1144" s="1457"/>
      <c r="L1144" s="1457"/>
      <c r="M1144" s="1457"/>
      <c r="N1144" s="1457"/>
      <c r="O1144" s="1457"/>
      <c r="P1144" s="1462"/>
      <c r="Q1144" s="1495"/>
      <c r="R1144" s="1461">
        <v>1500</v>
      </c>
      <c r="S1144" s="1457">
        <v>1000</v>
      </c>
      <c r="T1144" s="1457"/>
      <c r="U1144" s="1457"/>
      <c r="V1144" s="1457"/>
      <c r="W1144" s="1462">
        <f t="shared" si="333"/>
        <v>1000</v>
      </c>
      <c r="X1144" s="1496">
        <f t="shared" si="320"/>
        <v>66.66666666666666</v>
      </c>
      <c r="Y1144" s="1444"/>
    </row>
    <row r="1145" spans="1:25" ht="12.75">
      <c r="A1145" s="1497">
        <v>4260</v>
      </c>
      <c r="B1145" s="1513" t="s">
        <v>575</v>
      </c>
      <c r="C1145" s="1457">
        <v>420000</v>
      </c>
      <c r="D1145" s="1457">
        <f t="shared" si="331"/>
        <v>402000</v>
      </c>
      <c r="E1145" s="1458">
        <v>454000</v>
      </c>
      <c r="F1145" s="1459">
        <f t="shared" si="332"/>
        <v>400000</v>
      </c>
      <c r="G1145" s="1499">
        <f t="shared" si="328"/>
        <v>95.23809523809523</v>
      </c>
      <c r="H1145" s="1499">
        <f t="shared" si="329"/>
        <v>99.50248756218906</v>
      </c>
      <c r="I1145" s="1450"/>
      <c r="J1145" s="1461"/>
      <c r="K1145" s="1457"/>
      <c r="L1145" s="1457"/>
      <c r="M1145" s="1457"/>
      <c r="N1145" s="1457"/>
      <c r="O1145" s="1457"/>
      <c r="P1145" s="1462"/>
      <c r="Q1145" s="1495"/>
      <c r="R1145" s="1461">
        <v>402000</v>
      </c>
      <c r="S1145" s="1457">
        <v>400000</v>
      </c>
      <c r="T1145" s="1457"/>
      <c r="U1145" s="1457"/>
      <c r="V1145" s="1457"/>
      <c r="W1145" s="1462">
        <f t="shared" si="333"/>
        <v>400000</v>
      </c>
      <c r="X1145" s="1496">
        <f t="shared" si="320"/>
        <v>99.50248756218906</v>
      </c>
      <c r="Y1145" s="1444"/>
    </row>
    <row r="1146" spans="1:25" ht="12.75">
      <c r="A1146" s="1497">
        <v>4270</v>
      </c>
      <c r="B1146" s="1513" t="s">
        <v>576</v>
      </c>
      <c r="C1146" s="1457">
        <v>158000</v>
      </c>
      <c r="D1146" s="1457">
        <f t="shared" si="331"/>
        <v>53000</v>
      </c>
      <c r="E1146" s="1458">
        <v>52000</v>
      </c>
      <c r="F1146" s="1459">
        <f t="shared" si="332"/>
        <v>16000</v>
      </c>
      <c r="G1146" s="1499">
        <f t="shared" si="328"/>
        <v>10.126582278481013</v>
      </c>
      <c r="H1146" s="1499">
        <f t="shared" si="329"/>
        <v>30.18867924528302</v>
      </c>
      <c r="I1146" s="1450"/>
      <c r="J1146" s="1461"/>
      <c r="K1146" s="1457"/>
      <c r="L1146" s="1457"/>
      <c r="M1146" s="1457"/>
      <c r="N1146" s="1457"/>
      <c r="O1146" s="1457"/>
      <c r="P1146" s="1462"/>
      <c r="Q1146" s="1495"/>
      <c r="R1146" s="1461">
        <v>53000</v>
      </c>
      <c r="S1146" s="1457"/>
      <c r="T1146" s="1457"/>
      <c r="U1146" s="1457"/>
      <c r="V1146" s="1457">
        <v>16000</v>
      </c>
      <c r="W1146" s="1462">
        <f t="shared" si="333"/>
        <v>16000</v>
      </c>
      <c r="X1146" s="1496">
        <f t="shared" si="320"/>
        <v>30.18867924528302</v>
      </c>
      <c r="Y1146" s="1444"/>
    </row>
    <row r="1147" spans="1:25" ht="12.75">
      <c r="A1147" s="1497">
        <v>4280</v>
      </c>
      <c r="B1147" s="1513" t="s">
        <v>723</v>
      </c>
      <c r="C1147" s="1457">
        <v>4300</v>
      </c>
      <c r="D1147" s="1457">
        <f t="shared" si="331"/>
        <v>4300</v>
      </c>
      <c r="E1147" s="1458">
        <v>3900</v>
      </c>
      <c r="F1147" s="1459">
        <f t="shared" si="332"/>
        <v>3900</v>
      </c>
      <c r="G1147" s="1499">
        <f t="shared" si="328"/>
        <v>90.69767441860465</v>
      </c>
      <c r="H1147" s="1499">
        <f t="shared" si="329"/>
        <v>90.69767441860465</v>
      </c>
      <c r="I1147" s="1450"/>
      <c r="J1147" s="1461"/>
      <c r="K1147" s="1457"/>
      <c r="L1147" s="1457"/>
      <c r="M1147" s="1457"/>
      <c r="N1147" s="1457"/>
      <c r="O1147" s="1457"/>
      <c r="P1147" s="1462"/>
      <c r="Q1147" s="1495"/>
      <c r="R1147" s="1461">
        <v>4300</v>
      </c>
      <c r="S1147" s="1457">
        <v>3900</v>
      </c>
      <c r="T1147" s="1457"/>
      <c r="U1147" s="1457"/>
      <c r="V1147" s="1457"/>
      <c r="W1147" s="1462">
        <f t="shared" si="333"/>
        <v>3900</v>
      </c>
      <c r="X1147" s="1496">
        <f t="shared" si="320"/>
        <v>90.69767441860465</v>
      </c>
      <c r="Y1147" s="1444"/>
    </row>
    <row r="1148" spans="1:25" ht="12.75">
      <c r="A1148" s="1497">
        <v>4300</v>
      </c>
      <c r="B1148" s="1513" t="s">
        <v>564</v>
      </c>
      <c r="C1148" s="1457">
        <v>100000</v>
      </c>
      <c r="D1148" s="1457">
        <f t="shared" si="331"/>
        <v>96500</v>
      </c>
      <c r="E1148" s="1458">
        <v>135500</v>
      </c>
      <c r="F1148" s="1459">
        <f t="shared" si="332"/>
        <v>90000</v>
      </c>
      <c r="G1148" s="1499">
        <f t="shared" si="328"/>
        <v>90</v>
      </c>
      <c r="H1148" s="1499">
        <f t="shared" si="329"/>
        <v>93.26424870466322</v>
      </c>
      <c r="I1148" s="1450"/>
      <c r="J1148" s="1461"/>
      <c r="K1148" s="1457"/>
      <c r="L1148" s="1457"/>
      <c r="M1148" s="1457"/>
      <c r="N1148" s="1457"/>
      <c r="O1148" s="1457"/>
      <c r="P1148" s="1462"/>
      <c r="Q1148" s="1495"/>
      <c r="R1148" s="1461">
        <v>96500</v>
      </c>
      <c r="S1148" s="1457">
        <v>90000</v>
      </c>
      <c r="T1148" s="1457"/>
      <c r="U1148" s="1457"/>
      <c r="V1148" s="1457"/>
      <c r="W1148" s="1462">
        <f t="shared" si="333"/>
        <v>90000</v>
      </c>
      <c r="X1148" s="1496">
        <f t="shared" si="320"/>
        <v>93.26424870466322</v>
      </c>
      <c r="Y1148" s="1444"/>
    </row>
    <row r="1149" spans="1:25" ht="12.75">
      <c r="A1149" s="1497">
        <v>4350</v>
      </c>
      <c r="B1149" s="1513" t="s">
        <v>820</v>
      </c>
      <c r="C1149" s="1457"/>
      <c r="D1149" s="1457">
        <f t="shared" si="331"/>
        <v>8500</v>
      </c>
      <c r="E1149" s="1458">
        <v>5800</v>
      </c>
      <c r="F1149" s="1459">
        <f t="shared" si="332"/>
        <v>5800</v>
      </c>
      <c r="G1149" s="1499"/>
      <c r="H1149" s="1499">
        <f t="shared" si="329"/>
        <v>68.23529411764706</v>
      </c>
      <c r="I1149" s="1450"/>
      <c r="J1149" s="1461"/>
      <c r="K1149" s="1457"/>
      <c r="L1149" s="1457"/>
      <c r="M1149" s="1457"/>
      <c r="N1149" s="1457"/>
      <c r="O1149" s="1457"/>
      <c r="P1149" s="1462"/>
      <c r="Q1149" s="1495"/>
      <c r="R1149" s="1461">
        <v>8500</v>
      </c>
      <c r="S1149" s="1457">
        <v>5800</v>
      </c>
      <c r="T1149" s="1457"/>
      <c r="U1149" s="1457"/>
      <c r="V1149" s="1457"/>
      <c r="W1149" s="1462">
        <f t="shared" si="333"/>
        <v>5800</v>
      </c>
      <c r="X1149" s="1496">
        <f t="shared" si="320"/>
        <v>68.23529411764706</v>
      </c>
      <c r="Y1149" s="1444"/>
    </row>
    <row r="1150" spans="1:25" ht="12.75">
      <c r="A1150" s="1497">
        <v>4410</v>
      </c>
      <c r="B1150" s="1513" t="s">
        <v>618</v>
      </c>
      <c r="C1150" s="1457">
        <v>3300</v>
      </c>
      <c r="D1150" s="1457">
        <f t="shared" si="331"/>
        <v>3300</v>
      </c>
      <c r="E1150" s="1458">
        <v>6000</v>
      </c>
      <c r="F1150" s="1459">
        <f t="shared" si="332"/>
        <v>3300</v>
      </c>
      <c r="G1150" s="1499">
        <f t="shared" si="328"/>
        <v>100</v>
      </c>
      <c r="H1150" s="1499">
        <f t="shared" si="329"/>
        <v>100</v>
      </c>
      <c r="I1150" s="1450"/>
      <c r="J1150" s="1461"/>
      <c r="K1150" s="1457"/>
      <c r="L1150" s="1457"/>
      <c r="M1150" s="1457"/>
      <c r="N1150" s="1457"/>
      <c r="O1150" s="1457"/>
      <c r="P1150" s="1462"/>
      <c r="Q1150" s="1495"/>
      <c r="R1150" s="1461">
        <v>3300</v>
      </c>
      <c r="S1150" s="1457">
        <v>3300</v>
      </c>
      <c r="T1150" s="1457"/>
      <c r="U1150" s="1457"/>
      <c r="V1150" s="1457"/>
      <c r="W1150" s="1462">
        <f t="shared" si="333"/>
        <v>3300</v>
      </c>
      <c r="X1150" s="1496">
        <f t="shared" si="320"/>
        <v>100</v>
      </c>
      <c r="Y1150" s="1444"/>
    </row>
    <row r="1151" spans="1:25" ht="12.75">
      <c r="A1151" s="1497">
        <v>4440</v>
      </c>
      <c r="B1151" s="1513" t="s">
        <v>641</v>
      </c>
      <c r="C1151" s="1457">
        <v>71600</v>
      </c>
      <c r="D1151" s="1457">
        <f t="shared" si="331"/>
        <v>74068</v>
      </c>
      <c r="E1151" s="1458">
        <v>73900</v>
      </c>
      <c r="F1151" s="1459">
        <f t="shared" si="332"/>
        <v>73900</v>
      </c>
      <c r="G1151" s="1499">
        <f t="shared" si="328"/>
        <v>103.21229050279331</v>
      </c>
      <c r="H1151" s="1499">
        <f t="shared" si="329"/>
        <v>99.77318140087486</v>
      </c>
      <c r="I1151" s="1501"/>
      <c r="J1151" s="1459"/>
      <c r="K1151" s="1457"/>
      <c r="L1151" s="1457"/>
      <c r="M1151" s="1457"/>
      <c r="N1151" s="1457"/>
      <c r="O1151" s="1457"/>
      <c r="P1151" s="1462"/>
      <c r="Q1151" s="1495"/>
      <c r="R1151" s="1461">
        <v>74068</v>
      </c>
      <c r="S1151" s="1457">
        <v>73900</v>
      </c>
      <c r="T1151" s="1457"/>
      <c r="U1151" s="1457"/>
      <c r="V1151" s="1457"/>
      <c r="W1151" s="1462">
        <f t="shared" si="333"/>
        <v>73900</v>
      </c>
      <c r="X1151" s="1496">
        <f t="shared" si="320"/>
        <v>99.77318140087486</v>
      </c>
      <c r="Y1151" s="1444"/>
    </row>
    <row r="1152" spans="1:25" ht="24">
      <c r="A1152" s="1497">
        <v>6050</v>
      </c>
      <c r="B1152" s="1513" t="s">
        <v>892</v>
      </c>
      <c r="C1152" s="1457"/>
      <c r="D1152" s="1457">
        <f t="shared" si="331"/>
        <v>147000</v>
      </c>
      <c r="E1152" s="1458">
        <v>282000</v>
      </c>
      <c r="F1152" s="1459">
        <f t="shared" si="332"/>
        <v>160000</v>
      </c>
      <c r="G1152" s="1499"/>
      <c r="H1152" s="1499">
        <f t="shared" si="329"/>
        <v>108.843537414966</v>
      </c>
      <c r="I1152" s="1534"/>
      <c r="J1152" s="1459"/>
      <c r="K1152" s="1457"/>
      <c r="L1152" s="1457"/>
      <c r="M1152" s="1457"/>
      <c r="N1152" s="1457"/>
      <c r="O1152" s="1457"/>
      <c r="P1152" s="1462"/>
      <c r="Q1152" s="1495"/>
      <c r="R1152" s="1461">
        <v>147000</v>
      </c>
      <c r="S1152" s="1457"/>
      <c r="T1152" s="1457">
        <v>160000</v>
      </c>
      <c r="U1152" s="1457"/>
      <c r="V1152" s="1457"/>
      <c r="W1152" s="1462">
        <f t="shared" si="333"/>
        <v>160000</v>
      </c>
      <c r="X1152" s="1496">
        <f t="shared" si="320"/>
        <v>108.843537414966</v>
      </c>
      <c r="Y1152" s="1444"/>
    </row>
    <row r="1153" spans="1:25" ht="12.75" hidden="1">
      <c r="A1153" s="1497">
        <v>4480</v>
      </c>
      <c r="B1153" s="1513" t="s">
        <v>1327</v>
      </c>
      <c r="C1153" s="1457">
        <v>0</v>
      </c>
      <c r="D1153" s="1457">
        <f t="shared" si="331"/>
        <v>0</v>
      </c>
      <c r="E1153" s="1458"/>
      <c r="F1153" s="1459">
        <f t="shared" si="332"/>
        <v>0</v>
      </c>
      <c r="G1153" s="1519" t="e">
        <f t="shared" si="328"/>
        <v>#DIV/0!</v>
      </c>
      <c r="H1153" s="1499" t="e">
        <f t="shared" si="329"/>
        <v>#DIV/0!</v>
      </c>
      <c r="I1153" s="1534"/>
      <c r="J1153" s="1459"/>
      <c r="K1153" s="1457"/>
      <c r="L1153" s="1457"/>
      <c r="M1153" s="1457"/>
      <c r="N1153" s="1457"/>
      <c r="O1153" s="1457"/>
      <c r="P1153" s="1462">
        <f>SUM(K1153:N1153)</f>
        <v>0</v>
      </c>
      <c r="Q1153" s="1495" t="e">
        <f aca="true" t="shared" si="334" ref="Q1153:Q1177">P1153/J1153*100</f>
        <v>#DIV/0!</v>
      </c>
      <c r="R1153" s="1461">
        <v>0</v>
      </c>
      <c r="S1153" s="1457"/>
      <c r="T1153" s="1457"/>
      <c r="U1153" s="1457"/>
      <c r="V1153" s="1457"/>
      <c r="W1153" s="1462">
        <f t="shared" si="333"/>
        <v>0</v>
      </c>
      <c r="X1153" s="1496" t="e">
        <f t="shared" si="320"/>
        <v>#DIV/0!</v>
      </c>
      <c r="Y1153" s="1444"/>
    </row>
    <row r="1154" spans="1:25" s="581" customFormat="1" ht="12.75" hidden="1">
      <c r="A1154" s="1516">
        <v>85414</v>
      </c>
      <c r="B1154" s="1550" t="s">
        <v>1060</v>
      </c>
      <c r="C1154" s="1467">
        <f>SUM(C1155:C1161)</f>
        <v>0</v>
      </c>
      <c r="D1154" s="1467">
        <f aca="true" t="shared" si="335" ref="D1154:V1154">SUM(D1155:D1161)</f>
        <v>0</v>
      </c>
      <c r="E1154" s="1468">
        <f t="shared" si="335"/>
        <v>0</v>
      </c>
      <c r="F1154" s="1459">
        <f t="shared" si="332"/>
        <v>0</v>
      </c>
      <c r="G1154" s="1519" t="e">
        <f t="shared" si="328"/>
        <v>#DIV/0!</v>
      </c>
      <c r="H1154" s="1499" t="e">
        <f t="shared" si="329"/>
        <v>#DIV/0!</v>
      </c>
      <c r="I1154" s="1534"/>
      <c r="J1154" s="1469">
        <f t="shared" si="335"/>
        <v>0</v>
      </c>
      <c r="K1154" s="1467">
        <f t="shared" si="335"/>
        <v>0</v>
      </c>
      <c r="L1154" s="1467">
        <f t="shared" si="335"/>
        <v>0</v>
      </c>
      <c r="M1154" s="1467">
        <f t="shared" si="335"/>
        <v>0</v>
      </c>
      <c r="N1154" s="1467">
        <f t="shared" si="335"/>
        <v>0</v>
      </c>
      <c r="O1154" s="1467"/>
      <c r="P1154" s="1471">
        <f t="shared" si="335"/>
        <v>0</v>
      </c>
      <c r="Q1154" s="1495" t="e">
        <f t="shared" si="334"/>
        <v>#DIV/0!</v>
      </c>
      <c r="R1154" s="1470">
        <f t="shared" si="335"/>
        <v>0</v>
      </c>
      <c r="S1154" s="1467">
        <f t="shared" si="335"/>
        <v>0</v>
      </c>
      <c r="T1154" s="1467">
        <f t="shared" si="335"/>
        <v>0</v>
      </c>
      <c r="U1154" s="1467">
        <f t="shared" si="335"/>
        <v>0</v>
      </c>
      <c r="V1154" s="1467">
        <f t="shared" si="335"/>
        <v>0</v>
      </c>
      <c r="W1154" s="1462">
        <f t="shared" si="333"/>
        <v>0</v>
      </c>
      <c r="X1154" s="1496" t="e">
        <f t="shared" si="320"/>
        <v>#DIV/0!</v>
      </c>
      <c r="Y1154" s="1444"/>
    </row>
    <row r="1155" spans="1:25" ht="24" hidden="1">
      <c r="A1155" s="1497">
        <v>3020</v>
      </c>
      <c r="B1155" s="1513" t="s">
        <v>566</v>
      </c>
      <c r="C1155" s="1457"/>
      <c r="D1155" s="1457"/>
      <c r="E1155" s="1458"/>
      <c r="F1155" s="1459">
        <f t="shared" si="332"/>
        <v>0</v>
      </c>
      <c r="G1155" s="1519" t="e">
        <f t="shared" si="328"/>
        <v>#DIV/0!</v>
      </c>
      <c r="H1155" s="1499" t="e">
        <f t="shared" si="329"/>
        <v>#DIV/0!</v>
      </c>
      <c r="I1155" s="1534"/>
      <c r="J1155" s="1459"/>
      <c r="K1155" s="1457"/>
      <c r="L1155" s="1457"/>
      <c r="M1155" s="1457"/>
      <c r="N1155" s="1457"/>
      <c r="O1155" s="1457"/>
      <c r="P1155" s="1462"/>
      <c r="Q1155" s="1495" t="e">
        <f t="shared" si="334"/>
        <v>#DIV/0!</v>
      </c>
      <c r="R1155" s="1461"/>
      <c r="S1155" s="1457"/>
      <c r="T1155" s="1457"/>
      <c r="U1155" s="1457"/>
      <c r="V1155" s="1457"/>
      <c r="W1155" s="1462">
        <f t="shared" si="333"/>
        <v>0</v>
      </c>
      <c r="X1155" s="1496" t="e">
        <f t="shared" si="320"/>
        <v>#DIV/0!</v>
      </c>
      <c r="Y1155" s="1444"/>
    </row>
    <row r="1156" spans="1:25" ht="24" hidden="1">
      <c r="A1156" s="1497">
        <v>4010</v>
      </c>
      <c r="B1156" s="1513" t="s">
        <v>626</v>
      </c>
      <c r="C1156" s="1457"/>
      <c r="D1156" s="1457"/>
      <c r="E1156" s="1458"/>
      <c r="F1156" s="1459">
        <f t="shared" si="332"/>
        <v>0</v>
      </c>
      <c r="G1156" s="1519" t="e">
        <f t="shared" si="328"/>
        <v>#DIV/0!</v>
      </c>
      <c r="H1156" s="1499" t="e">
        <f t="shared" si="329"/>
        <v>#DIV/0!</v>
      </c>
      <c r="I1156" s="1534"/>
      <c r="J1156" s="1459"/>
      <c r="K1156" s="1457"/>
      <c r="L1156" s="1457"/>
      <c r="M1156" s="1457"/>
      <c r="N1156" s="1457"/>
      <c r="O1156" s="1457"/>
      <c r="P1156" s="1462"/>
      <c r="Q1156" s="1495" t="e">
        <f t="shared" si="334"/>
        <v>#DIV/0!</v>
      </c>
      <c r="R1156" s="1461"/>
      <c r="S1156" s="1457"/>
      <c r="T1156" s="1457"/>
      <c r="U1156" s="1457"/>
      <c r="V1156" s="1457"/>
      <c r="W1156" s="1462">
        <f t="shared" si="333"/>
        <v>0</v>
      </c>
      <c r="X1156" s="1496" t="e">
        <f t="shared" si="320"/>
        <v>#DIV/0!</v>
      </c>
      <c r="Y1156" s="1444"/>
    </row>
    <row r="1157" spans="1:25" ht="12.75" hidden="1">
      <c r="A1157" s="1497">
        <v>4040</v>
      </c>
      <c r="B1157" s="1513" t="s">
        <v>630</v>
      </c>
      <c r="C1157" s="1457"/>
      <c r="D1157" s="1457"/>
      <c r="E1157" s="1458"/>
      <c r="F1157" s="1459">
        <f t="shared" si="332"/>
        <v>0</v>
      </c>
      <c r="G1157" s="1519" t="e">
        <f t="shared" si="328"/>
        <v>#DIV/0!</v>
      </c>
      <c r="H1157" s="1499" t="e">
        <f t="shared" si="329"/>
        <v>#DIV/0!</v>
      </c>
      <c r="I1157" s="1534"/>
      <c r="J1157" s="1459"/>
      <c r="K1157" s="1457"/>
      <c r="L1157" s="1457"/>
      <c r="M1157" s="1457"/>
      <c r="N1157" s="1457"/>
      <c r="O1157" s="1457"/>
      <c r="P1157" s="1462"/>
      <c r="Q1157" s="1495" t="e">
        <f t="shared" si="334"/>
        <v>#DIV/0!</v>
      </c>
      <c r="R1157" s="1461"/>
      <c r="S1157" s="1457"/>
      <c r="T1157" s="1457"/>
      <c r="U1157" s="1457"/>
      <c r="V1157" s="1457"/>
      <c r="W1157" s="1462">
        <f t="shared" si="333"/>
        <v>0</v>
      </c>
      <c r="X1157" s="1496" t="e">
        <f t="shared" si="320"/>
        <v>#DIV/0!</v>
      </c>
      <c r="Y1157" s="1444"/>
    </row>
    <row r="1158" spans="1:25" ht="12.75" hidden="1">
      <c r="A1158" s="1497">
        <v>4110</v>
      </c>
      <c r="B1158" s="1513" t="s">
        <v>568</v>
      </c>
      <c r="C1158" s="1457"/>
      <c r="D1158" s="1457"/>
      <c r="E1158" s="1458"/>
      <c r="F1158" s="1459">
        <f t="shared" si="332"/>
        <v>0</v>
      </c>
      <c r="G1158" s="1519" t="e">
        <f t="shared" si="328"/>
        <v>#DIV/0!</v>
      </c>
      <c r="H1158" s="1499" t="e">
        <f t="shared" si="329"/>
        <v>#DIV/0!</v>
      </c>
      <c r="I1158" s="1534"/>
      <c r="J1158" s="1459"/>
      <c r="K1158" s="1457"/>
      <c r="L1158" s="1457"/>
      <c r="M1158" s="1457"/>
      <c r="N1158" s="1457"/>
      <c r="O1158" s="1457"/>
      <c r="P1158" s="1462"/>
      <c r="Q1158" s="1495" t="e">
        <f t="shared" si="334"/>
        <v>#DIV/0!</v>
      </c>
      <c r="R1158" s="1461"/>
      <c r="S1158" s="1457"/>
      <c r="T1158" s="1457"/>
      <c r="U1158" s="1457"/>
      <c r="V1158" s="1457"/>
      <c r="W1158" s="1462">
        <f t="shared" si="333"/>
        <v>0</v>
      </c>
      <c r="X1158" s="1496" t="e">
        <f t="shared" si="320"/>
        <v>#DIV/0!</v>
      </c>
      <c r="Y1158" s="1444"/>
    </row>
    <row r="1159" spans="1:25" ht="12.75" hidden="1">
      <c r="A1159" s="1497">
        <v>4120</v>
      </c>
      <c r="B1159" s="1513" t="s">
        <v>758</v>
      </c>
      <c r="C1159" s="1457"/>
      <c r="D1159" s="1457"/>
      <c r="E1159" s="1458"/>
      <c r="F1159" s="1459">
        <f t="shared" si="332"/>
        <v>0</v>
      </c>
      <c r="G1159" s="1519" t="e">
        <f t="shared" si="328"/>
        <v>#DIV/0!</v>
      </c>
      <c r="H1159" s="1499" t="e">
        <f t="shared" si="329"/>
        <v>#DIV/0!</v>
      </c>
      <c r="I1159" s="1534"/>
      <c r="J1159" s="1459"/>
      <c r="K1159" s="1457"/>
      <c r="L1159" s="1457"/>
      <c r="M1159" s="1457"/>
      <c r="N1159" s="1457"/>
      <c r="O1159" s="1457"/>
      <c r="P1159" s="1462"/>
      <c r="Q1159" s="1495" t="e">
        <f t="shared" si="334"/>
        <v>#DIV/0!</v>
      </c>
      <c r="R1159" s="1461"/>
      <c r="S1159" s="1457"/>
      <c r="T1159" s="1457"/>
      <c r="U1159" s="1457"/>
      <c r="V1159" s="1457"/>
      <c r="W1159" s="1462">
        <f t="shared" si="333"/>
        <v>0</v>
      </c>
      <c r="X1159" s="1496" t="e">
        <f t="shared" si="320"/>
        <v>#DIV/0!</v>
      </c>
      <c r="Y1159" s="1444"/>
    </row>
    <row r="1160" spans="1:25" ht="12.75" hidden="1">
      <c r="A1160" s="1497">
        <v>4140</v>
      </c>
      <c r="B1160" s="1513" t="s">
        <v>722</v>
      </c>
      <c r="C1160" s="1457"/>
      <c r="D1160" s="1457"/>
      <c r="E1160" s="1458"/>
      <c r="F1160" s="1459">
        <f t="shared" si="332"/>
        <v>0</v>
      </c>
      <c r="G1160" s="1519" t="e">
        <f t="shared" si="328"/>
        <v>#DIV/0!</v>
      </c>
      <c r="H1160" s="1499" t="e">
        <f t="shared" si="329"/>
        <v>#DIV/0!</v>
      </c>
      <c r="I1160" s="1534"/>
      <c r="J1160" s="1459"/>
      <c r="K1160" s="1457"/>
      <c r="L1160" s="1457"/>
      <c r="M1160" s="1457"/>
      <c r="N1160" s="1457"/>
      <c r="O1160" s="1457"/>
      <c r="P1160" s="1462"/>
      <c r="Q1160" s="1495" t="e">
        <f t="shared" si="334"/>
        <v>#DIV/0!</v>
      </c>
      <c r="R1160" s="1461"/>
      <c r="S1160" s="1457"/>
      <c r="T1160" s="1457"/>
      <c r="U1160" s="1457"/>
      <c r="V1160" s="1457"/>
      <c r="W1160" s="1462">
        <f t="shared" si="333"/>
        <v>0</v>
      </c>
      <c r="X1160" s="1496" t="e">
        <f t="shared" si="320"/>
        <v>#DIV/0!</v>
      </c>
      <c r="Y1160" s="1444"/>
    </row>
    <row r="1161" spans="1:25" ht="12.75" hidden="1">
      <c r="A1161" s="1497">
        <v>4440</v>
      </c>
      <c r="B1161" s="1513" t="s">
        <v>641</v>
      </c>
      <c r="C1161" s="1457"/>
      <c r="D1161" s="1457"/>
      <c r="E1161" s="1458"/>
      <c r="F1161" s="1459">
        <f t="shared" si="332"/>
        <v>0</v>
      </c>
      <c r="G1161" s="1519" t="e">
        <f t="shared" si="328"/>
        <v>#DIV/0!</v>
      </c>
      <c r="H1161" s="1499" t="e">
        <f t="shared" si="329"/>
        <v>#DIV/0!</v>
      </c>
      <c r="I1161" s="1534"/>
      <c r="J1161" s="1459"/>
      <c r="K1161" s="1457"/>
      <c r="L1161" s="1457"/>
      <c r="M1161" s="1457"/>
      <c r="N1161" s="1457"/>
      <c r="O1161" s="1457"/>
      <c r="P1161" s="1462"/>
      <c r="Q1161" s="1495" t="e">
        <f t="shared" si="334"/>
        <v>#DIV/0!</v>
      </c>
      <c r="R1161" s="1461"/>
      <c r="S1161" s="1457"/>
      <c r="T1161" s="1457"/>
      <c r="U1161" s="1457"/>
      <c r="V1161" s="1457"/>
      <c r="W1161" s="1462">
        <f t="shared" si="333"/>
        <v>0</v>
      </c>
      <c r="X1161" s="1496" t="e">
        <f t="shared" si="320"/>
        <v>#DIV/0!</v>
      </c>
      <c r="Y1161" s="1444"/>
    </row>
    <row r="1162" spans="1:25" s="581" customFormat="1" ht="12.75">
      <c r="A1162" s="1516">
        <v>85415</v>
      </c>
      <c r="B1162" s="1550" t="s">
        <v>1061</v>
      </c>
      <c r="C1162" s="1467">
        <f>SUM(C1163:C1169)</f>
        <v>924900</v>
      </c>
      <c r="D1162" s="1467">
        <f>SUM(D1163:D1169)</f>
        <v>1233741</v>
      </c>
      <c r="E1162" s="1467">
        <f>SUM(E1163:E1169)</f>
        <v>570300</v>
      </c>
      <c r="F1162" s="1467">
        <f>SUM(F1163:F1169)</f>
        <v>565300</v>
      </c>
      <c r="G1162" s="1519">
        <f>SUM(G1163:G1169)</f>
        <v>177.1082691370665</v>
      </c>
      <c r="H1162" s="1519">
        <f t="shared" si="329"/>
        <v>45.81998977094868</v>
      </c>
      <c r="I1162" s="1471"/>
      <c r="J1162" s="1469">
        <f aca="true" t="shared" si="336" ref="J1162:W1162">SUM(J1163:J1169)</f>
        <v>442556</v>
      </c>
      <c r="K1162" s="1467">
        <f t="shared" si="336"/>
        <v>7000</v>
      </c>
      <c r="L1162" s="1467">
        <f t="shared" si="336"/>
        <v>0</v>
      </c>
      <c r="M1162" s="1467">
        <f t="shared" si="336"/>
        <v>0</v>
      </c>
      <c r="N1162" s="1467">
        <f t="shared" si="336"/>
        <v>0</v>
      </c>
      <c r="O1162" s="1467">
        <f t="shared" si="336"/>
        <v>0</v>
      </c>
      <c r="P1162" s="1471">
        <f t="shared" si="336"/>
        <v>7000</v>
      </c>
      <c r="Q1162" s="1580">
        <f t="shared" si="336"/>
        <v>1.581720731387666</v>
      </c>
      <c r="R1162" s="1470">
        <f t="shared" si="336"/>
        <v>791185</v>
      </c>
      <c r="S1162" s="1467">
        <f t="shared" si="336"/>
        <v>558300</v>
      </c>
      <c r="T1162" s="1467">
        <f t="shared" si="336"/>
        <v>0</v>
      </c>
      <c r="U1162" s="1467">
        <f t="shared" si="336"/>
        <v>0</v>
      </c>
      <c r="V1162" s="1467">
        <f t="shared" si="336"/>
        <v>0</v>
      </c>
      <c r="W1162" s="1467">
        <f t="shared" si="336"/>
        <v>558300</v>
      </c>
      <c r="X1162" s="1454">
        <f t="shared" si="320"/>
        <v>70.5650385181721</v>
      </c>
      <c r="Y1162" s="1444"/>
    </row>
    <row r="1163" spans="1:25" ht="24">
      <c r="A1163" s="1497">
        <v>3240</v>
      </c>
      <c r="B1163" s="1513" t="s">
        <v>1062</v>
      </c>
      <c r="C1163" s="1457">
        <v>36500</v>
      </c>
      <c r="D1163" s="1457">
        <f>J1163+R1163</f>
        <v>472256</v>
      </c>
      <c r="E1163" s="1458">
        <f>35000+7000</f>
        <v>42000</v>
      </c>
      <c r="F1163" s="1459">
        <f aca="true" t="shared" si="337" ref="F1163:F1169">P1163+W1163</f>
        <v>37000</v>
      </c>
      <c r="G1163" s="1499">
        <f t="shared" si="328"/>
        <v>101.36986301369863</v>
      </c>
      <c r="H1163" s="1499">
        <f t="shared" si="329"/>
        <v>7.834733703753896</v>
      </c>
      <c r="I1163" s="1534"/>
      <c r="J1163" s="1459">
        <v>442556</v>
      </c>
      <c r="K1163" s="1457">
        <v>7000</v>
      </c>
      <c r="L1163" s="1457"/>
      <c r="M1163" s="1457"/>
      <c r="N1163" s="1457"/>
      <c r="O1163" s="1457"/>
      <c r="P1163" s="1462">
        <f>SUM(K1163:N1163)</f>
        <v>7000</v>
      </c>
      <c r="Q1163" s="1495">
        <f t="shared" si="334"/>
        <v>1.581720731387666</v>
      </c>
      <c r="R1163" s="1461">
        <v>29700</v>
      </c>
      <c r="S1163" s="1457">
        <f>35000-5000</f>
        <v>30000</v>
      </c>
      <c r="T1163" s="1457"/>
      <c r="U1163" s="1457"/>
      <c r="V1163" s="1457"/>
      <c r="W1163" s="1462">
        <f>SUM(S1163:V1163)</f>
        <v>30000</v>
      </c>
      <c r="X1163" s="1496">
        <f>W1163/R1163*100</f>
        <v>101.01010101010101</v>
      </c>
      <c r="Y1163" s="1444"/>
    </row>
    <row r="1164" spans="1:25" ht="24">
      <c r="A1164" s="1497">
        <v>3248</v>
      </c>
      <c r="B1164" s="1513" t="s">
        <v>1062</v>
      </c>
      <c r="C1164" s="1457">
        <v>666300</v>
      </c>
      <c r="D1164" s="1457">
        <f>J1164+R1164</f>
        <v>518187</v>
      </c>
      <c r="E1164" s="1458">
        <v>358285</v>
      </c>
      <c r="F1164" s="1459">
        <f t="shared" si="337"/>
        <v>358285</v>
      </c>
      <c r="G1164" s="1722">
        <f>Q1164+X1164</f>
        <v>0</v>
      </c>
      <c r="H1164" s="1499">
        <f t="shared" si="329"/>
        <v>69.14202787796684</v>
      </c>
      <c r="I1164" s="1462"/>
      <c r="J1164" s="1459">
        <f>T1164+AA1164</f>
        <v>0</v>
      </c>
      <c r="K1164" s="1459">
        <f>U1164+AB1164</f>
        <v>0</v>
      </c>
      <c r="L1164" s="1459">
        <f>V1164+AC1164</f>
        <v>0</v>
      </c>
      <c r="M1164" s="1459"/>
      <c r="N1164" s="1459">
        <f>X1164+AE1164</f>
        <v>0</v>
      </c>
      <c r="O1164" s="1459">
        <f>Y1164+AF1164</f>
        <v>0</v>
      </c>
      <c r="P1164" s="1462">
        <f>SUM(K1164:N1164)</f>
        <v>0</v>
      </c>
      <c r="Q1164" s="1495"/>
      <c r="R1164" s="1461">
        <v>518187</v>
      </c>
      <c r="S1164" s="1457">
        <v>358285</v>
      </c>
      <c r="T1164" s="1457"/>
      <c r="U1164" s="1457"/>
      <c r="V1164" s="1457"/>
      <c r="W1164" s="1462">
        <f aca="true" t="shared" si="338" ref="W1164:W1169">SUM(S1164:V1164)</f>
        <v>358285</v>
      </c>
      <c r="X1164" s="1496"/>
      <c r="Y1164" s="1444"/>
    </row>
    <row r="1165" spans="1:25" ht="24">
      <c r="A1165" s="1497">
        <v>3249</v>
      </c>
      <c r="B1165" s="1513" t="s">
        <v>1062</v>
      </c>
      <c r="C1165" s="1457">
        <v>222100</v>
      </c>
      <c r="D1165" s="1457">
        <f>J1165+R1165</f>
        <v>243298</v>
      </c>
      <c r="E1165" s="1458">
        <v>168215</v>
      </c>
      <c r="F1165" s="1459">
        <f t="shared" si="337"/>
        <v>168215</v>
      </c>
      <c r="G1165" s="1499">
        <f t="shared" si="328"/>
        <v>75.73840612336785</v>
      </c>
      <c r="H1165" s="1499">
        <f t="shared" si="329"/>
        <v>69.13949148780509</v>
      </c>
      <c r="I1165" s="1534"/>
      <c r="J1165" s="1459"/>
      <c r="K1165" s="1457"/>
      <c r="L1165" s="1457"/>
      <c r="M1165" s="1457"/>
      <c r="N1165" s="1457"/>
      <c r="O1165" s="1457"/>
      <c r="P1165" s="1462"/>
      <c r="Q1165" s="1495"/>
      <c r="R1165" s="1461">
        <v>243298</v>
      </c>
      <c r="S1165" s="1457">
        <v>168215</v>
      </c>
      <c r="T1165" s="1457"/>
      <c r="U1165" s="1457"/>
      <c r="V1165" s="1457"/>
      <c r="W1165" s="1462">
        <f t="shared" si="338"/>
        <v>168215</v>
      </c>
      <c r="X1165" s="1496"/>
      <c r="Y1165" s="1444"/>
    </row>
    <row r="1166" spans="1:25" ht="12.75">
      <c r="A1166" s="1497">
        <v>4218</v>
      </c>
      <c r="B1166" s="1513" t="s">
        <v>560</v>
      </c>
      <c r="C1166" s="1457"/>
      <c r="D1166" s="1457"/>
      <c r="E1166" s="1458">
        <v>310</v>
      </c>
      <c r="F1166" s="1459">
        <f t="shared" si="337"/>
        <v>310</v>
      </c>
      <c r="G1166" s="1499"/>
      <c r="H1166" s="1499"/>
      <c r="I1166" s="1534"/>
      <c r="J1166" s="1459"/>
      <c r="K1166" s="1457"/>
      <c r="L1166" s="1457"/>
      <c r="M1166" s="1457"/>
      <c r="N1166" s="1457"/>
      <c r="O1166" s="1457"/>
      <c r="P1166" s="1462"/>
      <c r="Q1166" s="1495"/>
      <c r="R1166" s="1461"/>
      <c r="S1166" s="1457">
        <v>310</v>
      </c>
      <c r="T1166" s="1457"/>
      <c r="U1166" s="1457"/>
      <c r="V1166" s="1457"/>
      <c r="W1166" s="1462">
        <f t="shared" si="338"/>
        <v>310</v>
      </c>
      <c r="X1166" s="1496"/>
      <c r="Y1166" s="1444"/>
    </row>
    <row r="1167" spans="1:25" ht="12.75">
      <c r="A1167" s="1497">
        <v>4219</v>
      </c>
      <c r="B1167" s="1513" t="s">
        <v>560</v>
      </c>
      <c r="C1167" s="1457"/>
      <c r="D1167" s="1457"/>
      <c r="E1167" s="1458">
        <v>140</v>
      </c>
      <c r="F1167" s="1459">
        <f t="shared" si="337"/>
        <v>140</v>
      </c>
      <c r="G1167" s="1499"/>
      <c r="H1167" s="1499"/>
      <c r="I1167" s="1450"/>
      <c r="J1167" s="1461"/>
      <c r="K1167" s="1457"/>
      <c r="L1167" s="1457"/>
      <c r="M1167" s="1457"/>
      <c r="N1167" s="1457"/>
      <c r="O1167" s="1457"/>
      <c r="P1167" s="1462"/>
      <c r="Q1167" s="1495"/>
      <c r="R1167" s="1461"/>
      <c r="S1167" s="1457">
        <v>140</v>
      </c>
      <c r="T1167" s="1457"/>
      <c r="U1167" s="1457"/>
      <c r="V1167" s="1457"/>
      <c r="W1167" s="1462">
        <f t="shared" si="338"/>
        <v>140</v>
      </c>
      <c r="X1167" s="1496"/>
      <c r="Y1167" s="1444"/>
    </row>
    <row r="1168" spans="1:25" ht="12.75">
      <c r="A1168" s="1497">
        <v>4308</v>
      </c>
      <c r="B1168" s="1513" t="s">
        <v>564</v>
      </c>
      <c r="C1168" s="1457"/>
      <c r="D1168" s="1457"/>
      <c r="E1168" s="1458">
        <v>930</v>
      </c>
      <c r="F1168" s="1459">
        <f t="shared" si="337"/>
        <v>930</v>
      </c>
      <c r="G1168" s="1499"/>
      <c r="H1168" s="1499"/>
      <c r="I1168" s="1450"/>
      <c r="J1168" s="1461"/>
      <c r="K1168" s="1457"/>
      <c r="L1168" s="1457"/>
      <c r="M1168" s="1457"/>
      <c r="N1168" s="1457"/>
      <c r="O1168" s="1457"/>
      <c r="P1168" s="1462"/>
      <c r="Q1168" s="1495"/>
      <c r="R1168" s="1461"/>
      <c r="S1168" s="1457">
        <v>930</v>
      </c>
      <c r="T1168" s="1457"/>
      <c r="U1168" s="1457"/>
      <c r="V1168" s="1457"/>
      <c r="W1168" s="1462">
        <f t="shared" si="338"/>
        <v>930</v>
      </c>
      <c r="X1168" s="1496"/>
      <c r="Y1168" s="1444"/>
    </row>
    <row r="1169" spans="1:25" ht="12.75">
      <c r="A1169" s="1497">
        <v>4309</v>
      </c>
      <c r="B1169" s="1513" t="s">
        <v>564</v>
      </c>
      <c r="C1169" s="1457"/>
      <c r="D1169" s="1457"/>
      <c r="E1169" s="1458">
        <v>420</v>
      </c>
      <c r="F1169" s="1459">
        <f t="shared" si="337"/>
        <v>420</v>
      </c>
      <c r="G1169" s="1499"/>
      <c r="H1169" s="1499"/>
      <c r="I1169" s="1450"/>
      <c r="J1169" s="1461"/>
      <c r="K1169" s="1457"/>
      <c r="L1169" s="1457"/>
      <c r="M1169" s="1457"/>
      <c r="N1169" s="1457"/>
      <c r="O1169" s="1457"/>
      <c r="P1169" s="1462"/>
      <c r="Q1169" s="1495"/>
      <c r="R1169" s="1461"/>
      <c r="S1169" s="1457">
        <v>420</v>
      </c>
      <c r="T1169" s="1457"/>
      <c r="U1169" s="1457"/>
      <c r="V1169" s="1457"/>
      <c r="W1169" s="1462">
        <f t="shared" si="338"/>
        <v>420</v>
      </c>
      <c r="X1169" s="1496"/>
      <c r="Y1169" s="1444"/>
    </row>
    <row r="1170" spans="1:28" s="581" customFormat="1" ht="12.75">
      <c r="A1170" s="1516">
        <v>85417</v>
      </c>
      <c r="B1170" s="1550" t="s">
        <v>1063</v>
      </c>
      <c r="C1170" s="1467">
        <f>SUM(C1171:C1183)</f>
        <v>218000</v>
      </c>
      <c r="D1170" s="1467">
        <f>SUM(D1171:D1183)</f>
        <v>240150</v>
      </c>
      <c r="E1170" s="1468">
        <f>SUM(E1171:E1183)</f>
        <v>237900</v>
      </c>
      <c r="F1170" s="1469">
        <f>SUM(F1171:F1183)</f>
        <v>213500</v>
      </c>
      <c r="G1170" s="1519">
        <f t="shared" si="328"/>
        <v>97.93577981651376</v>
      </c>
      <c r="H1170" s="1519">
        <f t="shared" si="329"/>
        <v>88.90276910264419</v>
      </c>
      <c r="I1170" s="1450"/>
      <c r="J1170" s="1470">
        <f>SUM(J1171:J1183)</f>
        <v>240150</v>
      </c>
      <c r="K1170" s="1467">
        <f>SUM(K1171:K1183)</f>
        <v>213500</v>
      </c>
      <c r="L1170" s="1467">
        <f>SUM(L1171:L1184)</f>
        <v>0</v>
      </c>
      <c r="M1170" s="1467">
        <f>SUM(M1171:M1184)</f>
        <v>0</v>
      </c>
      <c r="N1170" s="1467">
        <f>SUM(N1171:N1184)</f>
        <v>0</v>
      </c>
      <c r="O1170" s="1467"/>
      <c r="P1170" s="1471">
        <f>SUM(P1171:P1183)</f>
        <v>213500</v>
      </c>
      <c r="Q1170" s="1453">
        <f t="shared" si="334"/>
        <v>88.90276910264419</v>
      </c>
      <c r="R1170" s="1470"/>
      <c r="S1170" s="1467"/>
      <c r="T1170" s="1467"/>
      <c r="U1170" s="1467"/>
      <c r="V1170" s="1467"/>
      <c r="W1170" s="1471"/>
      <c r="X1170" s="1454"/>
      <c r="Y1170" s="1444"/>
      <c r="Z1170" s="1444">
        <f>SUM(K1171:K1174)</f>
        <v>140500</v>
      </c>
      <c r="AB1170" s="1444">
        <f>Z1170+AA1170</f>
        <v>140500</v>
      </c>
    </row>
    <row r="1171" spans="1:25" ht="24">
      <c r="A1171" s="1497">
        <v>4010</v>
      </c>
      <c r="B1171" s="1513" t="s">
        <v>626</v>
      </c>
      <c r="C1171" s="1457">
        <v>106000</v>
      </c>
      <c r="D1171" s="1457">
        <f aca="true" t="shared" si="339" ref="D1171:D1188">J1171+R1171</f>
        <v>118300</v>
      </c>
      <c r="E1171" s="1458">
        <v>107500</v>
      </c>
      <c r="F1171" s="1459">
        <f aca="true" t="shared" si="340" ref="F1171:F1188">P1171+W1171</f>
        <v>107500</v>
      </c>
      <c r="G1171" s="1499">
        <f t="shared" si="328"/>
        <v>101.41509433962264</v>
      </c>
      <c r="H1171" s="1499">
        <f t="shared" si="329"/>
        <v>90.87066779374472</v>
      </c>
      <c r="I1171" s="1450"/>
      <c r="J1171" s="1461">
        <v>118300</v>
      </c>
      <c r="K1171" s="1457">
        <v>107500</v>
      </c>
      <c r="L1171" s="1457"/>
      <c r="M1171" s="1457"/>
      <c r="N1171" s="1457"/>
      <c r="O1171" s="1457"/>
      <c r="P1171" s="1462">
        <f aca="true" t="shared" si="341" ref="P1171:P1183">SUM(K1171:N1171)</f>
        <v>107500</v>
      </c>
      <c r="Q1171" s="1495">
        <f t="shared" si="334"/>
        <v>90.87066779374472</v>
      </c>
      <c r="R1171" s="1461"/>
      <c r="S1171" s="1457"/>
      <c r="T1171" s="1457"/>
      <c r="U1171" s="1457"/>
      <c r="V1171" s="1457"/>
      <c r="W1171" s="1462"/>
      <c r="X1171" s="1496"/>
      <c r="Y1171" s="1444"/>
    </row>
    <row r="1172" spans="1:25" ht="12.75">
      <c r="A1172" s="1497">
        <v>4040</v>
      </c>
      <c r="B1172" s="1513" t="s">
        <v>630</v>
      </c>
      <c r="C1172" s="1457">
        <v>8300</v>
      </c>
      <c r="D1172" s="1457">
        <f t="shared" si="339"/>
        <v>8550</v>
      </c>
      <c r="E1172" s="1458">
        <v>8900</v>
      </c>
      <c r="F1172" s="1459">
        <f t="shared" si="340"/>
        <v>8900</v>
      </c>
      <c r="G1172" s="1499">
        <f t="shared" si="328"/>
        <v>107.2289156626506</v>
      </c>
      <c r="H1172" s="1499">
        <f t="shared" si="329"/>
        <v>104.09356725146199</v>
      </c>
      <c r="I1172" s="1450"/>
      <c r="J1172" s="1461">
        <v>8550</v>
      </c>
      <c r="K1172" s="1457">
        <v>8900</v>
      </c>
      <c r="L1172" s="1457"/>
      <c r="M1172" s="1457"/>
      <c r="N1172" s="1457"/>
      <c r="O1172" s="1457"/>
      <c r="P1172" s="1462">
        <f t="shared" si="341"/>
        <v>8900</v>
      </c>
      <c r="Q1172" s="1495">
        <f t="shared" si="334"/>
        <v>104.09356725146199</v>
      </c>
      <c r="R1172" s="1461"/>
      <c r="S1172" s="1457"/>
      <c r="T1172" s="1457"/>
      <c r="U1172" s="1457"/>
      <c r="V1172" s="1457"/>
      <c r="W1172" s="1462"/>
      <c r="X1172" s="1496"/>
      <c r="Y1172" s="1444"/>
    </row>
    <row r="1173" spans="1:25" ht="12.75">
      <c r="A1173" s="1497">
        <v>4110</v>
      </c>
      <c r="B1173" s="1513" t="s">
        <v>568</v>
      </c>
      <c r="C1173" s="1457">
        <v>20800</v>
      </c>
      <c r="D1173" s="1457">
        <f t="shared" si="339"/>
        <v>20800</v>
      </c>
      <c r="E1173" s="1458">
        <v>21200</v>
      </c>
      <c r="F1173" s="1459">
        <f t="shared" si="340"/>
        <v>21200</v>
      </c>
      <c r="G1173" s="1499">
        <f t="shared" si="328"/>
        <v>101.92307692307692</v>
      </c>
      <c r="H1173" s="1499">
        <f t="shared" si="329"/>
        <v>101.92307692307692</v>
      </c>
      <c r="I1173" s="1450"/>
      <c r="J1173" s="1461">
        <v>20800</v>
      </c>
      <c r="K1173" s="1457">
        <v>21200</v>
      </c>
      <c r="L1173" s="1457"/>
      <c r="M1173" s="1457"/>
      <c r="N1173" s="1457"/>
      <c r="O1173" s="1457"/>
      <c r="P1173" s="1462">
        <f t="shared" si="341"/>
        <v>21200</v>
      </c>
      <c r="Q1173" s="1495">
        <f t="shared" si="334"/>
        <v>101.92307692307692</v>
      </c>
      <c r="R1173" s="1461"/>
      <c r="S1173" s="1457"/>
      <c r="T1173" s="1457"/>
      <c r="U1173" s="1457"/>
      <c r="V1173" s="1457"/>
      <c r="W1173" s="1462"/>
      <c r="X1173" s="1496"/>
      <c r="Y1173" s="1444"/>
    </row>
    <row r="1174" spans="1:25" ht="12.75">
      <c r="A1174" s="1497">
        <v>4120</v>
      </c>
      <c r="B1174" s="1513" t="s">
        <v>758</v>
      </c>
      <c r="C1174" s="1457">
        <v>2800</v>
      </c>
      <c r="D1174" s="1457">
        <f t="shared" si="339"/>
        <v>2800</v>
      </c>
      <c r="E1174" s="1458">
        <v>2900</v>
      </c>
      <c r="F1174" s="1459">
        <f t="shared" si="340"/>
        <v>2900</v>
      </c>
      <c r="G1174" s="1499">
        <f t="shared" si="328"/>
        <v>103.57142857142858</v>
      </c>
      <c r="H1174" s="1499">
        <f t="shared" si="329"/>
        <v>103.57142857142858</v>
      </c>
      <c r="I1174" s="1450"/>
      <c r="J1174" s="1461">
        <v>2800</v>
      </c>
      <c r="K1174" s="1457">
        <v>2900</v>
      </c>
      <c r="L1174" s="1457"/>
      <c r="M1174" s="1457"/>
      <c r="N1174" s="1457"/>
      <c r="O1174" s="1457"/>
      <c r="P1174" s="1462">
        <f t="shared" si="341"/>
        <v>2900</v>
      </c>
      <c r="Q1174" s="1495">
        <f t="shared" si="334"/>
        <v>103.57142857142858</v>
      </c>
      <c r="R1174" s="1461"/>
      <c r="S1174" s="1457"/>
      <c r="T1174" s="1457"/>
      <c r="U1174" s="1457"/>
      <c r="V1174" s="1457"/>
      <c r="W1174" s="1462"/>
      <c r="X1174" s="1496"/>
      <c r="Y1174" s="1444"/>
    </row>
    <row r="1175" spans="1:25" ht="12.75">
      <c r="A1175" s="1497">
        <v>4170</v>
      </c>
      <c r="B1175" s="1513" t="s">
        <v>1057</v>
      </c>
      <c r="C1175" s="1457"/>
      <c r="D1175" s="1457">
        <f t="shared" si="339"/>
        <v>9000</v>
      </c>
      <c r="E1175" s="1458">
        <v>9200</v>
      </c>
      <c r="F1175" s="1459">
        <f t="shared" si="340"/>
        <v>9100</v>
      </c>
      <c r="G1175" s="1499"/>
      <c r="H1175" s="1499">
        <f t="shared" si="329"/>
        <v>101.11111111111111</v>
      </c>
      <c r="I1175" s="1450"/>
      <c r="J1175" s="1461">
        <v>9000</v>
      </c>
      <c r="K1175" s="1457">
        <v>9100</v>
      </c>
      <c r="L1175" s="1457"/>
      <c r="M1175" s="1457"/>
      <c r="N1175" s="1457"/>
      <c r="O1175" s="1457"/>
      <c r="P1175" s="1462">
        <f t="shared" si="341"/>
        <v>9100</v>
      </c>
      <c r="Q1175" s="1495">
        <f t="shared" si="334"/>
        <v>101.11111111111111</v>
      </c>
      <c r="R1175" s="1461"/>
      <c r="S1175" s="1457"/>
      <c r="T1175" s="1457"/>
      <c r="U1175" s="1457"/>
      <c r="V1175" s="1457"/>
      <c r="W1175" s="1462"/>
      <c r="X1175" s="1496"/>
      <c r="Y1175" s="1444"/>
    </row>
    <row r="1176" spans="1:25" ht="12.75">
      <c r="A1176" s="1497">
        <v>4210</v>
      </c>
      <c r="B1176" s="1513" t="s">
        <v>560</v>
      </c>
      <c r="C1176" s="1457">
        <v>25200</v>
      </c>
      <c r="D1176" s="1457">
        <f t="shared" si="339"/>
        <v>26700</v>
      </c>
      <c r="E1176" s="1458">
        <v>24000</v>
      </c>
      <c r="F1176" s="1459">
        <f t="shared" si="340"/>
        <v>24000</v>
      </c>
      <c r="G1176" s="1499">
        <f t="shared" si="328"/>
        <v>95.23809523809523</v>
      </c>
      <c r="H1176" s="1499">
        <f t="shared" si="329"/>
        <v>89.8876404494382</v>
      </c>
      <c r="I1176" s="1450"/>
      <c r="J1176" s="1461">
        <v>26700</v>
      </c>
      <c r="K1176" s="1457">
        <v>24000</v>
      </c>
      <c r="L1176" s="1457"/>
      <c r="M1176" s="1457"/>
      <c r="N1176" s="1457"/>
      <c r="O1176" s="1457"/>
      <c r="P1176" s="1462">
        <f t="shared" si="341"/>
        <v>24000</v>
      </c>
      <c r="Q1176" s="1495">
        <f t="shared" si="334"/>
        <v>89.8876404494382</v>
      </c>
      <c r="R1176" s="1461"/>
      <c r="S1176" s="1457"/>
      <c r="T1176" s="1457"/>
      <c r="U1176" s="1457"/>
      <c r="V1176" s="1457"/>
      <c r="W1176" s="1462"/>
      <c r="X1176" s="1496"/>
      <c r="Y1176" s="1444"/>
    </row>
    <row r="1177" spans="1:25" ht="12.75">
      <c r="A1177" s="1497">
        <v>4260</v>
      </c>
      <c r="B1177" s="1513" t="s">
        <v>575</v>
      </c>
      <c r="C1177" s="1457">
        <v>21000</v>
      </c>
      <c r="D1177" s="1457">
        <f t="shared" si="339"/>
        <v>21000</v>
      </c>
      <c r="E1177" s="1458">
        <v>23200</v>
      </c>
      <c r="F1177" s="1459">
        <f t="shared" si="340"/>
        <v>21300</v>
      </c>
      <c r="G1177" s="1499">
        <f t="shared" si="328"/>
        <v>101.42857142857142</v>
      </c>
      <c r="H1177" s="1499">
        <f t="shared" si="329"/>
        <v>101.42857142857142</v>
      </c>
      <c r="I1177" s="1450"/>
      <c r="J1177" s="1461">
        <v>21000</v>
      </c>
      <c r="K1177" s="1457">
        <v>21300</v>
      </c>
      <c r="L1177" s="1457"/>
      <c r="M1177" s="1457"/>
      <c r="N1177" s="1457"/>
      <c r="O1177" s="1457"/>
      <c r="P1177" s="1462">
        <f t="shared" si="341"/>
        <v>21300</v>
      </c>
      <c r="Q1177" s="1495">
        <f t="shared" si="334"/>
        <v>101.42857142857142</v>
      </c>
      <c r="R1177" s="1461"/>
      <c r="S1177" s="1457"/>
      <c r="T1177" s="1457"/>
      <c r="U1177" s="1457"/>
      <c r="V1177" s="1457"/>
      <c r="W1177" s="1462"/>
      <c r="X1177" s="1496"/>
      <c r="Y1177" s="1444"/>
    </row>
    <row r="1178" spans="1:25" ht="12.75" hidden="1">
      <c r="A1178" s="1497">
        <v>4270</v>
      </c>
      <c r="B1178" s="1513" t="s">
        <v>576</v>
      </c>
      <c r="C1178" s="1457"/>
      <c r="D1178" s="1457"/>
      <c r="E1178" s="1458">
        <v>3500</v>
      </c>
      <c r="F1178" s="1459">
        <f t="shared" si="340"/>
        <v>0</v>
      </c>
      <c r="G1178" s="1499"/>
      <c r="H1178" s="1499"/>
      <c r="I1178" s="1450"/>
      <c r="J1178" s="1461"/>
      <c r="K1178" s="1457"/>
      <c r="L1178" s="1457"/>
      <c r="M1178" s="1457"/>
      <c r="N1178" s="1457"/>
      <c r="O1178" s="1457"/>
      <c r="P1178" s="1462">
        <f t="shared" si="341"/>
        <v>0</v>
      </c>
      <c r="Q1178" s="1495"/>
      <c r="R1178" s="1461"/>
      <c r="S1178" s="1457"/>
      <c r="T1178" s="1457"/>
      <c r="U1178" s="1457"/>
      <c r="V1178" s="1457"/>
      <c r="W1178" s="1462"/>
      <c r="X1178" s="1496"/>
      <c r="Y1178" s="1444"/>
    </row>
    <row r="1179" spans="1:25" ht="12.75">
      <c r="A1179" s="1497">
        <v>4300</v>
      </c>
      <c r="B1179" s="1513" t="s">
        <v>564</v>
      </c>
      <c r="C1179" s="1457">
        <v>26200</v>
      </c>
      <c r="D1179" s="1457">
        <f t="shared" si="339"/>
        <v>10700</v>
      </c>
      <c r="E1179" s="1458">
        <v>14500</v>
      </c>
      <c r="F1179" s="1459">
        <f t="shared" si="340"/>
        <v>10900</v>
      </c>
      <c r="G1179" s="1499">
        <f t="shared" si="328"/>
        <v>41.603053435114504</v>
      </c>
      <c r="H1179" s="1499">
        <f t="shared" si="329"/>
        <v>101.86915887850468</v>
      </c>
      <c r="I1179" s="1450"/>
      <c r="J1179" s="1461">
        <v>10700</v>
      </c>
      <c r="K1179" s="1457">
        <v>10900</v>
      </c>
      <c r="L1179" s="1457"/>
      <c r="M1179" s="1457"/>
      <c r="N1179" s="1457"/>
      <c r="O1179" s="1457"/>
      <c r="P1179" s="1462">
        <f t="shared" si="341"/>
        <v>10900</v>
      </c>
      <c r="Q1179" s="1495"/>
      <c r="R1179" s="1461"/>
      <c r="S1179" s="1457"/>
      <c r="T1179" s="1457"/>
      <c r="U1179" s="1457"/>
      <c r="V1179" s="1457"/>
      <c r="W1179" s="1462"/>
      <c r="X1179" s="1496"/>
      <c r="Y1179" s="1444"/>
    </row>
    <row r="1180" spans="1:25" ht="12.75">
      <c r="A1180" s="1497">
        <v>4350</v>
      </c>
      <c r="B1180" s="1513" t="s">
        <v>820</v>
      </c>
      <c r="C1180" s="1457"/>
      <c r="D1180" s="1457">
        <f t="shared" si="339"/>
        <v>2000</v>
      </c>
      <c r="E1180" s="1458">
        <v>2100</v>
      </c>
      <c r="F1180" s="1459">
        <f t="shared" si="340"/>
        <v>2100</v>
      </c>
      <c r="G1180" s="1499"/>
      <c r="H1180" s="1499">
        <f t="shared" si="329"/>
        <v>105</v>
      </c>
      <c r="I1180" s="1450"/>
      <c r="J1180" s="1461">
        <v>2000</v>
      </c>
      <c r="K1180" s="1457">
        <v>2100</v>
      </c>
      <c r="L1180" s="1457"/>
      <c r="M1180" s="1457"/>
      <c r="N1180" s="1457"/>
      <c r="O1180" s="1457"/>
      <c r="P1180" s="1462">
        <f t="shared" si="341"/>
        <v>2100</v>
      </c>
      <c r="Q1180" s="1495"/>
      <c r="R1180" s="1461"/>
      <c r="S1180" s="1457"/>
      <c r="T1180" s="1457"/>
      <c r="U1180" s="1457"/>
      <c r="V1180" s="1457"/>
      <c r="W1180" s="1462"/>
      <c r="X1180" s="1496"/>
      <c r="Y1180" s="1444"/>
    </row>
    <row r="1181" spans="1:25" ht="12.75">
      <c r="A1181" s="1497">
        <v>4410</v>
      </c>
      <c r="B1181" s="1513" t="s">
        <v>618</v>
      </c>
      <c r="C1181" s="1457">
        <v>2600</v>
      </c>
      <c r="D1181" s="1457">
        <f t="shared" si="339"/>
        <v>2600</v>
      </c>
      <c r="E1181" s="1458">
        <v>1200</v>
      </c>
      <c r="F1181" s="1459">
        <f t="shared" si="340"/>
        <v>1200</v>
      </c>
      <c r="G1181" s="1499">
        <f t="shared" si="328"/>
        <v>46.15384615384615</v>
      </c>
      <c r="H1181" s="1499">
        <f t="shared" si="329"/>
        <v>46.15384615384615</v>
      </c>
      <c r="I1181" s="1450"/>
      <c r="J1181" s="1461">
        <v>2600</v>
      </c>
      <c r="K1181" s="1457">
        <v>1200</v>
      </c>
      <c r="L1181" s="1457"/>
      <c r="M1181" s="1457"/>
      <c r="N1181" s="1457"/>
      <c r="O1181" s="1457"/>
      <c r="P1181" s="1462">
        <f t="shared" si="341"/>
        <v>1200</v>
      </c>
      <c r="Q1181" s="1495">
        <f>P1179/J1181*100</f>
        <v>419.2307692307692</v>
      </c>
      <c r="R1181" s="1461"/>
      <c r="S1181" s="1457"/>
      <c r="T1181" s="1457"/>
      <c r="U1181" s="1457"/>
      <c r="V1181" s="1457"/>
      <c r="W1181" s="1462"/>
      <c r="X1181" s="1496"/>
      <c r="Y1181" s="1444"/>
    </row>
    <row r="1182" spans="1:25" ht="12.75">
      <c r="A1182" s="1497">
        <v>4440</v>
      </c>
      <c r="B1182" s="1513" t="s">
        <v>641</v>
      </c>
      <c r="C1182" s="1457">
        <v>5100</v>
      </c>
      <c r="D1182" s="1457">
        <f t="shared" si="339"/>
        <v>4400</v>
      </c>
      <c r="E1182" s="1458">
        <v>4400</v>
      </c>
      <c r="F1182" s="1459">
        <f t="shared" si="340"/>
        <v>4400</v>
      </c>
      <c r="G1182" s="1499">
        <f t="shared" si="328"/>
        <v>86.27450980392157</v>
      </c>
      <c r="H1182" s="1499">
        <f t="shared" si="329"/>
        <v>100</v>
      </c>
      <c r="I1182" s="1450"/>
      <c r="J1182" s="1461">
        <v>4400</v>
      </c>
      <c r="K1182" s="1457">
        <v>4400</v>
      </c>
      <c r="L1182" s="1457"/>
      <c r="M1182" s="1457"/>
      <c r="N1182" s="1457"/>
      <c r="O1182" s="1457"/>
      <c r="P1182" s="1462">
        <f t="shared" si="341"/>
        <v>4400</v>
      </c>
      <c r="Q1182" s="1495"/>
      <c r="R1182" s="1461"/>
      <c r="S1182" s="1457"/>
      <c r="T1182" s="1457"/>
      <c r="U1182" s="1457"/>
      <c r="V1182" s="1457"/>
      <c r="W1182" s="1462"/>
      <c r="X1182" s="1496"/>
      <c r="Y1182" s="1444"/>
    </row>
    <row r="1183" spans="1:25" ht="24">
      <c r="A1183" s="1497">
        <v>6050</v>
      </c>
      <c r="B1183" s="1513" t="s">
        <v>892</v>
      </c>
      <c r="C1183" s="1457"/>
      <c r="D1183" s="1457">
        <f t="shared" si="339"/>
        <v>13300</v>
      </c>
      <c r="E1183" s="1458">
        <v>15300</v>
      </c>
      <c r="F1183" s="1459">
        <f t="shared" si="340"/>
        <v>0</v>
      </c>
      <c r="G1183" s="1499"/>
      <c r="H1183" s="1499">
        <f t="shared" si="329"/>
        <v>0</v>
      </c>
      <c r="I1183" s="1450"/>
      <c r="J1183" s="1461">
        <v>13300</v>
      </c>
      <c r="K1183" s="1457"/>
      <c r="L1183" s="1457"/>
      <c r="M1183" s="1457"/>
      <c r="N1183" s="1457"/>
      <c r="O1183" s="1457"/>
      <c r="P1183" s="1462">
        <f t="shared" si="341"/>
        <v>0</v>
      </c>
      <c r="Q1183" s="1495">
        <f>P1181/J1183*100</f>
        <v>9.022556390977442</v>
      </c>
      <c r="R1183" s="1461">
        <v>0</v>
      </c>
      <c r="S1183" s="1457"/>
      <c r="T1183" s="1457"/>
      <c r="U1183" s="1457"/>
      <c r="V1183" s="1457"/>
      <c r="W1183" s="1462"/>
      <c r="X1183" s="1496"/>
      <c r="Y1183" s="1444"/>
    </row>
    <row r="1184" spans="1:25" s="581" customFormat="1" ht="24">
      <c r="A1184" s="1516">
        <v>85446</v>
      </c>
      <c r="B1184" s="1550" t="s">
        <v>504</v>
      </c>
      <c r="C1184" s="1467">
        <f>SUM(C1185:C1188)</f>
        <v>22300</v>
      </c>
      <c r="D1184" s="1467">
        <f>SUM(D1185:D1188)</f>
        <v>22300</v>
      </c>
      <c r="E1184" s="1468">
        <f>SUM(E1185:E1188)</f>
        <v>24200</v>
      </c>
      <c r="F1184" s="1469">
        <f>P1184+W1184</f>
        <v>22400</v>
      </c>
      <c r="G1184" s="1531">
        <f t="shared" si="328"/>
        <v>100.44843049327355</v>
      </c>
      <c r="H1184" s="1532">
        <f t="shared" si="329"/>
        <v>100.44843049327355</v>
      </c>
      <c r="I1184" s="1450"/>
      <c r="J1184" s="1470"/>
      <c r="K1184" s="1467"/>
      <c r="L1184" s="1467"/>
      <c r="M1184" s="1467"/>
      <c r="N1184" s="1467"/>
      <c r="O1184" s="1467"/>
      <c r="P1184" s="1471"/>
      <c r="Q1184" s="1453"/>
      <c r="R1184" s="1470">
        <f>SUM(R1185:R1188)</f>
        <v>22300</v>
      </c>
      <c r="S1184" s="1467">
        <f>SUM(S1188)</f>
        <v>22400</v>
      </c>
      <c r="T1184" s="1467">
        <f>SUM(T1188)</f>
        <v>0</v>
      </c>
      <c r="U1184" s="1467">
        <f>SUM(U1188)</f>
        <v>0</v>
      </c>
      <c r="V1184" s="1467">
        <f>SUM(V1188)</f>
        <v>0</v>
      </c>
      <c r="W1184" s="1471">
        <f>SUM(W1188)</f>
        <v>22400</v>
      </c>
      <c r="X1184" s="1496">
        <f>W1184/R1184*100</f>
        <v>100.44843049327355</v>
      </c>
      <c r="Y1184" s="1444"/>
    </row>
    <row r="1185" spans="1:25" s="571" customFormat="1" ht="12.75">
      <c r="A1185" s="1497">
        <v>4210</v>
      </c>
      <c r="B1185" s="1513" t="s">
        <v>560</v>
      </c>
      <c r="C1185" s="1457"/>
      <c r="D1185" s="1457">
        <f t="shared" si="339"/>
        <v>2500</v>
      </c>
      <c r="E1185" s="1458"/>
      <c r="F1185" s="1459">
        <f t="shared" si="340"/>
        <v>0</v>
      </c>
      <c r="G1185" s="1499"/>
      <c r="H1185" s="1499">
        <f t="shared" si="329"/>
        <v>0</v>
      </c>
      <c r="I1185" s="1581"/>
      <c r="J1185" s="1461"/>
      <c r="K1185" s="1457"/>
      <c r="L1185" s="1457"/>
      <c r="M1185" s="1457"/>
      <c r="N1185" s="1457"/>
      <c r="O1185" s="1457"/>
      <c r="P1185" s="1462"/>
      <c r="Q1185" s="1495"/>
      <c r="R1185" s="1461">
        <v>2500</v>
      </c>
      <c r="S1185" s="1457"/>
      <c r="T1185" s="1457"/>
      <c r="U1185" s="1457"/>
      <c r="V1185" s="1457"/>
      <c r="W1185" s="1462"/>
      <c r="X1185" s="1496"/>
      <c r="Y1185" s="1300"/>
    </row>
    <row r="1186" spans="1:25" s="571" customFormat="1" ht="24">
      <c r="A1186" s="1497">
        <v>4240</v>
      </c>
      <c r="B1186" s="1513" t="s">
        <v>897</v>
      </c>
      <c r="C1186" s="1457"/>
      <c r="D1186" s="1457">
        <f t="shared" si="339"/>
        <v>2000</v>
      </c>
      <c r="E1186" s="1458"/>
      <c r="F1186" s="1459">
        <f t="shared" si="340"/>
        <v>0</v>
      </c>
      <c r="G1186" s="1499"/>
      <c r="H1186" s="1499">
        <f t="shared" si="329"/>
        <v>0</v>
      </c>
      <c r="I1186" s="1581"/>
      <c r="J1186" s="1461"/>
      <c r="K1186" s="1457"/>
      <c r="L1186" s="1457"/>
      <c r="M1186" s="1457"/>
      <c r="N1186" s="1457"/>
      <c r="O1186" s="1457"/>
      <c r="P1186" s="1462"/>
      <c r="Q1186" s="1495"/>
      <c r="R1186" s="1461">
        <v>2000</v>
      </c>
      <c r="S1186" s="1457"/>
      <c r="T1186" s="1457"/>
      <c r="U1186" s="1457"/>
      <c r="V1186" s="1457"/>
      <c r="W1186" s="1462"/>
      <c r="X1186" s="1496"/>
      <c r="Y1186" s="1300"/>
    </row>
    <row r="1187" spans="1:25" s="571" customFormat="1" ht="12.75">
      <c r="A1187" s="1497">
        <v>4410</v>
      </c>
      <c r="B1187" s="1513" t="s">
        <v>618</v>
      </c>
      <c r="C1187" s="1457"/>
      <c r="D1187" s="1457">
        <f t="shared" si="339"/>
        <v>2500</v>
      </c>
      <c r="E1187" s="1458"/>
      <c r="F1187" s="1459">
        <f t="shared" si="340"/>
        <v>0</v>
      </c>
      <c r="G1187" s="1499"/>
      <c r="H1187" s="1499">
        <f t="shared" si="329"/>
        <v>0</v>
      </c>
      <c r="I1187" s="1581"/>
      <c r="J1187" s="1461"/>
      <c r="K1187" s="1457"/>
      <c r="L1187" s="1457"/>
      <c r="M1187" s="1457"/>
      <c r="N1187" s="1457"/>
      <c r="O1187" s="1457"/>
      <c r="P1187" s="1462"/>
      <c r="Q1187" s="1495"/>
      <c r="R1187" s="1461">
        <v>2500</v>
      </c>
      <c r="S1187" s="1457"/>
      <c r="T1187" s="1457"/>
      <c r="U1187" s="1457"/>
      <c r="V1187" s="1457"/>
      <c r="W1187" s="1462"/>
      <c r="X1187" s="1496"/>
      <c r="Y1187" s="1300"/>
    </row>
    <row r="1188" spans="1:25" ht="12.75">
      <c r="A1188" s="1497">
        <v>4300</v>
      </c>
      <c r="B1188" s="1513" t="s">
        <v>564</v>
      </c>
      <c r="C1188" s="1457">
        <v>22300</v>
      </c>
      <c r="D1188" s="1457">
        <f t="shared" si="339"/>
        <v>15300</v>
      </c>
      <c r="E1188" s="1458">
        <v>24200</v>
      </c>
      <c r="F1188" s="1459">
        <f t="shared" si="340"/>
        <v>22400</v>
      </c>
      <c r="G1188" s="1499">
        <f aca="true" t="shared" si="342" ref="G1188:G1251">F1188/C1188*100</f>
        <v>100.44843049327355</v>
      </c>
      <c r="H1188" s="1499">
        <f aca="true" t="shared" si="343" ref="H1188:H1253">F1188/D1188*100</f>
        <v>146.40522875816993</v>
      </c>
      <c r="I1188" s="1450"/>
      <c r="J1188" s="1461"/>
      <c r="K1188" s="1457"/>
      <c r="L1188" s="1457"/>
      <c r="M1188" s="1457"/>
      <c r="N1188" s="1457"/>
      <c r="O1188" s="1457"/>
      <c r="P1188" s="1462"/>
      <c r="Q1188" s="1495"/>
      <c r="R1188" s="1461">
        <v>15300</v>
      </c>
      <c r="S1188" s="1457">
        <v>22400</v>
      </c>
      <c r="T1188" s="1457"/>
      <c r="U1188" s="1457"/>
      <c r="V1188" s="1457"/>
      <c r="W1188" s="1462">
        <f>SUM(S1188:V1188)</f>
        <v>22400</v>
      </c>
      <c r="X1188" s="1496">
        <f>W1188/R1188*100</f>
        <v>146.40522875816993</v>
      </c>
      <c r="Y1188" s="1444"/>
    </row>
    <row r="1189" spans="1:28" s="581" customFormat="1" ht="12.75">
      <c r="A1189" s="1516">
        <v>85495</v>
      </c>
      <c r="B1189" s="1550" t="s">
        <v>209</v>
      </c>
      <c r="C1189" s="1467">
        <f>C1192</f>
        <v>279960</v>
      </c>
      <c r="D1189" s="1467">
        <f>D1192</f>
        <v>269678</v>
      </c>
      <c r="E1189" s="1467">
        <f>E1192</f>
        <v>695800</v>
      </c>
      <c r="F1189" s="1467">
        <f>F1192</f>
        <v>319600</v>
      </c>
      <c r="G1189" s="1519">
        <f t="shared" si="342"/>
        <v>114.15916559508501</v>
      </c>
      <c r="H1189" s="1519">
        <f t="shared" si="343"/>
        <v>118.51170655374187</v>
      </c>
      <c r="I1189" s="1450"/>
      <c r="J1189" s="1470">
        <f>J1192</f>
        <v>136018</v>
      </c>
      <c r="K1189" s="1467">
        <f aca="true" t="shared" si="344" ref="K1189:P1189">K1192</f>
        <v>154100</v>
      </c>
      <c r="L1189" s="1467">
        <f t="shared" si="344"/>
        <v>0</v>
      </c>
      <c r="M1189" s="1467">
        <f>M1192</f>
        <v>0</v>
      </c>
      <c r="N1189" s="1467">
        <f t="shared" si="344"/>
        <v>0</v>
      </c>
      <c r="O1189" s="1467">
        <f t="shared" si="344"/>
        <v>0</v>
      </c>
      <c r="P1189" s="1471">
        <f t="shared" si="344"/>
        <v>154100</v>
      </c>
      <c r="Q1189" s="1453">
        <f>P1189/J1189*100</f>
        <v>113.29382875795851</v>
      </c>
      <c r="R1189" s="1470">
        <f aca="true" t="shared" si="345" ref="R1189:W1189">R1192</f>
        <v>133660</v>
      </c>
      <c r="S1189" s="1467">
        <f t="shared" si="345"/>
        <v>130500</v>
      </c>
      <c r="T1189" s="1467">
        <f t="shared" si="345"/>
        <v>35000</v>
      </c>
      <c r="U1189" s="1467">
        <f t="shared" si="345"/>
        <v>0</v>
      </c>
      <c r="V1189" s="1467">
        <f t="shared" si="345"/>
        <v>0</v>
      </c>
      <c r="W1189" s="1471">
        <f t="shared" si="345"/>
        <v>165500</v>
      </c>
      <c r="X1189" s="1454">
        <f>W1189/R1189*100</f>
        <v>123.82163698937603</v>
      </c>
      <c r="Y1189" s="1444"/>
      <c r="Z1189" s="581" t="e">
        <f>#REF!+Z1192</f>
        <v>#REF!</v>
      </c>
      <c r="AB1189" s="581" t="e">
        <f>Z1189+AA1189</f>
        <v>#REF!</v>
      </c>
    </row>
    <row r="1190" spans="1:25" ht="12.75" hidden="1">
      <c r="A1190" s="1497">
        <v>4140</v>
      </c>
      <c r="B1190" s="1513" t="s">
        <v>722</v>
      </c>
      <c r="C1190" s="1457">
        <v>0</v>
      </c>
      <c r="D1190" s="1457">
        <f>J1190+R1190</f>
        <v>0</v>
      </c>
      <c r="E1190" s="1458">
        <v>0</v>
      </c>
      <c r="F1190" s="1459">
        <f>P1190+W1190</f>
        <v>0</v>
      </c>
      <c r="G1190" s="1519" t="e">
        <f t="shared" si="342"/>
        <v>#DIV/0!</v>
      </c>
      <c r="H1190" s="1519" t="e">
        <f t="shared" si="343"/>
        <v>#DIV/0!</v>
      </c>
      <c r="I1190" s="1450"/>
      <c r="J1190" s="1461">
        <v>0</v>
      </c>
      <c r="K1190" s="1457">
        <v>0</v>
      </c>
      <c r="L1190" s="1457"/>
      <c r="M1190" s="1457"/>
      <c r="N1190" s="1457"/>
      <c r="O1190" s="1457"/>
      <c r="P1190" s="1462">
        <f>SUM(K1190:N1190)</f>
        <v>0</v>
      </c>
      <c r="Q1190" s="1495" t="e">
        <f>P1190/J1190*100</f>
        <v>#DIV/0!</v>
      </c>
      <c r="R1190" s="1461"/>
      <c r="S1190" s="1457"/>
      <c r="T1190" s="1457"/>
      <c r="U1190" s="1457"/>
      <c r="V1190" s="1457"/>
      <c r="W1190" s="1462"/>
      <c r="X1190" s="1496"/>
      <c r="Y1190" s="1444"/>
    </row>
    <row r="1191" spans="1:25" ht="12.75" hidden="1">
      <c r="A1191" s="1497">
        <v>4440</v>
      </c>
      <c r="B1191" s="1513" t="s">
        <v>641</v>
      </c>
      <c r="C1191" s="1457">
        <v>0</v>
      </c>
      <c r="D1191" s="1457">
        <f>J1191+R1191</f>
        <v>0</v>
      </c>
      <c r="E1191" s="1458">
        <v>0</v>
      </c>
      <c r="F1191" s="1459">
        <f>P1191+W1191</f>
        <v>0</v>
      </c>
      <c r="G1191" s="1519" t="e">
        <f t="shared" si="342"/>
        <v>#DIV/0!</v>
      </c>
      <c r="H1191" s="1519" t="e">
        <f t="shared" si="343"/>
        <v>#DIV/0!</v>
      </c>
      <c r="I1191" s="1450"/>
      <c r="J1191" s="1461">
        <v>0</v>
      </c>
      <c r="K1191" s="1457">
        <v>0</v>
      </c>
      <c r="L1191" s="1457"/>
      <c r="M1191" s="1457"/>
      <c r="N1191" s="1457"/>
      <c r="O1191" s="1457"/>
      <c r="P1191" s="1462">
        <f>SUM(K1191:N1191)</f>
        <v>0</v>
      </c>
      <c r="Q1191" s="1495" t="e">
        <f>P1191/J1191*100</f>
        <v>#DIV/0!</v>
      </c>
      <c r="R1191" s="1461"/>
      <c r="S1191" s="1457"/>
      <c r="T1191" s="1457"/>
      <c r="U1191" s="1457"/>
      <c r="V1191" s="1457"/>
      <c r="W1191" s="1462"/>
      <c r="X1191" s="1496"/>
      <c r="Y1191" s="1444"/>
    </row>
    <row r="1192" spans="1:28" s="581" customFormat="1" ht="12.75">
      <c r="A1192" s="1516"/>
      <c r="B1192" s="1550" t="s">
        <v>1064</v>
      </c>
      <c r="C1192" s="1467">
        <f>SUM(C1193:C1201)</f>
        <v>279960</v>
      </c>
      <c r="D1192" s="1467">
        <f aca="true" t="shared" si="346" ref="D1192:W1192">SUM(D1193:D1201)</f>
        <v>269678</v>
      </c>
      <c r="E1192" s="1468">
        <f t="shared" si="346"/>
        <v>695800</v>
      </c>
      <c r="F1192" s="1469">
        <f t="shared" si="346"/>
        <v>319600</v>
      </c>
      <c r="G1192" s="1519">
        <f t="shared" si="342"/>
        <v>114.15916559508501</v>
      </c>
      <c r="H1192" s="1519">
        <f t="shared" si="343"/>
        <v>118.51170655374187</v>
      </c>
      <c r="I1192" s="1450"/>
      <c r="J1192" s="1470">
        <f t="shared" si="346"/>
        <v>136018</v>
      </c>
      <c r="K1192" s="1467">
        <f t="shared" si="346"/>
        <v>154100</v>
      </c>
      <c r="L1192" s="1467">
        <f t="shared" si="346"/>
        <v>0</v>
      </c>
      <c r="M1192" s="1467">
        <f t="shared" si="346"/>
        <v>0</v>
      </c>
      <c r="N1192" s="1467">
        <f t="shared" si="346"/>
        <v>0</v>
      </c>
      <c r="O1192" s="1467"/>
      <c r="P1192" s="1471">
        <f t="shared" si="346"/>
        <v>154100</v>
      </c>
      <c r="Q1192" s="1453">
        <f>P1192/J1192*100</f>
        <v>113.29382875795851</v>
      </c>
      <c r="R1192" s="1470">
        <f t="shared" si="346"/>
        <v>133660</v>
      </c>
      <c r="S1192" s="1467">
        <f t="shared" si="346"/>
        <v>130500</v>
      </c>
      <c r="T1192" s="1467">
        <f t="shared" si="346"/>
        <v>35000</v>
      </c>
      <c r="U1192" s="1467">
        <f t="shared" si="346"/>
        <v>0</v>
      </c>
      <c r="V1192" s="1467">
        <f t="shared" si="346"/>
        <v>0</v>
      </c>
      <c r="W1192" s="1471">
        <f t="shared" si="346"/>
        <v>165500</v>
      </c>
      <c r="X1192" s="1454">
        <f>W1192/R1192*100</f>
        <v>123.82163698937603</v>
      </c>
      <c r="Y1192" s="1444"/>
      <c r="Z1192" s="1444">
        <f>SUM(K1195)</f>
        <v>0</v>
      </c>
      <c r="AA1192" s="1444">
        <f>SUM(S1195)</f>
        <v>20000</v>
      </c>
      <c r="AB1192" s="1444">
        <f>Z1192+AA1192</f>
        <v>20000</v>
      </c>
    </row>
    <row r="1193" spans="1:25" ht="48">
      <c r="A1193" s="1497">
        <v>2820</v>
      </c>
      <c r="B1193" s="1513" t="s">
        <v>1065</v>
      </c>
      <c r="C1193" s="1457">
        <v>29000</v>
      </c>
      <c r="D1193" s="1457">
        <f>J1193+R1193</f>
        <v>29000</v>
      </c>
      <c r="E1193" s="1458">
        <v>29500</v>
      </c>
      <c r="F1193" s="1459">
        <f>P1193+W1193</f>
        <v>29500</v>
      </c>
      <c r="G1193" s="1499">
        <f t="shared" si="342"/>
        <v>101.72413793103448</v>
      </c>
      <c r="H1193" s="1499">
        <f t="shared" si="343"/>
        <v>101.72413793103448</v>
      </c>
      <c r="I1193" s="1450"/>
      <c r="J1193" s="1461">
        <v>29000</v>
      </c>
      <c r="K1193" s="1457">
        <v>29500</v>
      </c>
      <c r="L1193" s="1457"/>
      <c r="M1193" s="1457"/>
      <c r="N1193" s="1457"/>
      <c r="O1193" s="1457"/>
      <c r="P1193" s="1462">
        <f>SUM(K1193:N1193)</f>
        <v>29500</v>
      </c>
      <c r="Q1193" s="1495">
        <f>P1193/J1193*100</f>
        <v>101.72413793103448</v>
      </c>
      <c r="R1193" s="1461"/>
      <c r="S1193" s="1457"/>
      <c r="T1193" s="1457"/>
      <c r="U1193" s="1457"/>
      <c r="V1193" s="1457"/>
      <c r="W1193" s="1462">
        <f aca="true" t="shared" si="347" ref="W1193:W1201">SUM(S1193:V1193)</f>
        <v>0</v>
      </c>
      <c r="X1193" s="1496"/>
      <c r="Y1193" s="1444"/>
    </row>
    <row r="1194" spans="1:25" ht="24">
      <c r="A1194" s="1497">
        <v>3040</v>
      </c>
      <c r="B1194" s="1513" t="s">
        <v>791</v>
      </c>
      <c r="C1194" s="1457"/>
      <c r="D1194" s="1457">
        <f>J1194+R1194</f>
        <v>2100</v>
      </c>
      <c r="E1194" s="1458">
        <v>1000</v>
      </c>
      <c r="F1194" s="1459">
        <f aca="true" t="shared" si="348" ref="F1194:F1201">P1194+W1194</f>
        <v>1000</v>
      </c>
      <c r="G1194" s="1499"/>
      <c r="H1194" s="1499">
        <f t="shared" si="343"/>
        <v>47.61904761904761</v>
      </c>
      <c r="I1194" s="1450"/>
      <c r="J1194" s="1461"/>
      <c r="K1194" s="1457"/>
      <c r="L1194" s="1457"/>
      <c r="M1194" s="1457"/>
      <c r="N1194" s="1457"/>
      <c r="O1194" s="1457"/>
      <c r="P1194" s="1462">
        <f aca="true" t="shared" si="349" ref="P1194:P1200">SUM(K1194:N1194)</f>
        <v>0</v>
      </c>
      <c r="Q1194" s="1495"/>
      <c r="R1194" s="1461">
        <v>2100</v>
      </c>
      <c r="S1194" s="1457">
        <v>1000</v>
      </c>
      <c r="T1194" s="1457"/>
      <c r="U1194" s="1457"/>
      <c r="V1194" s="1457"/>
      <c r="W1194" s="1462">
        <f t="shared" si="347"/>
        <v>1000</v>
      </c>
      <c r="X1194" s="1496"/>
      <c r="Y1194" s="1444"/>
    </row>
    <row r="1195" spans="1:25" ht="24">
      <c r="A1195" s="1497">
        <v>4010</v>
      </c>
      <c r="B1195" s="1513" t="s">
        <v>1066</v>
      </c>
      <c r="C1195" s="1457">
        <v>70000</v>
      </c>
      <c r="D1195" s="1457">
        <f aca="true" t="shared" si="350" ref="D1195:D1201">J1195+R1195</f>
        <v>76182</v>
      </c>
      <c r="E1195" s="1458">
        <v>167300</v>
      </c>
      <c r="F1195" s="1459">
        <f t="shared" si="348"/>
        <v>20000</v>
      </c>
      <c r="G1195" s="1499">
        <f t="shared" si="342"/>
        <v>28.57142857142857</v>
      </c>
      <c r="H1195" s="1499">
        <f t="shared" si="343"/>
        <v>26.252920637420914</v>
      </c>
      <c r="I1195" s="1450"/>
      <c r="J1195" s="1461"/>
      <c r="K1195" s="1457"/>
      <c r="L1195" s="1457"/>
      <c r="M1195" s="1457"/>
      <c r="N1195" s="1457"/>
      <c r="O1195" s="1457"/>
      <c r="P1195" s="1462">
        <f t="shared" si="349"/>
        <v>0</v>
      </c>
      <c r="Q1195" s="1495"/>
      <c r="R1195" s="1461">
        <v>76182</v>
      </c>
      <c r="S1195" s="1457">
        <f>100000-80000</f>
        <v>20000</v>
      </c>
      <c r="T1195" s="1457"/>
      <c r="U1195" s="1457"/>
      <c r="V1195" s="1457"/>
      <c r="W1195" s="1462">
        <f t="shared" si="347"/>
        <v>20000</v>
      </c>
      <c r="X1195" s="1496">
        <f>W1195/R1195*100</f>
        <v>26.252920637420914</v>
      </c>
      <c r="Y1195" s="1444"/>
    </row>
    <row r="1196" spans="1:25" ht="12.75">
      <c r="A1196" s="1497">
        <v>4210</v>
      </c>
      <c r="B1196" s="1513" t="s">
        <v>1067</v>
      </c>
      <c r="C1196" s="1457">
        <v>5510</v>
      </c>
      <c r="D1196" s="1457">
        <f t="shared" si="350"/>
        <v>8010</v>
      </c>
      <c r="E1196" s="1458">
        <v>6650</v>
      </c>
      <c r="F1196" s="1459">
        <f t="shared" si="348"/>
        <v>6650</v>
      </c>
      <c r="G1196" s="1499">
        <f t="shared" si="342"/>
        <v>120.6896551724138</v>
      </c>
      <c r="H1196" s="1499">
        <f t="shared" si="343"/>
        <v>83.02122347066168</v>
      </c>
      <c r="I1196" s="1450"/>
      <c r="J1196" s="1461">
        <v>8010</v>
      </c>
      <c r="K1196" s="1457">
        <v>6650</v>
      </c>
      <c r="L1196" s="1457"/>
      <c r="M1196" s="1457"/>
      <c r="N1196" s="1457"/>
      <c r="O1196" s="1457"/>
      <c r="P1196" s="1462">
        <f t="shared" si="349"/>
        <v>6650</v>
      </c>
      <c r="Q1196" s="1495">
        <f>P1196/J1196*100</f>
        <v>83.02122347066168</v>
      </c>
      <c r="R1196" s="1461"/>
      <c r="S1196" s="1457"/>
      <c r="T1196" s="1457"/>
      <c r="U1196" s="1457"/>
      <c r="V1196" s="1457"/>
      <c r="W1196" s="1462">
        <f t="shared" si="347"/>
        <v>0</v>
      </c>
      <c r="X1196" s="1496"/>
      <c r="Y1196" s="1444"/>
    </row>
    <row r="1197" spans="1:25" ht="12.75">
      <c r="A1197" s="1497">
        <v>4300</v>
      </c>
      <c r="B1197" s="1513" t="s">
        <v>1044</v>
      </c>
      <c r="C1197" s="1457">
        <v>5450</v>
      </c>
      <c r="D1197" s="1457">
        <f t="shared" si="350"/>
        <v>8350</v>
      </c>
      <c r="E1197" s="1458">
        <v>6050</v>
      </c>
      <c r="F1197" s="1459">
        <f t="shared" si="348"/>
        <v>6050</v>
      </c>
      <c r="G1197" s="1499">
        <f t="shared" si="342"/>
        <v>111.0091743119266</v>
      </c>
      <c r="H1197" s="1499">
        <f t="shared" si="343"/>
        <v>72.45508982035929</v>
      </c>
      <c r="I1197" s="1450"/>
      <c r="J1197" s="1461">
        <v>8350</v>
      </c>
      <c r="K1197" s="1457">
        <v>6050</v>
      </c>
      <c r="L1197" s="1457"/>
      <c r="M1197" s="1457"/>
      <c r="N1197" s="1457"/>
      <c r="O1197" s="1457"/>
      <c r="P1197" s="1462">
        <f t="shared" si="349"/>
        <v>6050</v>
      </c>
      <c r="Q1197" s="1495">
        <f>P1197/J1197*100</f>
        <v>72.45508982035929</v>
      </c>
      <c r="R1197" s="1461"/>
      <c r="S1197" s="1457">
        <v>0</v>
      </c>
      <c r="T1197" s="1457"/>
      <c r="U1197" s="1457"/>
      <c r="V1197" s="1457"/>
      <c r="W1197" s="1462">
        <f t="shared" si="347"/>
        <v>0</v>
      </c>
      <c r="X1197" s="1496"/>
      <c r="Y1197" s="1444"/>
    </row>
    <row r="1198" spans="1:25" ht="12.75">
      <c r="A1198" s="1497">
        <v>4300</v>
      </c>
      <c r="B1198" s="1513" t="s">
        <v>564</v>
      </c>
      <c r="C1198" s="1457">
        <v>60000</v>
      </c>
      <c r="D1198" s="1457">
        <f t="shared" si="350"/>
        <v>19000</v>
      </c>
      <c r="E1198" s="1458">
        <v>144000</v>
      </c>
      <c r="F1198" s="1459">
        <f t="shared" si="348"/>
        <v>59600</v>
      </c>
      <c r="G1198" s="1499">
        <f t="shared" si="342"/>
        <v>99.33333333333333</v>
      </c>
      <c r="H1198" s="1499">
        <f t="shared" si="343"/>
        <v>313.6842105263158</v>
      </c>
      <c r="I1198" s="1450"/>
      <c r="J1198" s="1461"/>
      <c r="K1198" s="1457"/>
      <c r="L1198" s="1457"/>
      <c r="M1198" s="1457"/>
      <c r="N1198" s="1457"/>
      <c r="O1198" s="1457"/>
      <c r="P1198" s="1462">
        <f t="shared" si="349"/>
        <v>0</v>
      </c>
      <c r="Q1198" s="1495"/>
      <c r="R1198" s="1461">
        <v>19000</v>
      </c>
      <c r="S1198" s="1457">
        <v>59600</v>
      </c>
      <c r="T1198" s="1457"/>
      <c r="U1198" s="1457"/>
      <c r="V1198" s="1457"/>
      <c r="W1198" s="1462">
        <f t="shared" si="347"/>
        <v>59600</v>
      </c>
      <c r="X1198" s="1496">
        <f>W1198/R1198*100</f>
        <v>313.6842105263158</v>
      </c>
      <c r="Y1198" s="1444"/>
    </row>
    <row r="1199" spans="1:25" ht="12.75">
      <c r="A1199" s="1497">
        <v>4430</v>
      </c>
      <c r="B1199" s="1513" t="s">
        <v>1068</v>
      </c>
      <c r="C1199" s="1457"/>
      <c r="D1199" s="1457">
        <f t="shared" si="350"/>
        <v>100</v>
      </c>
      <c r="E1199" s="1458">
        <v>100</v>
      </c>
      <c r="F1199" s="1459">
        <f t="shared" si="348"/>
        <v>100</v>
      </c>
      <c r="G1199" s="1499"/>
      <c r="H1199" s="1499">
        <f t="shared" si="343"/>
        <v>100</v>
      </c>
      <c r="I1199" s="1460"/>
      <c r="J1199" s="1461">
        <v>100</v>
      </c>
      <c r="K1199" s="1457">
        <v>100</v>
      </c>
      <c r="L1199" s="1457"/>
      <c r="M1199" s="1457"/>
      <c r="N1199" s="1457"/>
      <c r="O1199" s="1457"/>
      <c r="P1199" s="1462">
        <f t="shared" si="349"/>
        <v>100</v>
      </c>
      <c r="Q1199" s="1463"/>
      <c r="R1199" s="1461"/>
      <c r="S1199" s="1457"/>
      <c r="T1199" s="1457"/>
      <c r="U1199" s="1457"/>
      <c r="V1199" s="1457"/>
      <c r="W1199" s="1462">
        <f t="shared" si="347"/>
        <v>0</v>
      </c>
      <c r="X1199" s="1496"/>
      <c r="Y1199" s="1444"/>
    </row>
    <row r="1200" spans="1:25" ht="12.75">
      <c r="A1200" s="1485">
        <v>4440</v>
      </c>
      <c r="B1200" s="1502" t="s">
        <v>641</v>
      </c>
      <c r="C1200" s="1478">
        <v>110000</v>
      </c>
      <c r="D1200" s="1457">
        <f t="shared" si="350"/>
        <v>126936</v>
      </c>
      <c r="E1200" s="1479">
        <f>49900+111800</f>
        <v>161700</v>
      </c>
      <c r="F1200" s="1459">
        <f t="shared" si="348"/>
        <v>161700</v>
      </c>
      <c r="G1200" s="1499">
        <f t="shared" si="342"/>
        <v>147</v>
      </c>
      <c r="H1200" s="1499">
        <f t="shared" si="343"/>
        <v>127.38702968425034</v>
      </c>
      <c r="I1200" s="1501"/>
      <c r="J1200" s="1483">
        <v>90558</v>
      </c>
      <c r="K1200" s="1478">
        <v>111800</v>
      </c>
      <c r="L1200" s="1478"/>
      <c r="M1200" s="1478"/>
      <c r="N1200" s="1478"/>
      <c r="O1200" s="1478"/>
      <c r="P1200" s="1462">
        <f t="shared" si="349"/>
        <v>111800</v>
      </c>
      <c r="Q1200" s="1495"/>
      <c r="R1200" s="1483">
        <v>36378</v>
      </c>
      <c r="S1200" s="1478">
        <v>49900</v>
      </c>
      <c r="T1200" s="1478"/>
      <c r="U1200" s="1478"/>
      <c r="V1200" s="1478"/>
      <c r="W1200" s="1462">
        <f t="shared" si="347"/>
        <v>49900</v>
      </c>
      <c r="X1200" s="1496"/>
      <c r="Y1200" s="1444"/>
    </row>
    <row r="1201" spans="1:25" ht="24.75" thickBot="1">
      <c r="A1201" s="1485">
        <v>6050</v>
      </c>
      <c r="B1201" s="1502" t="s">
        <v>892</v>
      </c>
      <c r="C1201" s="1478"/>
      <c r="D1201" s="1457">
        <f t="shared" si="350"/>
        <v>0</v>
      </c>
      <c r="E1201" s="1479">
        <v>179500</v>
      </c>
      <c r="F1201" s="1459">
        <f t="shared" si="348"/>
        <v>35000</v>
      </c>
      <c r="G1201" s="1481"/>
      <c r="H1201" s="1481"/>
      <c r="I1201" s="1486"/>
      <c r="J1201" s="1483"/>
      <c r="K1201" s="1478"/>
      <c r="L1201" s="1478"/>
      <c r="M1201" s="1478"/>
      <c r="N1201" s="1478"/>
      <c r="O1201" s="1478"/>
      <c r="P1201" s="1462">
        <f>SUM(K1201:N1201)</f>
        <v>0</v>
      </c>
      <c r="Q1201" s="1495" t="e">
        <f>P1201/J1201*100</f>
        <v>#DIV/0!</v>
      </c>
      <c r="R1201" s="1483"/>
      <c r="S1201" s="1478"/>
      <c r="T1201" s="1478">
        <v>35000</v>
      </c>
      <c r="U1201" s="1478"/>
      <c r="V1201" s="1478"/>
      <c r="W1201" s="1462">
        <f t="shared" si="347"/>
        <v>35000</v>
      </c>
      <c r="X1201" s="1496" t="e">
        <f>W1201/R1201*100</f>
        <v>#DIV/0!</v>
      </c>
      <c r="Y1201" s="1444"/>
    </row>
    <row r="1202" spans="1:25" s="581" customFormat="1" ht="25.5" thickBot="1" thickTop="1">
      <c r="A1202" s="1489">
        <v>900</v>
      </c>
      <c r="B1202" s="1490" t="s">
        <v>1069</v>
      </c>
      <c r="C1202" s="1434">
        <f>C1203+C1216+C1224+C1247+C1254+C1260</f>
        <v>9122418</v>
      </c>
      <c r="D1202" s="1434">
        <f>D1203+D1216+D1224+D1247+D1254+D1260</f>
        <v>10292018</v>
      </c>
      <c r="E1202" s="1435">
        <f>E1203+E1216+E1224+E1247+E1254+E1260</f>
        <v>22644610</v>
      </c>
      <c r="F1202" s="1436">
        <f>F1203+F1216+F1224+F1247+F1254+F1260</f>
        <v>14225500</v>
      </c>
      <c r="G1202" s="1602">
        <f t="shared" si="342"/>
        <v>155.9400150267177</v>
      </c>
      <c r="H1202" s="1603">
        <f t="shared" si="343"/>
        <v>138.21876331735913</v>
      </c>
      <c r="I1202" s="1439">
        <f>F1202/F$1426*100</f>
        <v>5.188295291894923</v>
      </c>
      <c r="J1202" s="1440">
        <f>J1203+J1216+J1224+J1247+J1254+J1260</f>
        <v>7192018</v>
      </c>
      <c r="K1202" s="1434">
        <f>K1203+K1216+K1224+K1247+K1254+K1260</f>
        <v>3562700</v>
      </c>
      <c r="L1202" s="1434">
        <f>L1203+L1216+L1224+L1247+L1254+L1260</f>
        <v>6405000</v>
      </c>
      <c r="M1202" s="1434">
        <f>M1203+M1216+M1224+M1247+M1254+M1260</f>
        <v>0</v>
      </c>
      <c r="N1202" s="1434">
        <f>N1203+N1216+N1224+N1247+N1254+N1260</f>
        <v>1018500</v>
      </c>
      <c r="O1202" s="1434"/>
      <c r="P1202" s="1441">
        <f>P1203+P1216+P1224+P1247+P1254+P1260</f>
        <v>11036200</v>
      </c>
      <c r="Q1202" s="1495">
        <f>P1202/J1202*100</f>
        <v>153.450672676292</v>
      </c>
      <c r="R1202" s="1440">
        <f aca="true" t="shared" si="351" ref="R1202:W1202">R1203+R1216+R1224+R1247+R1254+R1260</f>
        <v>3100000</v>
      </c>
      <c r="S1202" s="1434">
        <f t="shared" si="351"/>
        <v>2639300</v>
      </c>
      <c r="T1202" s="1434">
        <f t="shared" si="351"/>
        <v>0</v>
      </c>
      <c r="U1202" s="1434">
        <f t="shared" si="351"/>
        <v>0</v>
      </c>
      <c r="V1202" s="1434">
        <f t="shared" si="351"/>
        <v>500000</v>
      </c>
      <c r="W1202" s="1441">
        <f t="shared" si="351"/>
        <v>3189300</v>
      </c>
      <c r="X1202" s="1443">
        <f>W1202/R1202*100</f>
        <v>102.88064516129032</v>
      </c>
      <c r="Y1202" s="1444"/>
    </row>
    <row r="1203" spans="1:25" s="581" customFormat="1" ht="24.75" thickTop="1">
      <c r="A1203" s="1493">
        <v>90001</v>
      </c>
      <c r="B1203" s="1506" t="s">
        <v>237</v>
      </c>
      <c r="C1203" s="1447">
        <f>SUM(C1204:C1208)</f>
        <v>1150000</v>
      </c>
      <c r="D1203" s="1447">
        <f>SUM(D1204:D1208)</f>
        <v>1230000</v>
      </c>
      <c r="E1203" s="1448">
        <f>SUM(E1204:E1208)</f>
        <v>7060000</v>
      </c>
      <c r="F1203" s="1449">
        <f>SUM(F1204:F1208)</f>
        <v>5000000</v>
      </c>
      <c r="G1203" s="1474">
        <f t="shared" si="342"/>
        <v>434.78260869565213</v>
      </c>
      <c r="H1203" s="1475">
        <f t="shared" si="343"/>
        <v>406.50406504065046</v>
      </c>
      <c r="I1203" s="1450"/>
      <c r="J1203" s="1451">
        <f>SUM(J1204:J1208)</f>
        <v>1211000</v>
      </c>
      <c r="K1203" s="1447">
        <f>SUM(K1204:K1208)</f>
        <v>0</v>
      </c>
      <c r="L1203" s="1447">
        <f>SUM(L1204:L1208)</f>
        <v>4750000</v>
      </c>
      <c r="M1203" s="1447">
        <f>SUM(M1204:M1208)</f>
        <v>0</v>
      </c>
      <c r="N1203" s="1447">
        <f>SUM(N1204:N1208)</f>
        <v>100000</v>
      </c>
      <c r="O1203" s="1447"/>
      <c r="P1203" s="1452">
        <f>SUM(P1204:P1208)</f>
        <v>4900000</v>
      </c>
      <c r="Q1203" s="1453">
        <f aca="true" t="shared" si="352" ref="Q1203:Q1210">P1203/J1203*100</f>
        <v>404.62427745664746</v>
      </c>
      <c r="R1203" s="1451">
        <f aca="true" t="shared" si="353" ref="R1203:W1203">SUM(R1204:R1208)</f>
        <v>19000</v>
      </c>
      <c r="S1203" s="1447">
        <f t="shared" si="353"/>
        <v>0</v>
      </c>
      <c r="T1203" s="1447">
        <f t="shared" si="353"/>
        <v>0</v>
      </c>
      <c r="U1203" s="1447">
        <f t="shared" si="353"/>
        <v>0</v>
      </c>
      <c r="V1203" s="1447">
        <f t="shared" si="353"/>
        <v>50000</v>
      </c>
      <c r="W1203" s="1452">
        <f t="shared" si="353"/>
        <v>100000</v>
      </c>
      <c r="X1203" s="1454"/>
      <c r="Y1203" s="1444"/>
    </row>
    <row r="1204" spans="1:25" s="571" customFormat="1" ht="12.75">
      <c r="A1204" s="1656">
        <v>4300</v>
      </c>
      <c r="B1204" s="1657" t="s">
        <v>653</v>
      </c>
      <c r="C1204" s="1633"/>
      <c r="D1204" s="1457">
        <f>J1204+R1204</f>
        <v>20000</v>
      </c>
      <c r="E1204" s="1634"/>
      <c r="F1204" s="1459">
        <f>P1204+W1204</f>
        <v>0</v>
      </c>
      <c r="G1204" s="1499"/>
      <c r="H1204" s="1499">
        <f t="shared" si="343"/>
        <v>0</v>
      </c>
      <c r="I1204" s="1450"/>
      <c r="J1204" s="1642">
        <v>20000</v>
      </c>
      <c r="K1204" s="1633"/>
      <c r="L1204" s="1633"/>
      <c r="M1204" s="1633"/>
      <c r="N1204" s="1633"/>
      <c r="O1204" s="1633"/>
      <c r="P1204" s="1643">
        <f>SUM(K1204:N1204)</f>
        <v>0</v>
      </c>
      <c r="Q1204" s="1453">
        <f t="shared" si="352"/>
        <v>0</v>
      </c>
      <c r="R1204" s="1642"/>
      <c r="S1204" s="1633"/>
      <c r="T1204" s="1633"/>
      <c r="U1204" s="1633"/>
      <c r="V1204" s="1633"/>
      <c r="W1204" s="1643"/>
      <c r="X1204" s="1496"/>
      <c r="Y1204" s="1444"/>
    </row>
    <row r="1205" spans="1:25" s="571" customFormat="1" ht="24">
      <c r="A1205" s="1656">
        <v>4270</v>
      </c>
      <c r="B1205" s="1657" t="s">
        <v>1070</v>
      </c>
      <c r="C1205" s="1633"/>
      <c r="D1205" s="1457"/>
      <c r="E1205" s="1634"/>
      <c r="F1205" s="1459">
        <f>P1205+W1205</f>
        <v>150000</v>
      </c>
      <c r="G1205" s="1499"/>
      <c r="H1205" s="1499"/>
      <c r="I1205" s="1450"/>
      <c r="J1205" s="1642"/>
      <c r="K1205" s="1633"/>
      <c r="L1205" s="1633"/>
      <c r="M1205" s="1633"/>
      <c r="N1205" s="1633">
        <v>100000</v>
      </c>
      <c r="O1205" s="1633"/>
      <c r="P1205" s="1643">
        <f>SUM(K1205:N1205)</f>
        <v>100000</v>
      </c>
      <c r="Q1205" s="1453"/>
      <c r="R1205" s="1642"/>
      <c r="S1205" s="1633"/>
      <c r="T1205" s="1633"/>
      <c r="U1205" s="1633"/>
      <c r="V1205" s="1633">
        <v>50000</v>
      </c>
      <c r="W1205" s="1643">
        <f>SUM(S1205:V1205)</f>
        <v>50000</v>
      </c>
      <c r="X1205" s="1496"/>
      <c r="Y1205" s="1444"/>
    </row>
    <row r="1206" spans="1:25" s="571" customFormat="1" ht="12.75">
      <c r="A1206" s="1656">
        <v>4430</v>
      </c>
      <c r="B1206" s="1657" t="s">
        <v>582</v>
      </c>
      <c r="C1206" s="1633"/>
      <c r="D1206" s="1457">
        <f>J1206+R1206</f>
        <v>69237</v>
      </c>
      <c r="E1206" s="1634">
        <f>80000+195000</f>
        <v>275000</v>
      </c>
      <c r="F1206" s="1459">
        <f>P1206+W1206</f>
        <v>0</v>
      </c>
      <c r="G1206" s="1499"/>
      <c r="H1206" s="1499">
        <f t="shared" si="343"/>
        <v>0</v>
      </c>
      <c r="I1206" s="1450"/>
      <c r="J1206" s="1642">
        <v>50470</v>
      </c>
      <c r="K1206" s="1633"/>
      <c r="L1206" s="1633"/>
      <c r="M1206" s="1633"/>
      <c r="N1206" s="1633"/>
      <c r="O1206" s="1633"/>
      <c r="P1206" s="1643">
        <f>SUM(K1206:N1206)</f>
        <v>0</v>
      </c>
      <c r="Q1206" s="1495"/>
      <c r="R1206" s="1642">
        <v>18767</v>
      </c>
      <c r="S1206" s="1633"/>
      <c r="T1206" s="1633"/>
      <c r="U1206" s="1633"/>
      <c r="V1206" s="1633"/>
      <c r="W1206" s="1643"/>
      <c r="X1206" s="1496"/>
      <c r="Y1206" s="1444"/>
    </row>
    <row r="1207" spans="1:25" s="571" customFormat="1" ht="12.75">
      <c r="A1207" s="1656">
        <v>4580</v>
      </c>
      <c r="B1207" s="1657" t="s">
        <v>727</v>
      </c>
      <c r="C1207" s="1633"/>
      <c r="D1207" s="1457">
        <f>J1207+R1207</f>
        <v>763</v>
      </c>
      <c r="E1207" s="1634">
        <f>25000+60000</f>
        <v>85000</v>
      </c>
      <c r="F1207" s="1459">
        <f>P1207+W1207</f>
        <v>0</v>
      </c>
      <c r="G1207" s="1499"/>
      <c r="H1207" s="1499">
        <f t="shared" si="343"/>
        <v>0</v>
      </c>
      <c r="I1207" s="1450"/>
      <c r="J1207" s="1642">
        <v>530</v>
      </c>
      <c r="K1207" s="1633"/>
      <c r="L1207" s="1633"/>
      <c r="M1207" s="1633"/>
      <c r="N1207" s="1633"/>
      <c r="O1207" s="1633"/>
      <c r="P1207" s="1643">
        <f>SUM(K1207:N1207)</f>
        <v>0</v>
      </c>
      <c r="Q1207" s="1495"/>
      <c r="R1207" s="1642">
        <v>233</v>
      </c>
      <c r="S1207" s="1633"/>
      <c r="T1207" s="1633"/>
      <c r="U1207" s="1633"/>
      <c r="V1207" s="1633"/>
      <c r="W1207" s="1643"/>
      <c r="X1207" s="1496"/>
      <c r="Y1207" s="1444"/>
    </row>
    <row r="1208" spans="1:25" ht="24">
      <c r="A1208" s="1680">
        <v>6050</v>
      </c>
      <c r="B1208" s="1513" t="s">
        <v>658</v>
      </c>
      <c r="C1208" s="1457">
        <f>SUM(C1209:C1214)</f>
        <v>1150000</v>
      </c>
      <c r="D1208" s="1457">
        <f>J1208+R1208</f>
        <v>1140000</v>
      </c>
      <c r="E1208" s="1458">
        <f>SUM(E1209:E1214)</f>
        <v>6700000</v>
      </c>
      <c r="F1208" s="1459">
        <f>P1208+W1208</f>
        <v>4850000</v>
      </c>
      <c r="G1208" s="1499">
        <f t="shared" si="342"/>
        <v>421.7391304347826</v>
      </c>
      <c r="H1208" s="1499">
        <f t="shared" si="343"/>
        <v>425.43859649122805</v>
      </c>
      <c r="I1208" s="1450"/>
      <c r="J1208" s="1461">
        <f>SUM(J1209:J1214)</f>
        <v>1140000</v>
      </c>
      <c r="K1208" s="1457">
        <f>SUM(K1209:K1214)</f>
        <v>0</v>
      </c>
      <c r="L1208" s="1457">
        <f>SUM(L1209:L1214)</f>
        <v>4750000</v>
      </c>
      <c r="M1208" s="1457">
        <f>SUM(M1209:M1214)</f>
        <v>0</v>
      </c>
      <c r="N1208" s="1457">
        <f>SUM(N1209:N1214)</f>
        <v>0</v>
      </c>
      <c r="O1208" s="1633"/>
      <c r="P1208" s="1643">
        <f>SUM(P1209:P1215)</f>
        <v>4800000</v>
      </c>
      <c r="Q1208" s="1495">
        <f t="shared" si="352"/>
        <v>421.05263157894734</v>
      </c>
      <c r="R1208" s="1461"/>
      <c r="S1208" s="1457"/>
      <c r="T1208" s="1457"/>
      <c r="U1208" s="1457"/>
      <c r="V1208" s="1457"/>
      <c r="W1208" s="1643">
        <f>SUM(W1209:W1215)</f>
        <v>50000</v>
      </c>
      <c r="X1208" s="1496"/>
      <c r="Y1208" s="1444"/>
    </row>
    <row r="1209" spans="1:25" s="618" customFormat="1" ht="12.75">
      <c r="A1209" s="1681"/>
      <c r="B1209" s="1542" t="s">
        <v>1071</v>
      </c>
      <c r="C1209" s="1523">
        <v>50000</v>
      </c>
      <c r="D1209" s="1523">
        <f aca="true" t="shared" si="354" ref="D1209:D1214">J1209+R1209</f>
        <v>50000</v>
      </c>
      <c r="E1209" s="1543">
        <v>50000</v>
      </c>
      <c r="F1209" s="1544">
        <f aca="true" t="shared" si="355" ref="F1209:F1215">P1209+W1209</f>
        <v>50000</v>
      </c>
      <c r="G1209" s="1538">
        <f t="shared" si="342"/>
        <v>100</v>
      </c>
      <c r="H1209" s="1538">
        <f t="shared" si="343"/>
        <v>100</v>
      </c>
      <c r="I1209" s="1530"/>
      <c r="J1209" s="1526">
        <v>50000</v>
      </c>
      <c r="K1209" s="1523"/>
      <c r="L1209" s="1523">
        <v>50000</v>
      </c>
      <c r="M1209" s="1523"/>
      <c r="N1209" s="1523"/>
      <c r="O1209" s="1523"/>
      <c r="P1209" s="1527">
        <f aca="true" t="shared" si="356" ref="P1209:P1214">SUM(K1209:N1209)</f>
        <v>50000</v>
      </c>
      <c r="Q1209" s="1723">
        <f t="shared" si="352"/>
        <v>100</v>
      </c>
      <c r="R1209" s="1526"/>
      <c r="S1209" s="1523"/>
      <c r="T1209" s="1523"/>
      <c r="U1209" s="1523"/>
      <c r="V1209" s="1523"/>
      <c r="W1209" s="1527"/>
      <c r="X1209" s="1724"/>
      <c r="Y1209" s="1305"/>
    </row>
    <row r="1210" spans="1:25" s="618" customFormat="1" ht="36">
      <c r="A1210" s="1681"/>
      <c r="B1210" s="1542" t="s">
        <v>1072</v>
      </c>
      <c r="C1210" s="1523">
        <v>1000000</v>
      </c>
      <c r="D1210" s="1523">
        <f t="shared" si="354"/>
        <v>660000</v>
      </c>
      <c r="E1210" s="1543">
        <v>3500000</v>
      </c>
      <c r="F1210" s="1544">
        <f t="shared" si="355"/>
        <v>3000000</v>
      </c>
      <c r="G1210" s="1538">
        <f t="shared" si="342"/>
        <v>300</v>
      </c>
      <c r="H1210" s="1538">
        <f t="shared" si="343"/>
        <v>454.54545454545456</v>
      </c>
      <c r="I1210" s="1530"/>
      <c r="J1210" s="1526">
        <v>660000</v>
      </c>
      <c r="K1210" s="1523"/>
      <c r="L1210" s="1523">
        <f>3500000-500000</f>
        <v>3000000</v>
      </c>
      <c r="M1210" s="1523"/>
      <c r="N1210" s="1523"/>
      <c r="O1210" s="1523"/>
      <c r="P1210" s="1527">
        <f t="shared" si="356"/>
        <v>3000000</v>
      </c>
      <c r="Q1210" s="1723">
        <f t="shared" si="352"/>
        <v>454.54545454545456</v>
      </c>
      <c r="R1210" s="1526"/>
      <c r="S1210" s="1523"/>
      <c r="T1210" s="1523"/>
      <c r="U1210" s="1523"/>
      <c r="V1210" s="1523"/>
      <c r="W1210" s="1527"/>
      <c r="X1210" s="1724"/>
      <c r="Y1210" s="1305"/>
    </row>
    <row r="1211" spans="1:25" s="618" customFormat="1" ht="12.75" hidden="1">
      <c r="A1211" s="1681"/>
      <c r="B1211" s="1542" t="s">
        <v>1073</v>
      </c>
      <c r="C1211" s="1523"/>
      <c r="D1211" s="1523">
        <f t="shared" si="354"/>
        <v>0</v>
      </c>
      <c r="E1211" s="1543">
        <v>100000</v>
      </c>
      <c r="F1211" s="1544">
        <f t="shared" si="355"/>
        <v>0</v>
      </c>
      <c r="G1211" s="1538"/>
      <c r="H1211" s="1538"/>
      <c r="I1211" s="1530"/>
      <c r="J1211" s="1526">
        <v>0</v>
      </c>
      <c r="K1211" s="1523"/>
      <c r="L1211" s="1523"/>
      <c r="M1211" s="1523"/>
      <c r="N1211" s="1523"/>
      <c r="O1211" s="1523"/>
      <c r="P1211" s="1527">
        <f t="shared" si="356"/>
        <v>0</v>
      </c>
      <c r="Q1211" s="1723"/>
      <c r="R1211" s="1526"/>
      <c r="S1211" s="1523"/>
      <c r="T1211" s="1523"/>
      <c r="U1211" s="1523"/>
      <c r="V1211" s="1523"/>
      <c r="W1211" s="1527"/>
      <c r="X1211" s="1724"/>
      <c r="Y1211" s="1305"/>
    </row>
    <row r="1212" spans="1:25" s="618" customFormat="1" ht="24">
      <c r="A1212" s="1681"/>
      <c r="B1212" s="1542" t="s">
        <v>1074</v>
      </c>
      <c r="C1212" s="1523">
        <v>50000</v>
      </c>
      <c r="D1212" s="1523">
        <f t="shared" si="354"/>
        <v>180000</v>
      </c>
      <c r="E1212" s="1543">
        <v>800000</v>
      </c>
      <c r="F1212" s="1544">
        <f t="shared" si="355"/>
        <v>200000</v>
      </c>
      <c r="G1212" s="1538">
        <f t="shared" si="342"/>
        <v>400</v>
      </c>
      <c r="H1212" s="1538">
        <f t="shared" si="343"/>
        <v>111.11111111111111</v>
      </c>
      <c r="I1212" s="1530"/>
      <c r="J1212" s="1526">
        <v>180000</v>
      </c>
      <c r="K1212" s="1523"/>
      <c r="L1212" s="1523">
        <f>100000+100000</f>
        <v>200000</v>
      </c>
      <c r="M1212" s="1523"/>
      <c r="N1212" s="1523"/>
      <c r="O1212" s="1523"/>
      <c r="P1212" s="1527">
        <f t="shared" si="356"/>
        <v>200000</v>
      </c>
      <c r="Q1212" s="1723"/>
      <c r="R1212" s="1526"/>
      <c r="S1212" s="1523"/>
      <c r="T1212" s="1523"/>
      <c r="U1212" s="1523"/>
      <c r="V1212" s="1523"/>
      <c r="W1212" s="1527"/>
      <c r="X1212" s="1724"/>
      <c r="Y1212" s="1305"/>
    </row>
    <row r="1213" spans="1:25" s="618" customFormat="1" ht="12.75">
      <c r="A1213" s="1681"/>
      <c r="B1213" s="1542" t="s">
        <v>1075</v>
      </c>
      <c r="C1213" s="1523">
        <v>50000</v>
      </c>
      <c r="D1213" s="1523">
        <f t="shared" si="354"/>
        <v>50000</v>
      </c>
      <c r="E1213" s="1543">
        <v>600000</v>
      </c>
      <c r="F1213" s="1544">
        <f t="shared" si="355"/>
        <v>500000</v>
      </c>
      <c r="G1213" s="1538">
        <f t="shared" si="342"/>
        <v>1000</v>
      </c>
      <c r="H1213" s="1538">
        <f t="shared" si="343"/>
        <v>1000</v>
      </c>
      <c r="I1213" s="1530"/>
      <c r="J1213" s="1526">
        <v>50000</v>
      </c>
      <c r="K1213" s="1523"/>
      <c r="L1213" s="1523">
        <f>600000-100000</f>
        <v>500000</v>
      </c>
      <c r="M1213" s="1523"/>
      <c r="N1213" s="1523"/>
      <c r="O1213" s="1523"/>
      <c r="P1213" s="1527">
        <f t="shared" si="356"/>
        <v>500000</v>
      </c>
      <c r="Q1213" s="1723"/>
      <c r="R1213" s="1526"/>
      <c r="S1213" s="1523"/>
      <c r="T1213" s="1523"/>
      <c r="U1213" s="1523"/>
      <c r="V1213" s="1523"/>
      <c r="W1213" s="1527"/>
      <c r="X1213" s="1724"/>
      <c r="Y1213" s="1305"/>
    </row>
    <row r="1214" spans="1:25" s="618" customFormat="1" ht="24">
      <c r="A1214" s="1521"/>
      <c r="B1214" s="1542" t="s">
        <v>1076</v>
      </c>
      <c r="C1214" s="1523"/>
      <c r="D1214" s="1523">
        <f t="shared" si="354"/>
        <v>200000</v>
      </c>
      <c r="E1214" s="1543">
        <v>1650000</v>
      </c>
      <c r="F1214" s="1544">
        <f t="shared" si="355"/>
        <v>1000000</v>
      </c>
      <c r="G1214" s="1538"/>
      <c r="H1214" s="1538">
        <f t="shared" si="343"/>
        <v>500</v>
      </c>
      <c r="I1214" s="1530"/>
      <c r="J1214" s="1526">
        <v>200000</v>
      </c>
      <c r="K1214" s="1523"/>
      <c r="L1214" s="1523">
        <f>1600000-600000</f>
        <v>1000000</v>
      </c>
      <c r="M1214" s="1523"/>
      <c r="N1214" s="1523"/>
      <c r="O1214" s="1523"/>
      <c r="P1214" s="1527">
        <f t="shared" si="356"/>
        <v>1000000</v>
      </c>
      <c r="Q1214" s="1723"/>
      <c r="R1214" s="1526"/>
      <c r="S1214" s="1523"/>
      <c r="T1214" s="1523"/>
      <c r="U1214" s="1523"/>
      <c r="V1214" s="1523"/>
      <c r="W1214" s="1527"/>
      <c r="X1214" s="1724"/>
      <c r="Y1214" s="1305"/>
    </row>
    <row r="1215" spans="1:25" s="618" customFormat="1" ht="24">
      <c r="A1215" s="1521"/>
      <c r="B1215" s="1542" t="s">
        <v>1077</v>
      </c>
      <c r="C1215" s="1523"/>
      <c r="D1215" s="1523"/>
      <c r="E1215" s="1543"/>
      <c r="F1215" s="1544">
        <f t="shared" si="355"/>
        <v>100000</v>
      </c>
      <c r="G1215" s="1538"/>
      <c r="H1215" s="1538"/>
      <c r="I1215" s="1530"/>
      <c r="J1215" s="1526"/>
      <c r="K1215" s="1523"/>
      <c r="L1215" s="1523"/>
      <c r="M1215" s="1523"/>
      <c r="N1215" s="1523"/>
      <c r="O1215" s="1523"/>
      <c r="P1215" s="1527">
        <v>50000</v>
      </c>
      <c r="Q1215" s="1723"/>
      <c r="R1215" s="1526"/>
      <c r="S1215" s="1523"/>
      <c r="T1215" s="1523"/>
      <c r="U1215" s="1523"/>
      <c r="V1215" s="1523"/>
      <c r="W1215" s="1527">
        <v>50000</v>
      </c>
      <c r="X1215" s="1724"/>
      <c r="Y1215" s="1305"/>
    </row>
    <row r="1216" spans="1:25" s="581" customFormat="1" ht="12.75">
      <c r="A1216" s="1516">
        <v>90003</v>
      </c>
      <c r="B1216" s="1550" t="s">
        <v>1078</v>
      </c>
      <c r="C1216" s="1467">
        <f>C1217</f>
        <v>2030000</v>
      </c>
      <c r="D1216" s="1467">
        <f aca="true" t="shared" si="357" ref="D1216:W1216">D1217</f>
        <v>2376000</v>
      </c>
      <c r="E1216" s="1468">
        <f t="shared" si="357"/>
        <v>2860000</v>
      </c>
      <c r="F1216" s="1469">
        <f t="shared" si="357"/>
        <v>2450000</v>
      </c>
      <c r="G1216" s="1519">
        <f t="shared" si="342"/>
        <v>120.6896551724138</v>
      </c>
      <c r="H1216" s="1519">
        <f t="shared" si="343"/>
        <v>103.11447811447812</v>
      </c>
      <c r="I1216" s="1450"/>
      <c r="J1216" s="1470">
        <f t="shared" si="357"/>
        <v>1045000</v>
      </c>
      <c r="K1216" s="1467">
        <f t="shared" si="357"/>
        <v>1078000</v>
      </c>
      <c r="L1216" s="1467">
        <f t="shared" si="357"/>
        <v>0</v>
      </c>
      <c r="M1216" s="1467">
        <f t="shared" si="357"/>
        <v>0</v>
      </c>
      <c r="N1216" s="1467">
        <f t="shared" si="357"/>
        <v>0</v>
      </c>
      <c r="O1216" s="1467"/>
      <c r="P1216" s="1471">
        <f t="shared" si="357"/>
        <v>1078000</v>
      </c>
      <c r="Q1216" s="1453">
        <f>P1216/J1216*100</f>
        <v>103.15789473684211</v>
      </c>
      <c r="R1216" s="1470">
        <f t="shared" si="357"/>
        <v>1331000</v>
      </c>
      <c r="S1216" s="1467">
        <f t="shared" si="357"/>
        <v>1372000</v>
      </c>
      <c r="T1216" s="1467">
        <f t="shared" si="357"/>
        <v>0</v>
      </c>
      <c r="U1216" s="1467">
        <f t="shared" si="357"/>
        <v>0</v>
      </c>
      <c r="V1216" s="1467">
        <f t="shared" si="357"/>
        <v>0</v>
      </c>
      <c r="W1216" s="1471">
        <f t="shared" si="357"/>
        <v>1372000</v>
      </c>
      <c r="X1216" s="1454">
        <f aca="true" t="shared" si="358" ref="X1216:X1226">W1216/R1216*100</f>
        <v>103.08039068369648</v>
      </c>
      <c r="Y1216" s="1444"/>
    </row>
    <row r="1217" spans="1:25" ht="12.75">
      <c r="A1217" s="1497">
        <v>4300</v>
      </c>
      <c r="B1217" s="1513" t="s">
        <v>1079</v>
      </c>
      <c r="C1217" s="1457">
        <f>SUM(C1218:C1223)</f>
        <v>2030000</v>
      </c>
      <c r="D1217" s="1457">
        <f aca="true" t="shared" si="359" ref="D1217:D1223">J1217+R1217</f>
        <v>2376000</v>
      </c>
      <c r="E1217" s="1458">
        <f>SUM(E1218:E1223)</f>
        <v>2860000</v>
      </c>
      <c r="F1217" s="1459">
        <f>P1217+W1217</f>
        <v>2450000</v>
      </c>
      <c r="G1217" s="1499">
        <f t="shared" si="342"/>
        <v>120.6896551724138</v>
      </c>
      <c r="H1217" s="1499">
        <f t="shared" si="343"/>
        <v>103.11447811447812</v>
      </c>
      <c r="I1217" s="1450"/>
      <c r="J1217" s="1461">
        <v>1045000</v>
      </c>
      <c r="K1217" s="1457">
        <f>SUM(K1218:K1223)</f>
        <v>1078000</v>
      </c>
      <c r="L1217" s="1457">
        <f>SUM(L1218:L1223)</f>
        <v>0</v>
      </c>
      <c r="M1217" s="1457">
        <f>SUM(M1218:M1223)</f>
        <v>0</v>
      </c>
      <c r="N1217" s="1457">
        <f>SUM(N1218:N1223)</f>
        <v>0</v>
      </c>
      <c r="O1217" s="1457"/>
      <c r="P1217" s="1462">
        <f>SUM(K1217:N1217)</f>
        <v>1078000</v>
      </c>
      <c r="Q1217" s="1495">
        <f>P1217/J1217*100</f>
        <v>103.15789473684211</v>
      </c>
      <c r="R1217" s="1461">
        <v>1331000</v>
      </c>
      <c r="S1217" s="1457">
        <f>SUM(S1218:S1223)</f>
        <v>1372000</v>
      </c>
      <c r="T1217" s="1457"/>
      <c r="U1217" s="1457"/>
      <c r="V1217" s="1457"/>
      <c r="W1217" s="1462">
        <f>SUM(S1217:V1217)</f>
        <v>1372000</v>
      </c>
      <c r="X1217" s="1496">
        <f t="shared" si="358"/>
        <v>103.08039068369648</v>
      </c>
      <c r="Y1217" s="1444"/>
    </row>
    <row r="1218" spans="1:25" s="618" customFormat="1" ht="12.75" hidden="1">
      <c r="A1218" s="1521"/>
      <c r="B1218" s="1522" t="s">
        <v>1080</v>
      </c>
      <c r="C1218" s="1523">
        <v>1150000</v>
      </c>
      <c r="D1218" s="1457">
        <f t="shared" si="359"/>
        <v>0</v>
      </c>
      <c r="E1218" s="1543">
        <f>900000+450000</f>
        <v>1350000</v>
      </c>
      <c r="F1218" s="1544">
        <f>P1218+W1218</f>
        <v>2450000</v>
      </c>
      <c r="G1218" s="1538">
        <f t="shared" si="342"/>
        <v>213.0434782608696</v>
      </c>
      <c r="H1218" s="1538"/>
      <c r="I1218" s="1530"/>
      <c r="J1218" s="1526"/>
      <c r="K1218" s="1523">
        <v>1078000</v>
      </c>
      <c r="L1218" s="1523"/>
      <c r="M1218" s="1523"/>
      <c r="N1218" s="1523"/>
      <c r="O1218" s="1523"/>
      <c r="P1218" s="1462">
        <f>SUM(K1218:N1218)</f>
        <v>1078000</v>
      </c>
      <c r="Q1218" s="1495"/>
      <c r="R1218" s="1526"/>
      <c r="S1218" s="1523">
        <v>1372000</v>
      </c>
      <c r="T1218" s="1523"/>
      <c r="U1218" s="1523"/>
      <c r="V1218" s="1523"/>
      <c r="W1218" s="1527">
        <f>SUM(S1218:V1218)</f>
        <v>1372000</v>
      </c>
      <c r="X1218" s="1496" t="e">
        <f t="shared" si="358"/>
        <v>#DIV/0!</v>
      </c>
      <c r="Y1218" s="1444"/>
    </row>
    <row r="1219" spans="1:25" s="618" customFormat="1" ht="12.75" hidden="1">
      <c r="A1219" s="1521"/>
      <c r="B1219" s="1522" t="s">
        <v>1081</v>
      </c>
      <c r="C1219" s="1523">
        <v>680000</v>
      </c>
      <c r="D1219" s="1457">
        <f t="shared" si="359"/>
        <v>0</v>
      </c>
      <c r="E1219" s="1543">
        <f>600000+320000</f>
        <v>920000</v>
      </c>
      <c r="F1219" s="1544">
        <f>P1219+W1219</f>
        <v>0</v>
      </c>
      <c r="G1219" s="1538">
        <f t="shared" si="342"/>
        <v>0</v>
      </c>
      <c r="H1219" s="1538"/>
      <c r="I1219" s="1530"/>
      <c r="J1219" s="1526"/>
      <c r="K1219" s="1523"/>
      <c r="L1219" s="1523"/>
      <c r="M1219" s="1523"/>
      <c r="N1219" s="1523"/>
      <c r="O1219" s="1523"/>
      <c r="P1219" s="1527">
        <f>SUM(K1219:N1219)</f>
        <v>0</v>
      </c>
      <c r="Q1219" s="1495"/>
      <c r="R1219" s="1526"/>
      <c r="S1219" s="1523"/>
      <c r="T1219" s="1523"/>
      <c r="U1219" s="1523"/>
      <c r="V1219" s="1523"/>
      <c r="W1219" s="1527">
        <f>SUM(S1219:V1219)</f>
        <v>0</v>
      </c>
      <c r="X1219" s="1496" t="e">
        <f t="shared" si="358"/>
        <v>#DIV/0!</v>
      </c>
      <c r="Y1219" s="1444"/>
    </row>
    <row r="1220" spans="1:25" s="618" customFormat="1" ht="12.75" hidden="1">
      <c r="A1220" s="1521"/>
      <c r="B1220" s="1522" t="s">
        <v>1082</v>
      </c>
      <c r="C1220" s="1523">
        <v>20000</v>
      </c>
      <c r="D1220" s="1457">
        <f t="shared" si="359"/>
        <v>0</v>
      </c>
      <c r="E1220" s="1543">
        <v>90000</v>
      </c>
      <c r="F1220" s="1544">
        <f>P1220+W1220</f>
        <v>0</v>
      </c>
      <c r="G1220" s="1538">
        <f t="shared" si="342"/>
        <v>0</v>
      </c>
      <c r="H1220" s="1538"/>
      <c r="I1220" s="1530"/>
      <c r="J1220" s="1526"/>
      <c r="K1220" s="1523"/>
      <c r="L1220" s="1523"/>
      <c r="M1220" s="1523"/>
      <c r="N1220" s="1523"/>
      <c r="O1220" s="1523"/>
      <c r="P1220" s="1527">
        <f>SUM(K1220:N1220)</f>
        <v>0</v>
      </c>
      <c r="Q1220" s="1495"/>
      <c r="R1220" s="1526"/>
      <c r="S1220" s="1523"/>
      <c r="T1220" s="1523"/>
      <c r="U1220" s="1523"/>
      <c r="V1220" s="1523"/>
      <c r="W1220" s="1527">
        <f>SUM(S1220:V1220)</f>
        <v>0</v>
      </c>
      <c r="X1220" s="1496" t="e">
        <f t="shared" si="358"/>
        <v>#DIV/0!</v>
      </c>
      <c r="Y1220" s="1444"/>
    </row>
    <row r="1221" spans="1:25" s="618" customFormat="1" ht="12.75" hidden="1">
      <c r="A1221" s="1521"/>
      <c r="B1221" s="1522" t="s">
        <v>1083</v>
      </c>
      <c r="C1221" s="1523"/>
      <c r="D1221" s="1457">
        <f t="shared" si="359"/>
        <v>0</v>
      </c>
      <c r="E1221" s="1543">
        <v>120000</v>
      </c>
      <c r="F1221" s="1544"/>
      <c r="G1221" s="1538"/>
      <c r="H1221" s="1538"/>
      <c r="I1221" s="1530"/>
      <c r="J1221" s="1526"/>
      <c r="K1221" s="1523"/>
      <c r="L1221" s="1523"/>
      <c r="M1221" s="1523"/>
      <c r="N1221" s="1523"/>
      <c r="O1221" s="1523"/>
      <c r="P1221" s="1527"/>
      <c r="Q1221" s="1495"/>
      <c r="R1221" s="1526"/>
      <c r="S1221" s="1523"/>
      <c r="T1221" s="1523"/>
      <c r="U1221" s="1523"/>
      <c r="V1221" s="1523"/>
      <c r="W1221" s="1527"/>
      <c r="X1221" s="1496"/>
      <c r="Y1221" s="1444"/>
    </row>
    <row r="1222" spans="1:25" s="618" customFormat="1" ht="36" hidden="1">
      <c r="A1222" s="1521"/>
      <c r="B1222" s="1522" t="s">
        <v>1084</v>
      </c>
      <c r="C1222" s="1523"/>
      <c r="D1222" s="1457">
        <f t="shared" si="359"/>
        <v>0</v>
      </c>
      <c r="E1222" s="1543">
        <v>200000</v>
      </c>
      <c r="F1222" s="1544"/>
      <c r="G1222" s="1538"/>
      <c r="H1222" s="1538"/>
      <c r="I1222" s="1530"/>
      <c r="J1222" s="1526"/>
      <c r="K1222" s="1523"/>
      <c r="L1222" s="1523"/>
      <c r="M1222" s="1523"/>
      <c r="N1222" s="1523"/>
      <c r="O1222" s="1523"/>
      <c r="P1222" s="1527"/>
      <c r="Q1222" s="1495"/>
      <c r="R1222" s="1526"/>
      <c r="S1222" s="1523"/>
      <c r="T1222" s="1523"/>
      <c r="U1222" s="1523"/>
      <c r="V1222" s="1523"/>
      <c r="W1222" s="1527"/>
      <c r="X1222" s="1496"/>
      <c r="Y1222" s="1444"/>
    </row>
    <row r="1223" spans="1:25" s="618" customFormat="1" ht="12.75" hidden="1">
      <c r="A1223" s="1521"/>
      <c r="B1223" s="1522" t="s">
        <v>1085</v>
      </c>
      <c r="C1223" s="1523">
        <v>180000</v>
      </c>
      <c r="D1223" s="1457">
        <f t="shared" si="359"/>
        <v>0</v>
      </c>
      <c r="E1223" s="1543">
        <f>120000+60000</f>
        <v>180000</v>
      </c>
      <c r="F1223" s="1544">
        <f>P1223+W1223</f>
        <v>0</v>
      </c>
      <c r="G1223" s="1538">
        <f t="shared" si="342"/>
        <v>0</v>
      </c>
      <c r="H1223" s="1538"/>
      <c r="I1223" s="1530"/>
      <c r="J1223" s="1526"/>
      <c r="K1223" s="1523"/>
      <c r="L1223" s="1523"/>
      <c r="M1223" s="1523"/>
      <c r="N1223" s="1523"/>
      <c r="O1223" s="1523"/>
      <c r="P1223" s="1527">
        <f>SUM(K1223:N1223)</f>
        <v>0</v>
      </c>
      <c r="Q1223" s="1495"/>
      <c r="R1223" s="1526"/>
      <c r="S1223" s="1523"/>
      <c r="T1223" s="1523"/>
      <c r="U1223" s="1523"/>
      <c r="V1223" s="1523"/>
      <c r="W1223" s="1527">
        <f>SUM(S1223:V1223)</f>
        <v>0</v>
      </c>
      <c r="X1223" s="1496" t="e">
        <f t="shared" si="358"/>
        <v>#DIV/0!</v>
      </c>
      <c r="Y1223" s="1444"/>
    </row>
    <row r="1224" spans="1:25" s="581" customFormat="1" ht="24">
      <c r="A1224" s="1516">
        <v>90004</v>
      </c>
      <c r="B1224" s="1550" t="s">
        <v>583</v>
      </c>
      <c r="C1224" s="1467">
        <f>SUM(C1225:C1226)</f>
        <v>1606234</v>
      </c>
      <c r="D1224" s="1467">
        <f>SUM(D1225:D1226)</f>
        <v>1798584</v>
      </c>
      <c r="E1224" s="1468">
        <f>SUM(E1225:E1226)</f>
        <v>7044110</v>
      </c>
      <c r="F1224" s="1469">
        <f>SUM(F1225:F1226)</f>
        <v>1650000</v>
      </c>
      <c r="G1224" s="1531">
        <f t="shared" si="342"/>
        <v>102.72475865907458</v>
      </c>
      <c r="H1224" s="1532">
        <f t="shared" si="343"/>
        <v>91.73883454984588</v>
      </c>
      <c r="I1224" s="1450"/>
      <c r="J1224" s="1470">
        <f>SUM(J1225:J1226)</f>
        <v>1148584</v>
      </c>
      <c r="K1224" s="1467">
        <f>SUM(K1225:K1226)</f>
        <v>1052700</v>
      </c>
      <c r="L1224" s="1467">
        <f aca="true" t="shared" si="360" ref="L1224:W1224">L1226</f>
        <v>0</v>
      </c>
      <c r="M1224" s="1467">
        <f t="shared" si="360"/>
        <v>0</v>
      </c>
      <c r="N1224" s="1467">
        <f t="shared" si="360"/>
        <v>0</v>
      </c>
      <c r="O1224" s="1467"/>
      <c r="P1224" s="1471">
        <f t="shared" si="360"/>
        <v>1052700</v>
      </c>
      <c r="Q1224" s="1453">
        <f>P1224/J1224*100</f>
        <v>91.65198191860586</v>
      </c>
      <c r="R1224" s="1470">
        <f t="shared" si="360"/>
        <v>650000</v>
      </c>
      <c r="S1224" s="1467">
        <f t="shared" si="360"/>
        <v>597300</v>
      </c>
      <c r="T1224" s="1467">
        <f t="shared" si="360"/>
        <v>0</v>
      </c>
      <c r="U1224" s="1467">
        <f t="shared" si="360"/>
        <v>0</v>
      </c>
      <c r="V1224" s="1467">
        <f t="shared" si="360"/>
        <v>0</v>
      </c>
      <c r="W1224" s="1471">
        <f t="shared" si="360"/>
        <v>597300</v>
      </c>
      <c r="X1224" s="1454">
        <f t="shared" si="358"/>
        <v>91.8923076923077</v>
      </c>
      <c r="Y1224" s="1444"/>
    </row>
    <row r="1225" spans="1:25" s="571" customFormat="1" ht="12.75">
      <c r="A1225" s="1497">
        <v>4170</v>
      </c>
      <c r="B1225" s="1513" t="s">
        <v>1057</v>
      </c>
      <c r="C1225" s="1457"/>
      <c r="D1225" s="1457">
        <f aca="true" t="shared" si="361" ref="D1225:D1234">J1225+R1225</f>
        <v>2400</v>
      </c>
      <c r="E1225" s="1458"/>
      <c r="F1225" s="1459"/>
      <c r="G1225" s="1499"/>
      <c r="H1225" s="1499">
        <f t="shared" si="343"/>
        <v>0</v>
      </c>
      <c r="I1225" s="1581"/>
      <c r="J1225" s="1461">
        <v>2400</v>
      </c>
      <c r="K1225" s="1457"/>
      <c r="L1225" s="1457"/>
      <c r="M1225" s="1457"/>
      <c r="N1225" s="1457"/>
      <c r="O1225" s="1457"/>
      <c r="P1225" s="1462"/>
      <c r="Q1225" s="1495"/>
      <c r="R1225" s="1461"/>
      <c r="S1225" s="1457"/>
      <c r="T1225" s="1457"/>
      <c r="U1225" s="1457"/>
      <c r="V1225" s="1457"/>
      <c r="W1225" s="1462"/>
      <c r="X1225" s="1496"/>
      <c r="Y1225" s="1300"/>
    </row>
    <row r="1226" spans="1:25" ht="12.75">
      <c r="A1226" s="1497">
        <v>4300</v>
      </c>
      <c r="B1226" s="1513" t="s">
        <v>564</v>
      </c>
      <c r="C1226" s="1457">
        <f>SUM(C1227:C1246)</f>
        <v>1606234</v>
      </c>
      <c r="D1226" s="1457">
        <f t="shared" si="361"/>
        <v>1796184</v>
      </c>
      <c r="E1226" s="1458">
        <f>SUM(E1227:E1246)</f>
        <v>7044110</v>
      </c>
      <c r="F1226" s="1459">
        <f>P1226+W1226</f>
        <v>1650000</v>
      </c>
      <c r="G1226" s="1499">
        <f t="shared" si="342"/>
        <v>102.72475865907458</v>
      </c>
      <c r="H1226" s="1499">
        <f t="shared" si="343"/>
        <v>91.86141286193397</v>
      </c>
      <c r="I1226" s="1450"/>
      <c r="J1226" s="1461">
        <v>1146184</v>
      </c>
      <c r="K1226" s="1457">
        <f>SUM(K1227:K1246)</f>
        <v>1052700</v>
      </c>
      <c r="L1226" s="1457"/>
      <c r="M1226" s="1457"/>
      <c r="N1226" s="1457"/>
      <c r="O1226" s="1457"/>
      <c r="P1226" s="1462">
        <f>SUM(K1226:N1226)</f>
        <v>1052700</v>
      </c>
      <c r="Q1226" s="1495">
        <f>P1226/J1226*100</f>
        <v>91.84389242913878</v>
      </c>
      <c r="R1226" s="1461">
        <v>650000</v>
      </c>
      <c r="S1226" s="1457">
        <f>SUM(S1227:S1246)</f>
        <v>597300</v>
      </c>
      <c r="T1226" s="1457"/>
      <c r="U1226" s="1457"/>
      <c r="V1226" s="1457"/>
      <c r="W1226" s="1462">
        <f aca="true" t="shared" si="362" ref="W1226:W1231">SUM(S1226:V1226)</f>
        <v>597300</v>
      </c>
      <c r="X1226" s="1496">
        <f t="shared" si="358"/>
        <v>91.8923076923077</v>
      </c>
      <c r="Y1226" s="1444"/>
    </row>
    <row r="1227" spans="1:25" s="618" customFormat="1" ht="24" hidden="1">
      <c r="A1227" s="1521"/>
      <c r="B1227" s="1522" t="s">
        <v>1086</v>
      </c>
      <c r="C1227" s="1523">
        <v>750000</v>
      </c>
      <c r="D1227" s="1457">
        <f t="shared" si="361"/>
        <v>0</v>
      </c>
      <c r="E1227" s="1543">
        <f>1299000+180000</f>
        <v>1479000</v>
      </c>
      <c r="F1227" s="1544">
        <f aca="true" t="shared" si="363" ref="F1227:F1234">P1227+W1227</f>
        <v>1650000</v>
      </c>
      <c r="G1227" s="1538">
        <f t="shared" si="342"/>
        <v>220.00000000000003</v>
      </c>
      <c r="H1227" s="1538"/>
      <c r="I1227" s="1530"/>
      <c r="J1227" s="1526"/>
      <c r="K1227" s="1523">
        <v>1052700</v>
      </c>
      <c r="L1227" s="1523"/>
      <c r="M1227" s="1523"/>
      <c r="N1227" s="1523"/>
      <c r="O1227" s="1523"/>
      <c r="P1227" s="1527">
        <f aca="true" t="shared" si="364" ref="P1227:P1234">SUM(K1227:N1227)</f>
        <v>1052700</v>
      </c>
      <c r="Q1227" s="1528"/>
      <c r="R1227" s="1526"/>
      <c r="S1227" s="1523">
        <v>597300</v>
      </c>
      <c r="T1227" s="1523"/>
      <c r="U1227" s="1523"/>
      <c r="V1227" s="1523"/>
      <c r="W1227" s="1527">
        <f t="shared" si="362"/>
        <v>597300</v>
      </c>
      <c r="X1227" s="1529"/>
      <c r="Y1227" s="1444"/>
    </row>
    <row r="1228" spans="1:25" s="618" customFormat="1" ht="12.75" hidden="1">
      <c r="A1228" s="1521"/>
      <c r="B1228" s="1522" t="s">
        <v>1087</v>
      </c>
      <c r="C1228" s="1523">
        <v>800000</v>
      </c>
      <c r="D1228" s="1457">
        <f t="shared" si="361"/>
        <v>0</v>
      </c>
      <c r="E1228" s="1543">
        <v>1048000</v>
      </c>
      <c r="F1228" s="1544">
        <f t="shared" si="363"/>
        <v>0</v>
      </c>
      <c r="G1228" s="1538">
        <f t="shared" si="342"/>
        <v>0</v>
      </c>
      <c r="H1228" s="1538"/>
      <c r="I1228" s="1530"/>
      <c r="J1228" s="1526"/>
      <c r="K1228" s="1523"/>
      <c r="L1228" s="1523"/>
      <c r="M1228" s="1523"/>
      <c r="N1228" s="1523"/>
      <c r="O1228" s="1523"/>
      <c r="P1228" s="1527">
        <f t="shared" si="364"/>
        <v>0</v>
      </c>
      <c r="Q1228" s="1528"/>
      <c r="R1228" s="1526"/>
      <c r="S1228" s="1523"/>
      <c r="T1228" s="1523"/>
      <c r="U1228" s="1523"/>
      <c r="V1228" s="1523"/>
      <c r="W1228" s="1527">
        <f t="shared" si="362"/>
        <v>0</v>
      </c>
      <c r="X1228" s="1529"/>
      <c r="Y1228" s="1444"/>
    </row>
    <row r="1229" spans="1:25" s="618" customFormat="1" ht="24" hidden="1">
      <c r="A1229" s="1521"/>
      <c r="B1229" s="1522" t="s">
        <v>1088</v>
      </c>
      <c r="C1229" s="1523">
        <v>50000</v>
      </c>
      <c r="D1229" s="1457">
        <f t="shared" si="361"/>
        <v>0</v>
      </c>
      <c r="E1229" s="1543">
        <v>100000</v>
      </c>
      <c r="F1229" s="1544">
        <f t="shared" si="363"/>
        <v>0</v>
      </c>
      <c r="G1229" s="1538">
        <f t="shared" si="342"/>
        <v>0</v>
      </c>
      <c r="H1229" s="1538"/>
      <c r="I1229" s="1530"/>
      <c r="J1229" s="1526"/>
      <c r="K1229" s="1523"/>
      <c r="L1229" s="1523"/>
      <c r="M1229" s="1523"/>
      <c r="N1229" s="1523"/>
      <c r="O1229" s="1523"/>
      <c r="P1229" s="1527">
        <f t="shared" si="364"/>
        <v>0</v>
      </c>
      <c r="Q1229" s="1528"/>
      <c r="R1229" s="1526"/>
      <c r="S1229" s="1523"/>
      <c r="T1229" s="1523"/>
      <c r="U1229" s="1523"/>
      <c r="V1229" s="1523"/>
      <c r="W1229" s="1527">
        <f t="shared" si="362"/>
        <v>0</v>
      </c>
      <c r="X1229" s="1529"/>
      <c r="Y1229" s="1444"/>
    </row>
    <row r="1230" spans="1:25" s="618" customFormat="1" ht="12.75" hidden="1">
      <c r="A1230" s="1521"/>
      <c r="B1230" s="1522" t="s">
        <v>1089</v>
      </c>
      <c r="C1230" s="1523"/>
      <c r="D1230" s="1457">
        <f t="shared" si="361"/>
        <v>0</v>
      </c>
      <c r="E1230" s="1543">
        <v>50760</v>
      </c>
      <c r="F1230" s="1544">
        <f t="shared" si="363"/>
        <v>0</v>
      </c>
      <c r="G1230" s="1538"/>
      <c r="H1230" s="1538"/>
      <c r="I1230" s="1530"/>
      <c r="J1230" s="1526"/>
      <c r="K1230" s="1523"/>
      <c r="L1230" s="1523"/>
      <c r="M1230" s="1523"/>
      <c r="N1230" s="1523"/>
      <c r="O1230" s="1523"/>
      <c r="P1230" s="1527">
        <f t="shared" si="364"/>
        <v>0</v>
      </c>
      <c r="Q1230" s="1528"/>
      <c r="R1230" s="1526"/>
      <c r="S1230" s="1523"/>
      <c r="T1230" s="1523"/>
      <c r="U1230" s="1523"/>
      <c r="V1230" s="1523"/>
      <c r="W1230" s="1527">
        <f t="shared" si="362"/>
        <v>0</v>
      </c>
      <c r="X1230" s="1529"/>
      <c r="Y1230" s="1444"/>
    </row>
    <row r="1231" spans="1:25" s="618" customFormat="1" ht="48" hidden="1">
      <c r="A1231" s="1521"/>
      <c r="B1231" s="1522" t="s">
        <v>1090</v>
      </c>
      <c r="C1231" s="1523"/>
      <c r="D1231" s="1457">
        <f t="shared" si="361"/>
        <v>0</v>
      </c>
      <c r="E1231" s="1543">
        <f>20000+21350+10000</f>
        <v>51350</v>
      </c>
      <c r="F1231" s="1544">
        <f t="shared" si="363"/>
        <v>0</v>
      </c>
      <c r="G1231" s="1538"/>
      <c r="H1231" s="1538"/>
      <c r="I1231" s="1530"/>
      <c r="J1231" s="1526"/>
      <c r="K1231" s="1523"/>
      <c r="L1231" s="1523"/>
      <c r="M1231" s="1523"/>
      <c r="N1231" s="1523"/>
      <c r="O1231" s="1523"/>
      <c r="P1231" s="1527">
        <f t="shared" si="364"/>
        <v>0</v>
      </c>
      <c r="Q1231" s="1528"/>
      <c r="R1231" s="1526"/>
      <c r="S1231" s="1523"/>
      <c r="T1231" s="1523"/>
      <c r="U1231" s="1523"/>
      <c r="V1231" s="1523"/>
      <c r="W1231" s="1527">
        <f t="shared" si="362"/>
        <v>0</v>
      </c>
      <c r="X1231" s="1529"/>
      <c r="Y1231" s="1444"/>
    </row>
    <row r="1232" spans="1:25" s="618" customFormat="1" ht="36" hidden="1">
      <c r="A1232" s="1521"/>
      <c r="B1232" s="1522" t="s">
        <v>1091</v>
      </c>
      <c r="C1232" s="1523"/>
      <c r="D1232" s="1457">
        <f t="shared" si="361"/>
        <v>0</v>
      </c>
      <c r="E1232" s="1543">
        <f>21000+30000</f>
        <v>51000</v>
      </c>
      <c r="F1232" s="1544"/>
      <c r="G1232" s="1538"/>
      <c r="H1232" s="1538"/>
      <c r="I1232" s="1530"/>
      <c r="J1232" s="1526"/>
      <c r="K1232" s="1523"/>
      <c r="L1232" s="1523"/>
      <c r="M1232" s="1523"/>
      <c r="N1232" s="1523"/>
      <c r="O1232" s="1523"/>
      <c r="P1232" s="1527"/>
      <c r="Q1232" s="1528"/>
      <c r="R1232" s="1526"/>
      <c r="S1232" s="1523"/>
      <c r="T1232" s="1523"/>
      <c r="U1232" s="1523"/>
      <c r="V1232" s="1523"/>
      <c r="W1232" s="1527"/>
      <c r="X1232" s="1529"/>
      <c r="Y1232" s="1444"/>
    </row>
    <row r="1233" spans="1:25" s="618" customFormat="1" ht="36" hidden="1">
      <c r="A1233" s="1521"/>
      <c r="B1233" s="1522" t="s">
        <v>1092</v>
      </c>
      <c r="C1233" s="1523"/>
      <c r="D1233" s="1457">
        <f t="shared" si="361"/>
        <v>0</v>
      </c>
      <c r="E1233" s="1543">
        <v>106000</v>
      </c>
      <c r="F1233" s="1544"/>
      <c r="G1233" s="1538"/>
      <c r="H1233" s="1538"/>
      <c r="I1233" s="1530"/>
      <c r="J1233" s="1526"/>
      <c r="K1233" s="1523"/>
      <c r="L1233" s="1523"/>
      <c r="M1233" s="1523"/>
      <c r="N1233" s="1523"/>
      <c r="O1233" s="1523"/>
      <c r="P1233" s="1527"/>
      <c r="Q1233" s="1528"/>
      <c r="R1233" s="1526"/>
      <c r="S1233" s="1523"/>
      <c r="T1233" s="1523"/>
      <c r="U1233" s="1523"/>
      <c r="V1233" s="1523"/>
      <c r="W1233" s="1527"/>
      <c r="X1233" s="1529"/>
      <c r="Y1233" s="1444"/>
    </row>
    <row r="1234" spans="1:25" s="618" customFormat="1" ht="24" hidden="1">
      <c r="A1234" s="1521"/>
      <c r="B1234" s="1522" t="s">
        <v>1093</v>
      </c>
      <c r="C1234" s="1523"/>
      <c r="D1234" s="1457">
        <f t="shared" si="361"/>
        <v>0</v>
      </c>
      <c r="E1234" s="1543">
        <v>20000</v>
      </c>
      <c r="F1234" s="1544">
        <f t="shared" si="363"/>
        <v>0</v>
      </c>
      <c r="G1234" s="1499"/>
      <c r="H1234" s="1499"/>
      <c r="I1234" s="1530"/>
      <c r="J1234" s="1526"/>
      <c r="K1234" s="1523"/>
      <c r="L1234" s="1523"/>
      <c r="M1234" s="1523"/>
      <c r="N1234" s="1523"/>
      <c r="O1234" s="1523"/>
      <c r="P1234" s="1527">
        <f t="shared" si="364"/>
        <v>0</v>
      </c>
      <c r="Q1234" s="1528"/>
      <c r="R1234" s="1526"/>
      <c r="S1234" s="1523"/>
      <c r="T1234" s="1523"/>
      <c r="U1234" s="1523"/>
      <c r="V1234" s="1523"/>
      <c r="W1234" s="1527">
        <f>SUM(S1234:V1234)</f>
        <v>0</v>
      </c>
      <c r="X1234" s="1529"/>
      <c r="Y1234" s="1444"/>
    </row>
    <row r="1235" spans="1:25" s="618" customFormat="1" ht="24" hidden="1">
      <c r="A1235" s="1521"/>
      <c r="B1235" s="1522" t="s">
        <v>1094</v>
      </c>
      <c r="C1235" s="1523"/>
      <c r="D1235" s="1457"/>
      <c r="E1235" s="1543">
        <v>122000</v>
      </c>
      <c r="F1235" s="1544"/>
      <c r="G1235" s="1499"/>
      <c r="H1235" s="1499"/>
      <c r="I1235" s="1530"/>
      <c r="J1235" s="1526"/>
      <c r="K1235" s="1523"/>
      <c r="L1235" s="1523"/>
      <c r="M1235" s="1523"/>
      <c r="N1235" s="1523"/>
      <c r="O1235" s="1523"/>
      <c r="P1235" s="1527"/>
      <c r="Q1235" s="1528"/>
      <c r="R1235" s="1526"/>
      <c r="S1235" s="1523"/>
      <c r="T1235" s="1523"/>
      <c r="U1235" s="1523"/>
      <c r="V1235" s="1523"/>
      <c r="W1235" s="1527"/>
      <c r="X1235" s="1529"/>
      <c r="Y1235" s="1444"/>
    </row>
    <row r="1236" spans="1:25" s="618" customFormat="1" ht="24" hidden="1">
      <c r="A1236" s="1521"/>
      <c r="B1236" s="1522" t="s">
        <v>1095</v>
      </c>
      <c r="C1236" s="1523"/>
      <c r="D1236" s="1457"/>
      <c r="E1236" s="1543">
        <v>280000</v>
      </c>
      <c r="F1236" s="1544"/>
      <c r="G1236" s="1499"/>
      <c r="H1236" s="1499"/>
      <c r="I1236" s="1530"/>
      <c r="J1236" s="1526"/>
      <c r="K1236" s="1523"/>
      <c r="L1236" s="1523"/>
      <c r="M1236" s="1523"/>
      <c r="N1236" s="1523"/>
      <c r="O1236" s="1523"/>
      <c r="P1236" s="1527"/>
      <c r="Q1236" s="1528"/>
      <c r="R1236" s="1526"/>
      <c r="S1236" s="1523"/>
      <c r="T1236" s="1523"/>
      <c r="U1236" s="1523"/>
      <c r="V1236" s="1523"/>
      <c r="W1236" s="1527"/>
      <c r="X1236" s="1529"/>
      <c r="Y1236" s="1444"/>
    </row>
    <row r="1237" spans="1:25" s="618" customFormat="1" ht="24" hidden="1">
      <c r="A1237" s="1521"/>
      <c r="B1237" s="1522" t="s">
        <v>1096</v>
      </c>
      <c r="C1237" s="1523"/>
      <c r="D1237" s="1457"/>
      <c r="E1237" s="1543">
        <v>100000</v>
      </c>
      <c r="F1237" s="1544"/>
      <c r="G1237" s="1499"/>
      <c r="H1237" s="1499"/>
      <c r="I1237" s="1530"/>
      <c r="J1237" s="1526"/>
      <c r="K1237" s="1523"/>
      <c r="L1237" s="1523"/>
      <c r="M1237" s="1523"/>
      <c r="N1237" s="1523"/>
      <c r="O1237" s="1523"/>
      <c r="P1237" s="1527"/>
      <c r="Q1237" s="1528"/>
      <c r="R1237" s="1526"/>
      <c r="S1237" s="1523"/>
      <c r="T1237" s="1523"/>
      <c r="U1237" s="1523"/>
      <c r="V1237" s="1523"/>
      <c r="W1237" s="1527"/>
      <c r="X1237" s="1529"/>
      <c r="Y1237" s="1444"/>
    </row>
    <row r="1238" spans="1:25" s="618" customFormat="1" ht="36" hidden="1">
      <c r="A1238" s="1521"/>
      <c r="B1238" s="1522" t="s">
        <v>1097</v>
      </c>
      <c r="C1238" s="1523"/>
      <c r="D1238" s="1457"/>
      <c r="E1238" s="1543">
        <v>50000</v>
      </c>
      <c r="F1238" s="1544"/>
      <c r="G1238" s="1499"/>
      <c r="H1238" s="1499"/>
      <c r="I1238" s="1530"/>
      <c r="J1238" s="1526"/>
      <c r="K1238" s="1523"/>
      <c r="L1238" s="1523"/>
      <c r="M1238" s="1523"/>
      <c r="N1238" s="1523"/>
      <c r="O1238" s="1523"/>
      <c r="P1238" s="1527"/>
      <c r="Q1238" s="1528"/>
      <c r="R1238" s="1526"/>
      <c r="S1238" s="1523"/>
      <c r="T1238" s="1523"/>
      <c r="U1238" s="1523"/>
      <c r="V1238" s="1523"/>
      <c r="W1238" s="1527"/>
      <c r="X1238" s="1529"/>
      <c r="Y1238" s="1444"/>
    </row>
    <row r="1239" spans="1:25" s="618" customFormat="1" ht="24" hidden="1">
      <c r="A1239" s="1521"/>
      <c r="B1239" s="1522" t="s">
        <v>1098</v>
      </c>
      <c r="C1239" s="1523"/>
      <c r="D1239" s="1457"/>
      <c r="E1239" s="1543">
        <v>100000</v>
      </c>
      <c r="F1239" s="1544"/>
      <c r="G1239" s="1499"/>
      <c r="H1239" s="1499"/>
      <c r="I1239" s="1530"/>
      <c r="J1239" s="1526"/>
      <c r="K1239" s="1523"/>
      <c r="L1239" s="1523"/>
      <c r="M1239" s="1523"/>
      <c r="N1239" s="1523"/>
      <c r="O1239" s="1523"/>
      <c r="P1239" s="1527"/>
      <c r="Q1239" s="1528"/>
      <c r="R1239" s="1526"/>
      <c r="S1239" s="1523"/>
      <c r="T1239" s="1523"/>
      <c r="U1239" s="1523"/>
      <c r="V1239" s="1523"/>
      <c r="W1239" s="1527"/>
      <c r="X1239" s="1529"/>
      <c r="Y1239" s="1444"/>
    </row>
    <row r="1240" spans="1:25" s="618" customFormat="1" ht="24" hidden="1">
      <c r="A1240" s="1521"/>
      <c r="B1240" s="1522" t="s">
        <v>1099</v>
      </c>
      <c r="C1240" s="1523"/>
      <c r="D1240" s="1457"/>
      <c r="E1240" s="1543">
        <v>3023000</v>
      </c>
      <c r="F1240" s="1544"/>
      <c r="G1240" s="1499"/>
      <c r="H1240" s="1499"/>
      <c r="I1240" s="1530"/>
      <c r="J1240" s="1526"/>
      <c r="K1240" s="1523"/>
      <c r="L1240" s="1523"/>
      <c r="M1240" s="1523"/>
      <c r="N1240" s="1523"/>
      <c r="O1240" s="1523"/>
      <c r="P1240" s="1527"/>
      <c r="Q1240" s="1528"/>
      <c r="R1240" s="1526"/>
      <c r="S1240" s="1523"/>
      <c r="T1240" s="1523"/>
      <c r="U1240" s="1523"/>
      <c r="V1240" s="1523"/>
      <c r="W1240" s="1527"/>
      <c r="X1240" s="1529"/>
      <c r="Y1240" s="1444"/>
    </row>
    <row r="1241" spans="1:25" s="618" customFormat="1" ht="24" hidden="1">
      <c r="A1241" s="1521"/>
      <c r="B1241" s="1522" t="s">
        <v>1100</v>
      </c>
      <c r="C1241" s="1523"/>
      <c r="D1241" s="1457"/>
      <c r="E1241" s="1543">
        <v>5000</v>
      </c>
      <c r="F1241" s="1544"/>
      <c r="G1241" s="1538"/>
      <c r="H1241" s="1538"/>
      <c r="I1241" s="1530"/>
      <c r="J1241" s="1526"/>
      <c r="K1241" s="1523"/>
      <c r="L1241" s="1523"/>
      <c r="M1241" s="1523"/>
      <c r="N1241" s="1523"/>
      <c r="O1241" s="1523"/>
      <c r="P1241" s="1527"/>
      <c r="Q1241" s="1528"/>
      <c r="R1241" s="1526"/>
      <c r="S1241" s="1523"/>
      <c r="T1241" s="1523"/>
      <c r="U1241" s="1523"/>
      <c r="V1241" s="1523"/>
      <c r="W1241" s="1527"/>
      <c r="X1241" s="1529"/>
      <c r="Y1241" s="1444"/>
    </row>
    <row r="1242" spans="1:25" s="618" customFormat="1" ht="24" hidden="1">
      <c r="A1242" s="1521"/>
      <c r="B1242" s="1522" t="s">
        <v>1101</v>
      </c>
      <c r="C1242" s="1523"/>
      <c r="D1242" s="1457"/>
      <c r="E1242" s="1543">
        <v>10000</v>
      </c>
      <c r="F1242" s="1544"/>
      <c r="G1242" s="1538"/>
      <c r="H1242" s="1538"/>
      <c r="I1242" s="1530"/>
      <c r="J1242" s="1526"/>
      <c r="K1242" s="1523"/>
      <c r="L1242" s="1523"/>
      <c r="M1242" s="1523"/>
      <c r="N1242" s="1523"/>
      <c r="O1242" s="1523"/>
      <c r="P1242" s="1527"/>
      <c r="Q1242" s="1528"/>
      <c r="R1242" s="1526"/>
      <c r="S1242" s="1523"/>
      <c r="T1242" s="1523"/>
      <c r="U1242" s="1523"/>
      <c r="V1242" s="1523"/>
      <c r="W1242" s="1527"/>
      <c r="X1242" s="1529"/>
      <c r="Y1242" s="1444"/>
    </row>
    <row r="1243" spans="1:25" s="618" customFormat="1" ht="24" hidden="1">
      <c r="A1243" s="1521"/>
      <c r="B1243" s="1522" t="s">
        <v>1102</v>
      </c>
      <c r="C1243" s="1523"/>
      <c r="D1243" s="1457"/>
      <c r="E1243" s="1543">
        <v>51000</v>
      </c>
      <c r="F1243" s="1544"/>
      <c r="G1243" s="1538"/>
      <c r="H1243" s="1538"/>
      <c r="I1243" s="1530"/>
      <c r="J1243" s="1526"/>
      <c r="K1243" s="1523"/>
      <c r="L1243" s="1523"/>
      <c r="M1243" s="1523"/>
      <c r="N1243" s="1523"/>
      <c r="O1243" s="1523"/>
      <c r="P1243" s="1527"/>
      <c r="Q1243" s="1528"/>
      <c r="R1243" s="1526"/>
      <c r="S1243" s="1523"/>
      <c r="T1243" s="1523"/>
      <c r="U1243" s="1523"/>
      <c r="V1243" s="1523"/>
      <c r="W1243" s="1527"/>
      <c r="X1243" s="1529"/>
      <c r="Y1243" s="1444"/>
    </row>
    <row r="1244" spans="1:25" s="618" customFormat="1" ht="24" hidden="1">
      <c r="A1244" s="1521"/>
      <c r="B1244" s="1522" t="s">
        <v>1103</v>
      </c>
      <c r="C1244" s="1523"/>
      <c r="D1244" s="1457"/>
      <c r="E1244" s="1543">
        <v>297000</v>
      </c>
      <c r="F1244" s="1544"/>
      <c r="G1244" s="1538"/>
      <c r="H1244" s="1538"/>
      <c r="I1244" s="1530"/>
      <c r="J1244" s="1526"/>
      <c r="K1244" s="1523"/>
      <c r="L1244" s="1523"/>
      <c r="M1244" s="1523"/>
      <c r="N1244" s="1523"/>
      <c r="O1244" s="1523"/>
      <c r="P1244" s="1527"/>
      <c r="Q1244" s="1528"/>
      <c r="R1244" s="1526"/>
      <c r="S1244" s="1523"/>
      <c r="T1244" s="1523"/>
      <c r="U1244" s="1523"/>
      <c r="V1244" s="1523"/>
      <c r="W1244" s="1527"/>
      <c r="X1244" s="1529"/>
      <c r="Y1244" s="1444"/>
    </row>
    <row r="1245" spans="1:25" s="618" customFormat="1" ht="24" hidden="1">
      <c r="A1245" s="1521"/>
      <c r="B1245" s="1522" t="s">
        <v>1104</v>
      </c>
      <c r="C1245" s="1523"/>
      <c r="D1245" s="1457"/>
      <c r="E1245" s="1543">
        <v>100000</v>
      </c>
      <c r="F1245" s="1544"/>
      <c r="G1245" s="1538"/>
      <c r="H1245" s="1538"/>
      <c r="I1245" s="1530"/>
      <c r="J1245" s="1526"/>
      <c r="K1245" s="1523"/>
      <c r="L1245" s="1523"/>
      <c r="M1245" s="1523"/>
      <c r="N1245" s="1523"/>
      <c r="O1245" s="1523"/>
      <c r="P1245" s="1527"/>
      <c r="Q1245" s="1528"/>
      <c r="R1245" s="1526"/>
      <c r="S1245" s="1523"/>
      <c r="T1245" s="1523"/>
      <c r="U1245" s="1523"/>
      <c r="V1245" s="1523"/>
      <c r="W1245" s="1527"/>
      <c r="X1245" s="1529"/>
      <c r="Y1245" s="1444"/>
    </row>
    <row r="1246" spans="1:25" s="618" customFormat="1" ht="24" hidden="1">
      <c r="A1246" s="1521"/>
      <c r="B1246" s="1522" t="s">
        <v>1105</v>
      </c>
      <c r="C1246" s="1523">
        <v>6234</v>
      </c>
      <c r="D1246" s="1457">
        <f>J1246+R1246</f>
        <v>0</v>
      </c>
      <c r="E1246" s="1543"/>
      <c r="F1246" s="1544">
        <f>P1246+W1246</f>
        <v>0</v>
      </c>
      <c r="G1246" s="1538">
        <f t="shared" si="342"/>
        <v>0</v>
      </c>
      <c r="H1246" s="1538"/>
      <c r="I1246" s="1530"/>
      <c r="J1246" s="1526"/>
      <c r="K1246" s="1523"/>
      <c r="L1246" s="1523"/>
      <c r="M1246" s="1523"/>
      <c r="N1246" s="1523"/>
      <c r="O1246" s="1523"/>
      <c r="P1246" s="1527">
        <f>SUM(K1246:N1246)</f>
        <v>0</v>
      </c>
      <c r="Q1246" s="1528"/>
      <c r="R1246" s="1526"/>
      <c r="S1246" s="1523"/>
      <c r="T1246" s="1523"/>
      <c r="U1246" s="1523"/>
      <c r="V1246" s="1523"/>
      <c r="W1246" s="1527">
        <f>SUM(S1246:V1246)</f>
        <v>0</v>
      </c>
      <c r="X1246" s="1529"/>
      <c r="Y1246" s="1444"/>
    </row>
    <row r="1247" spans="1:25" s="581" customFormat="1" ht="12" customHeight="1">
      <c r="A1247" s="1516">
        <v>90013</v>
      </c>
      <c r="B1247" s="1550" t="s">
        <v>1106</v>
      </c>
      <c r="C1247" s="1467">
        <f>SUM(C1248:C1253)</f>
        <v>327000</v>
      </c>
      <c r="D1247" s="1467">
        <f>SUM(D1248:D1253)</f>
        <v>327000</v>
      </c>
      <c r="E1247" s="1468">
        <f>SUM(E1248:E1253)</f>
        <v>756000</v>
      </c>
      <c r="F1247" s="1469">
        <f>SUM(F1248:F1253)</f>
        <v>495000</v>
      </c>
      <c r="G1247" s="1531">
        <f t="shared" si="342"/>
        <v>151.37614678899084</v>
      </c>
      <c r="H1247" s="1532">
        <f t="shared" si="343"/>
        <v>151.37614678899084</v>
      </c>
      <c r="I1247" s="1450"/>
      <c r="J1247" s="1470">
        <f>SUM(J1248:J1253)</f>
        <v>327000</v>
      </c>
      <c r="K1247" s="1467">
        <f>SUM(K1248:K1253)</f>
        <v>295000</v>
      </c>
      <c r="L1247" s="1467">
        <f>SUM(L1248:L1253)</f>
        <v>200000</v>
      </c>
      <c r="M1247" s="1467">
        <f>SUM(M1248:M1253)</f>
        <v>0</v>
      </c>
      <c r="N1247" s="1467">
        <f>SUM(N1248:N1253)</f>
        <v>0</v>
      </c>
      <c r="O1247" s="1467"/>
      <c r="P1247" s="1471">
        <f>SUM(P1248:P1253)</f>
        <v>495000</v>
      </c>
      <c r="Q1247" s="1453">
        <f>P1247/J1247*100</f>
        <v>151.37614678899084</v>
      </c>
      <c r="R1247" s="1470"/>
      <c r="S1247" s="1467"/>
      <c r="T1247" s="1467"/>
      <c r="U1247" s="1467"/>
      <c r="V1247" s="1467"/>
      <c r="W1247" s="1471"/>
      <c r="X1247" s="1454"/>
      <c r="Y1247" s="1444"/>
    </row>
    <row r="1248" spans="1:25" ht="12.75">
      <c r="A1248" s="1497">
        <v>4270</v>
      </c>
      <c r="B1248" s="1513" t="s">
        <v>576</v>
      </c>
      <c r="C1248" s="1457">
        <v>22000</v>
      </c>
      <c r="D1248" s="1457">
        <f>J1248+R1248</f>
        <v>22000</v>
      </c>
      <c r="E1248" s="1458"/>
      <c r="F1248" s="1459">
        <f aca="true" t="shared" si="365" ref="F1248:F1253">P1248+W1248</f>
        <v>0</v>
      </c>
      <c r="G1248" s="1499">
        <f t="shared" si="342"/>
        <v>0</v>
      </c>
      <c r="H1248" s="1499">
        <f t="shared" si="343"/>
        <v>0</v>
      </c>
      <c r="I1248" s="1450"/>
      <c r="J1248" s="1461">
        <v>22000</v>
      </c>
      <c r="K1248" s="1457"/>
      <c r="L1248" s="1457"/>
      <c r="M1248" s="1457"/>
      <c r="N1248" s="1457"/>
      <c r="O1248" s="1457"/>
      <c r="P1248" s="1462">
        <f aca="true" t="shared" si="366" ref="P1248:P1253">SUM(K1248:N1248)</f>
        <v>0</v>
      </c>
      <c r="Q1248" s="1495">
        <f>P1248/J1248*100</f>
        <v>0</v>
      </c>
      <c r="R1248" s="1461"/>
      <c r="S1248" s="1457"/>
      <c r="T1248" s="1457"/>
      <c r="U1248" s="1457"/>
      <c r="V1248" s="1457"/>
      <c r="W1248" s="1462"/>
      <c r="X1248" s="1496"/>
      <c r="Y1248" s="1444"/>
    </row>
    <row r="1249" spans="1:25" ht="24" hidden="1">
      <c r="A1249" s="1497">
        <v>4270</v>
      </c>
      <c r="B1249" s="1513" t="s">
        <v>1107</v>
      </c>
      <c r="C1249" s="1457"/>
      <c r="D1249" s="1457"/>
      <c r="E1249" s="1458"/>
      <c r="F1249" s="1459">
        <f t="shared" si="365"/>
        <v>0</v>
      </c>
      <c r="G1249" s="1499" t="e">
        <f t="shared" si="342"/>
        <v>#DIV/0!</v>
      </c>
      <c r="H1249" s="1499" t="e">
        <f t="shared" si="343"/>
        <v>#DIV/0!</v>
      </c>
      <c r="I1249" s="1450"/>
      <c r="J1249" s="1461"/>
      <c r="K1249" s="1457"/>
      <c r="L1249" s="1457"/>
      <c r="M1249" s="1457"/>
      <c r="N1249" s="1457"/>
      <c r="O1249" s="1457"/>
      <c r="P1249" s="1462">
        <f t="shared" si="366"/>
        <v>0</v>
      </c>
      <c r="Q1249" s="1495"/>
      <c r="R1249" s="1461"/>
      <c r="S1249" s="1457"/>
      <c r="T1249" s="1457"/>
      <c r="U1249" s="1457"/>
      <c r="V1249" s="1457"/>
      <c r="W1249" s="1462"/>
      <c r="X1249" s="1496"/>
      <c r="Y1249" s="1444"/>
    </row>
    <row r="1250" spans="1:25" ht="12.75">
      <c r="A1250" s="1497">
        <v>4210</v>
      </c>
      <c r="B1250" s="1513" t="s">
        <v>560</v>
      </c>
      <c r="C1250" s="1457">
        <v>5000</v>
      </c>
      <c r="D1250" s="1457">
        <f>J1250+R1250</f>
        <v>5000</v>
      </c>
      <c r="E1250" s="1458"/>
      <c r="F1250" s="1459">
        <f t="shared" si="365"/>
        <v>0</v>
      </c>
      <c r="G1250" s="1499">
        <f t="shared" si="342"/>
        <v>0</v>
      </c>
      <c r="H1250" s="1499">
        <f t="shared" si="343"/>
        <v>0</v>
      </c>
      <c r="I1250" s="1450"/>
      <c r="J1250" s="1461">
        <v>5000</v>
      </c>
      <c r="K1250" s="1457"/>
      <c r="L1250" s="1457"/>
      <c r="M1250" s="1457"/>
      <c r="N1250" s="1457"/>
      <c r="O1250" s="1457"/>
      <c r="P1250" s="1462">
        <f t="shared" si="366"/>
        <v>0</v>
      </c>
      <c r="Q1250" s="1495"/>
      <c r="R1250" s="1461"/>
      <c r="S1250" s="1457"/>
      <c r="T1250" s="1457"/>
      <c r="U1250" s="1457"/>
      <c r="V1250" s="1457"/>
      <c r="W1250" s="1462"/>
      <c r="X1250" s="1496"/>
      <c r="Y1250" s="1444"/>
    </row>
    <row r="1251" spans="1:25" ht="24">
      <c r="A1251" s="1497">
        <v>4300</v>
      </c>
      <c r="B1251" s="1513" t="s">
        <v>1108</v>
      </c>
      <c r="C1251" s="1457">
        <v>300000</v>
      </c>
      <c r="D1251" s="1457">
        <f>J1251+R1251</f>
        <v>289300</v>
      </c>
      <c r="E1251" s="1458">
        <v>356000</v>
      </c>
      <c r="F1251" s="1459">
        <f t="shared" si="365"/>
        <v>295000</v>
      </c>
      <c r="G1251" s="1499">
        <f t="shared" si="342"/>
        <v>98.33333333333333</v>
      </c>
      <c r="H1251" s="1499">
        <f t="shared" si="343"/>
        <v>101.97027307293467</v>
      </c>
      <c r="I1251" s="1450"/>
      <c r="J1251" s="1461">
        <v>289300</v>
      </c>
      <c r="K1251" s="1457">
        <v>295000</v>
      </c>
      <c r="L1251" s="1457"/>
      <c r="M1251" s="1457"/>
      <c r="N1251" s="1457"/>
      <c r="O1251" s="1457"/>
      <c r="P1251" s="1462">
        <f t="shared" si="366"/>
        <v>295000</v>
      </c>
      <c r="Q1251" s="1495">
        <f aca="true" t="shared" si="367" ref="Q1251:Q1313">P1251/J1251*100</f>
        <v>101.97027307293467</v>
      </c>
      <c r="R1251" s="1461"/>
      <c r="S1251" s="1457"/>
      <c r="T1251" s="1457"/>
      <c r="U1251" s="1457"/>
      <c r="V1251" s="1457"/>
      <c r="W1251" s="1462"/>
      <c r="X1251" s="1496"/>
      <c r="Y1251" s="1444"/>
    </row>
    <row r="1252" spans="1:25" ht="24">
      <c r="A1252" s="1497">
        <v>6050</v>
      </c>
      <c r="B1252" s="1513" t="s">
        <v>892</v>
      </c>
      <c r="C1252" s="1457"/>
      <c r="D1252" s="1457">
        <f>J1252+R1252</f>
        <v>0</v>
      </c>
      <c r="E1252" s="1458">
        <v>400000</v>
      </c>
      <c r="F1252" s="1459">
        <f t="shared" si="365"/>
        <v>200000</v>
      </c>
      <c r="G1252" s="1499"/>
      <c r="H1252" s="1499"/>
      <c r="I1252" s="1450"/>
      <c r="J1252" s="1461"/>
      <c r="K1252" s="1457"/>
      <c r="L1252" s="1457">
        <f>400000-200000</f>
        <v>200000</v>
      </c>
      <c r="M1252" s="1457"/>
      <c r="N1252" s="1457"/>
      <c r="O1252" s="1457"/>
      <c r="P1252" s="1462">
        <f t="shared" si="366"/>
        <v>200000</v>
      </c>
      <c r="Q1252" s="1453" t="e">
        <f>P1252/J1252*100</f>
        <v>#DIV/0!</v>
      </c>
      <c r="R1252" s="1461"/>
      <c r="S1252" s="1457"/>
      <c r="T1252" s="1457"/>
      <c r="U1252" s="1457"/>
      <c r="V1252" s="1457"/>
      <c r="W1252" s="1462"/>
      <c r="X1252" s="1454"/>
      <c r="Y1252" s="1444"/>
    </row>
    <row r="1253" spans="1:25" ht="24">
      <c r="A1253" s="1497">
        <v>6060</v>
      </c>
      <c r="B1253" s="1513" t="s">
        <v>870</v>
      </c>
      <c r="C1253" s="1457"/>
      <c r="D1253" s="1457">
        <f>J1253+R1253</f>
        <v>10700</v>
      </c>
      <c r="E1253" s="1458"/>
      <c r="F1253" s="1459">
        <f t="shared" si="365"/>
        <v>0</v>
      </c>
      <c r="G1253" s="1499"/>
      <c r="H1253" s="1499">
        <f t="shared" si="343"/>
        <v>0</v>
      </c>
      <c r="I1253" s="1450"/>
      <c r="J1253" s="1461">
        <v>10700</v>
      </c>
      <c r="K1253" s="1457">
        <v>0</v>
      </c>
      <c r="L1253" s="1457"/>
      <c r="M1253" s="1457"/>
      <c r="N1253" s="1457"/>
      <c r="O1253" s="1457"/>
      <c r="P1253" s="1462">
        <f t="shared" si="366"/>
        <v>0</v>
      </c>
      <c r="Q1253" s="1453"/>
      <c r="R1253" s="1461"/>
      <c r="S1253" s="1457"/>
      <c r="T1253" s="1457"/>
      <c r="U1253" s="1457"/>
      <c r="V1253" s="1457"/>
      <c r="W1253" s="1462"/>
      <c r="X1253" s="1454"/>
      <c r="Y1253" s="1444"/>
    </row>
    <row r="1254" spans="1:25" s="581" customFormat="1" ht="12.75">
      <c r="A1254" s="1516">
        <v>90015</v>
      </c>
      <c r="B1254" s="1550" t="s">
        <v>246</v>
      </c>
      <c r="C1254" s="1467">
        <f>SUM(C1255:C1259)</f>
        <v>2750000</v>
      </c>
      <c r="D1254" s="1467">
        <f>SUM(D1255:D1259)</f>
        <v>2828350</v>
      </c>
      <c r="E1254" s="1468">
        <f>SUM(E1255:E1259)</f>
        <v>3110000</v>
      </c>
      <c r="F1254" s="1469">
        <f>SUM(F1255:F1259)</f>
        <v>2870000</v>
      </c>
      <c r="G1254" s="1531">
        <f aca="true" t="shared" si="368" ref="G1254:G1317">F1254/C1254*100</f>
        <v>104.36363636363637</v>
      </c>
      <c r="H1254" s="1532">
        <f aca="true" t="shared" si="369" ref="H1254:H1318">F1254/D1254*100</f>
        <v>101.47259002598688</v>
      </c>
      <c r="I1254" s="1450"/>
      <c r="J1254" s="1470">
        <f aca="true" t="shared" si="370" ref="J1254:P1254">SUM(J1255:J1259)</f>
        <v>1728350</v>
      </c>
      <c r="K1254" s="1467">
        <f t="shared" si="370"/>
        <v>950000</v>
      </c>
      <c r="L1254" s="1467">
        <f t="shared" si="370"/>
        <v>75000</v>
      </c>
      <c r="M1254" s="1467">
        <f t="shared" si="370"/>
        <v>0</v>
      </c>
      <c r="N1254" s="1467">
        <f t="shared" si="370"/>
        <v>725000</v>
      </c>
      <c r="O1254" s="1467"/>
      <c r="P1254" s="1471">
        <f t="shared" si="370"/>
        <v>1750000</v>
      </c>
      <c r="Q1254" s="1453">
        <f t="shared" si="367"/>
        <v>101.25263980096624</v>
      </c>
      <c r="R1254" s="1470">
        <f aca="true" t="shared" si="371" ref="R1254:W1254">SUM(R1255:R1259)</f>
        <v>1100000</v>
      </c>
      <c r="S1254" s="1467">
        <f t="shared" si="371"/>
        <v>670000</v>
      </c>
      <c r="T1254" s="1467">
        <f t="shared" si="371"/>
        <v>0</v>
      </c>
      <c r="U1254" s="1467">
        <f t="shared" si="371"/>
        <v>0</v>
      </c>
      <c r="V1254" s="1467">
        <f t="shared" si="371"/>
        <v>450000</v>
      </c>
      <c r="W1254" s="1471">
        <f t="shared" si="371"/>
        <v>1120000</v>
      </c>
      <c r="X1254" s="1454"/>
      <c r="Y1254" s="1444"/>
    </row>
    <row r="1255" spans="1:25" ht="12.75">
      <c r="A1255" s="1497">
        <v>4260</v>
      </c>
      <c r="B1255" s="1498" t="s">
        <v>575</v>
      </c>
      <c r="C1255" s="1457">
        <v>1450000</v>
      </c>
      <c r="D1255" s="1457">
        <f>J1255+R1255</f>
        <v>1600000</v>
      </c>
      <c r="E1255" s="1458">
        <f>695000+990000</f>
        <v>1685000</v>
      </c>
      <c r="F1255" s="1459">
        <f>P1255+W1255</f>
        <v>1620000</v>
      </c>
      <c r="G1255" s="1499">
        <f t="shared" si="368"/>
        <v>111.72413793103448</v>
      </c>
      <c r="H1255" s="1499">
        <f t="shared" si="369"/>
        <v>101.25</v>
      </c>
      <c r="I1255" s="1450"/>
      <c r="J1255" s="1461">
        <v>940000</v>
      </c>
      <c r="K1255" s="1457">
        <v>950000</v>
      </c>
      <c r="L1255" s="1457"/>
      <c r="M1255" s="1457"/>
      <c r="N1255" s="1457"/>
      <c r="O1255" s="1457"/>
      <c r="P1255" s="1462">
        <f>SUM(K1255:N1255)</f>
        <v>950000</v>
      </c>
      <c r="Q1255" s="1495">
        <f t="shared" si="367"/>
        <v>101.06382978723406</v>
      </c>
      <c r="R1255" s="1461">
        <v>660000</v>
      </c>
      <c r="S1255" s="1457">
        <v>670000</v>
      </c>
      <c r="T1255" s="1457"/>
      <c r="U1255" s="1457"/>
      <c r="V1255" s="1457"/>
      <c r="W1255" s="1462">
        <f>SUM(S1255:V1255)</f>
        <v>670000</v>
      </c>
      <c r="X1255" s="1496"/>
      <c r="Y1255" s="1444"/>
    </row>
    <row r="1256" spans="1:25" ht="12.75">
      <c r="A1256" s="1497">
        <v>4270</v>
      </c>
      <c r="B1256" s="1513" t="s">
        <v>576</v>
      </c>
      <c r="C1256" s="1457">
        <v>1300000</v>
      </c>
      <c r="D1256" s="1457">
        <f>J1256+R1256</f>
        <v>1158350</v>
      </c>
      <c r="E1256" s="1514">
        <f>465000+750000</f>
        <v>1215000</v>
      </c>
      <c r="F1256" s="1457">
        <f>P1256+W1256</f>
        <v>1175000</v>
      </c>
      <c r="G1256" s="1499">
        <f t="shared" si="368"/>
        <v>90.38461538461539</v>
      </c>
      <c r="H1256" s="1499">
        <f t="shared" si="369"/>
        <v>101.43738939008071</v>
      </c>
      <c r="I1256" s="1450"/>
      <c r="J1256" s="1461">
        <v>718350</v>
      </c>
      <c r="K1256" s="1457"/>
      <c r="L1256" s="1457"/>
      <c r="M1256" s="1457"/>
      <c r="N1256" s="1457">
        <v>725000</v>
      </c>
      <c r="O1256" s="1457"/>
      <c r="P1256" s="1462">
        <f>SUM(K1256:N1256)</f>
        <v>725000</v>
      </c>
      <c r="Q1256" s="1495">
        <f t="shared" si="367"/>
        <v>100.92573258161065</v>
      </c>
      <c r="R1256" s="1461">
        <v>440000</v>
      </c>
      <c r="S1256" s="1457"/>
      <c r="T1256" s="1457"/>
      <c r="U1256" s="1457"/>
      <c r="V1256" s="1457">
        <v>450000</v>
      </c>
      <c r="W1256" s="1462">
        <f>SUM(S1256:V1256)</f>
        <v>450000</v>
      </c>
      <c r="X1256" s="1496"/>
      <c r="Y1256" s="1444"/>
    </row>
    <row r="1257" spans="1:25" ht="12.75" hidden="1">
      <c r="A1257" s="1497">
        <v>4300</v>
      </c>
      <c r="B1257" s="1513" t="s">
        <v>564</v>
      </c>
      <c r="C1257" s="1457"/>
      <c r="D1257" s="1457">
        <f>J1257+R1257</f>
        <v>0</v>
      </c>
      <c r="E1257" s="1514"/>
      <c r="F1257" s="1457">
        <f>P1257+W1257</f>
        <v>0</v>
      </c>
      <c r="G1257" s="1499" t="e">
        <f t="shared" si="368"/>
        <v>#DIV/0!</v>
      </c>
      <c r="H1257" s="1499" t="e">
        <f t="shared" si="369"/>
        <v>#DIV/0!</v>
      </c>
      <c r="I1257" s="1450"/>
      <c r="J1257" s="1461"/>
      <c r="K1257" s="1457">
        <v>0</v>
      </c>
      <c r="L1257" s="1457"/>
      <c r="M1257" s="1457"/>
      <c r="N1257" s="1457"/>
      <c r="O1257" s="1457"/>
      <c r="P1257" s="1462">
        <f>SUM(K1257:N1257)</f>
        <v>0</v>
      </c>
      <c r="Q1257" s="1495" t="e">
        <f t="shared" si="367"/>
        <v>#DIV/0!</v>
      </c>
      <c r="R1257" s="1461"/>
      <c r="S1257" s="1457"/>
      <c r="T1257" s="1457"/>
      <c r="U1257" s="1457"/>
      <c r="V1257" s="1457"/>
      <c r="W1257" s="1462">
        <f>SUM(S1257:V1257)</f>
        <v>0</v>
      </c>
      <c r="X1257" s="1496"/>
      <c r="Y1257" s="1444"/>
    </row>
    <row r="1258" spans="1:25" ht="36" hidden="1">
      <c r="A1258" s="1497">
        <v>4560</v>
      </c>
      <c r="B1258" s="1513" t="s">
        <v>726</v>
      </c>
      <c r="C1258" s="1457"/>
      <c r="D1258" s="1457">
        <f>J1258+R1258</f>
        <v>0</v>
      </c>
      <c r="E1258" s="1514"/>
      <c r="F1258" s="1457">
        <f>P1258+W1258</f>
        <v>0</v>
      </c>
      <c r="G1258" s="1499" t="e">
        <f t="shared" si="368"/>
        <v>#DIV/0!</v>
      </c>
      <c r="H1258" s="1499" t="e">
        <f t="shared" si="369"/>
        <v>#DIV/0!</v>
      </c>
      <c r="I1258" s="1450"/>
      <c r="J1258" s="1461"/>
      <c r="K1258" s="1457"/>
      <c r="L1258" s="1457"/>
      <c r="M1258" s="1457"/>
      <c r="N1258" s="1457"/>
      <c r="O1258" s="1457"/>
      <c r="P1258" s="1462">
        <f>SUM(K1258:N1258)</f>
        <v>0</v>
      </c>
      <c r="Q1258" s="1495" t="e">
        <f t="shared" si="367"/>
        <v>#DIV/0!</v>
      </c>
      <c r="R1258" s="1461"/>
      <c r="S1258" s="1457"/>
      <c r="T1258" s="1457"/>
      <c r="U1258" s="1457"/>
      <c r="V1258" s="1457"/>
      <c r="W1258" s="1462">
        <f>SUM(S1258:V1258)</f>
        <v>0</v>
      </c>
      <c r="X1258" s="1496"/>
      <c r="Y1258" s="1444"/>
    </row>
    <row r="1259" spans="1:25" ht="24">
      <c r="A1259" s="1497">
        <v>6050</v>
      </c>
      <c r="B1259" s="1513" t="s">
        <v>892</v>
      </c>
      <c r="C1259" s="1457"/>
      <c r="D1259" s="1457">
        <f>J1259+R1259</f>
        <v>70000</v>
      </c>
      <c r="E1259" s="1549">
        <f>50000+160000</f>
        <v>210000</v>
      </c>
      <c r="F1259" s="1457">
        <f>P1259+W1259</f>
        <v>75000</v>
      </c>
      <c r="G1259" s="1499"/>
      <c r="H1259" s="1499">
        <f t="shared" si="369"/>
        <v>107.14285714285714</v>
      </c>
      <c r="I1259" s="1450"/>
      <c r="J1259" s="1461">
        <v>70000</v>
      </c>
      <c r="K1259" s="1457"/>
      <c r="L1259" s="1457">
        <v>75000</v>
      </c>
      <c r="M1259" s="1457"/>
      <c r="N1259" s="1457"/>
      <c r="O1259" s="1457"/>
      <c r="P1259" s="1462">
        <f>SUM(K1259:N1259)</f>
        <v>75000</v>
      </c>
      <c r="Q1259" s="1495">
        <f t="shared" si="367"/>
        <v>107.14285714285714</v>
      </c>
      <c r="R1259" s="1461"/>
      <c r="S1259" s="1457"/>
      <c r="T1259" s="1457"/>
      <c r="U1259" s="1457"/>
      <c r="V1259" s="1457"/>
      <c r="W1259" s="1462">
        <f>SUM(S1259:V1259)</f>
        <v>0</v>
      </c>
      <c r="X1259" s="1496"/>
      <c r="Y1259" s="1444"/>
    </row>
    <row r="1260" spans="1:25" s="581" customFormat="1" ht="12.75">
      <c r="A1260" s="1516">
        <v>90095</v>
      </c>
      <c r="B1260" s="1550" t="s">
        <v>209</v>
      </c>
      <c r="C1260" s="1467">
        <f>SUM(C1262:C1265)+C1273+C1285+C1300</f>
        <v>1259184</v>
      </c>
      <c r="D1260" s="1467">
        <f>SUM(D1262:D1265)+D1273+D1285+D1300</f>
        <v>1732084</v>
      </c>
      <c r="E1260" s="1518">
        <f>SUM(E1262:E1265)+E1273+E1285+E1300</f>
        <v>1814500</v>
      </c>
      <c r="F1260" s="1467">
        <f aca="true" t="shared" si="372" ref="F1260:F1306">P1260+W1260</f>
        <v>1760500</v>
      </c>
      <c r="G1260" s="1519">
        <f t="shared" si="368"/>
        <v>139.8127676336421</v>
      </c>
      <c r="H1260" s="1519">
        <f t="shared" si="369"/>
        <v>101.64056708566098</v>
      </c>
      <c r="I1260" s="1471"/>
      <c r="J1260" s="1469">
        <f aca="true" t="shared" si="373" ref="J1260:Q1260">SUM(J1262:J1265)+J1273+J1285+J1300</f>
        <v>1732084</v>
      </c>
      <c r="K1260" s="1467">
        <f t="shared" si="373"/>
        <v>187000</v>
      </c>
      <c r="L1260" s="1467">
        <f t="shared" si="373"/>
        <v>1380000</v>
      </c>
      <c r="M1260" s="1467">
        <f t="shared" si="373"/>
        <v>0</v>
      </c>
      <c r="N1260" s="1467">
        <f t="shared" si="373"/>
        <v>193500</v>
      </c>
      <c r="O1260" s="1467">
        <f t="shared" si="373"/>
        <v>0</v>
      </c>
      <c r="P1260" s="1471">
        <f t="shared" si="373"/>
        <v>1760500</v>
      </c>
      <c r="Q1260" s="1469" t="e">
        <f t="shared" si="373"/>
        <v>#DIV/0!</v>
      </c>
      <c r="R1260" s="1467"/>
      <c r="S1260" s="1467"/>
      <c r="T1260" s="1467"/>
      <c r="U1260" s="1467"/>
      <c r="V1260" s="1467"/>
      <c r="W1260" s="1471"/>
      <c r="X1260" s="1454"/>
      <c r="Y1260" s="1444"/>
    </row>
    <row r="1261" spans="1:25" ht="12.75" hidden="1">
      <c r="A1261" s="1497">
        <v>4210</v>
      </c>
      <c r="B1261" s="1513" t="s">
        <v>560</v>
      </c>
      <c r="C1261" s="1457">
        <v>0</v>
      </c>
      <c r="D1261" s="1457">
        <f>J1261+R1261</f>
        <v>0</v>
      </c>
      <c r="E1261" s="1514">
        <v>0</v>
      </c>
      <c r="F1261" s="1457">
        <f t="shared" si="372"/>
        <v>0</v>
      </c>
      <c r="G1261" s="1531" t="e">
        <f t="shared" si="368"/>
        <v>#DIV/0!</v>
      </c>
      <c r="H1261" s="1532" t="e">
        <f t="shared" si="369"/>
        <v>#DIV/0!</v>
      </c>
      <c r="I1261" s="1450"/>
      <c r="J1261" s="1461">
        <v>0</v>
      </c>
      <c r="K1261" s="1457"/>
      <c r="L1261" s="1457"/>
      <c r="M1261" s="1457"/>
      <c r="N1261" s="1457"/>
      <c r="O1261" s="1457"/>
      <c r="P1261" s="1462">
        <f>SUM(K1261:N1261)</f>
        <v>0</v>
      </c>
      <c r="Q1261" s="1495" t="e">
        <f t="shared" si="367"/>
        <v>#DIV/0!</v>
      </c>
      <c r="R1261" s="1461"/>
      <c r="S1261" s="1457"/>
      <c r="T1261" s="1457"/>
      <c r="U1261" s="1457"/>
      <c r="V1261" s="1457"/>
      <c r="W1261" s="1462"/>
      <c r="X1261" s="1496"/>
      <c r="Y1261" s="1444"/>
    </row>
    <row r="1262" spans="1:25" ht="12.75">
      <c r="A1262" s="1497">
        <v>4580</v>
      </c>
      <c r="B1262" s="1513" t="s">
        <v>727</v>
      </c>
      <c r="C1262" s="1457"/>
      <c r="D1262" s="1457">
        <f aca="true" t="shared" si="374" ref="D1262:D1306">J1262+R1262</f>
        <v>10</v>
      </c>
      <c r="E1262" s="1514"/>
      <c r="F1262" s="1457">
        <f t="shared" si="372"/>
        <v>0</v>
      </c>
      <c r="G1262" s="1499"/>
      <c r="H1262" s="1499">
        <f t="shared" si="369"/>
        <v>0</v>
      </c>
      <c r="I1262" s="1450"/>
      <c r="J1262" s="1461">
        <v>10</v>
      </c>
      <c r="K1262" s="1457">
        <v>0</v>
      </c>
      <c r="L1262" s="1457"/>
      <c r="M1262" s="1457"/>
      <c r="N1262" s="1457"/>
      <c r="O1262" s="1457"/>
      <c r="P1262" s="1462">
        <f aca="true" t="shared" si="375" ref="P1262:P1306">SUM(K1262:N1262)</f>
        <v>0</v>
      </c>
      <c r="Q1262" s="1495">
        <f t="shared" si="367"/>
        <v>0</v>
      </c>
      <c r="R1262" s="1461"/>
      <c r="S1262" s="1457"/>
      <c r="T1262" s="1457"/>
      <c r="U1262" s="1457"/>
      <c r="V1262" s="1457"/>
      <c r="W1262" s="1462"/>
      <c r="X1262" s="1496"/>
      <c r="Y1262" s="1444"/>
    </row>
    <row r="1263" spans="1:25" ht="12.75">
      <c r="A1263" s="1497">
        <v>4270</v>
      </c>
      <c r="B1263" s="1513" t="s">
        <v>1109</v>
      </c>
      <c r="C1263" s="1457">
        <v>100000</v>
      </c>
      <c r="D1263" s="1457">
        <f t="shared" si="374"/>
        <v>100000</v>
      </c>
      <c r="E1263" s="1514">
        <v>100000</v>
      </c>
      <c r="F1263" s="1457">
        <f t="shared" si="372"/>
        <v>0</v>
      </c>
      <c r="G1263" s="1499">
        <f t="shared" si="368"/>
        <v>0</v>
      </c>
      <c r="H1263" s="1499">
        <f t="shared" si="369"/>
        <v>0</v>
      </c>
      <c r="I1263" s="1450"/>
      <c r="J1263" s="1461">
        <v>100000</v>
      </c>
      <c r="K1263" s="1457"/>
      <c r="L1263" s="1457"/>
      <c r="M1263" s="1457"/>
      <c r="N1263" s="1457"/>
      <c r="O1263" s="1457"/>
      <c r="P1263" s="1462">
        <f t="shared" si="375"/>
        <v>0</v>
      </c>
      <c r="Q1263" s="1495"/>
      <c r="R1263" s="1461"/>
      <c r="S1263" s="1457"/>
      <c r="T1263" s="1457"/>
      <c r="U1263" s="1457"/>
      <c r="V1263" s="1457"/>
      <c r="W1263" s="1462"/>
      <c r="X1263" s="1496"/>
      <c r="Y1263" s="1444"/>
    </row>
    <row r="1264" spans="1:25" ht="24">
      <c r="A1264" s="1497">
        <v>4270</v>
      </c>
      <c r="B1264" s="1513" t="s">
        <v>1110</v>
      </c>
      <c r="C1264" s="1457">
        <v>189700</v>
      </c>
      <c r="D1264" s="1457">
        <f t="shared" si="374"/>
        <v>310600</v>
      </c>
      <c r="E1264" s="1458">
        <v>193500</v>
      </c>
      <c r="F1264" s="1459">
        <f t="shared" si="372"/>
        <v>193500</v>
      </c>
      <c r="G1264" s="1499">
        <f t="shared" si="368"/>
        <v>102.00316288877174</v>
      </c>
      <c r="H1264" s="1499">
        <f t="shared" si="369"/>
        <v>62.29877656149389</v>
      </c>
      <c r="I1264" s="1450"/>
      <c r="J1264" s="1461">
        <f>307600+3000</f>
        <v>310600</v>
      </c>
      <c r="K1264" s="1457"/>
      <c r="L1264" s="1457"/>
      <c r="M1264" s="1457"/>
      <c r="N1264" s="1457">
        <v>193500</v>
      </c>
      <c r="O1264" s="1457"/>
      <c r="P1264" s="1462">
        <f t="shared" si="375"/>
        <v>193500</v>
      </c>
      <c r="Q1264" s="1495"/>
      <c r="R1264" s="1461"/>
      <c r="S1264" s="1457"/>
      <c r="T1264" s="1457"/>
      <c r="U1264" s="1457"/>
      <c r="V1264" s="1457"/>
      <c r="W1264" s="1462"/>
      <c r="X1264" s="1496"/>
      <c r="Y1264" s="1444"/>
    </row>
    <row r="1265" spans="1:25" ht="12.75">
      <c r="A1265" s="1497">
        <v>4300</v>
      </c>
      <c r="B1265" s="1513" t="s">
        <v>564</v>
      </c>
      <c r="C1265" s="1457">
        <f>SUM(C1266:C1272)</f>
        <v>138000</v>
      </c>
      <c r="D1265" s="1457">
        <f t="shared" si="374"/>
        <v>167990</v>
      </c>
      <c r="E1265" s="1458">
        <f>SUM(E1266:E1272)</f>
        <v>391000</v>
      </c>
      <c r="F1265" s="1459">
        <f t="shared" si="372"/>
        <v>187000</v>
      </c>
      <c r="G1265" s="1499">
        <f t="shared" si="368"/>
        <v>135.5072463768116</v>
      </c>
      <c r="H1265" s="1499">
        <f t="shared" si="369"/>
        <v>111.31614977081969</v>
      </c>
      <c r="I1265" s="1450"/>
      <c r="J1265" s="1461">
        <f>SUM(J1266:J1271)</f>
        <v>167990</v>
      </c>
      <c r="K1265" s="1457">
        <f>SUM(K1266:K1270)</f>
        <v>187000</v>
      </c>
      <c r="L1265" s="1457">
        <f>SUM(L1266:L1272)</f>
        <v>0</v>
      </c>
      <c r="M1265" s="1457">
        <f>SUM(M1266:M1272)</f>
        <v>0</v>
      </c>
      <c r="N1265" s="1457">
        <f>SUM(N1266:N1272)</f>
        <v>0</v>
      </c>
      <c r="O1265" s="1457"/>
      <c r="P1265" s="1462">
        <f>SUM(K1265:N1265)</f>
        <v>187000</v>
      </c>
      <c r="Q1265" s="1495">
        <f t="shared" si="367"/>
        <v>111.31614977081969</v>
      </c>
      <c r="R1265" s="1461"/>
      <c r="S1265" s="1457"/>
      <c r="T1265" s="1457"/>
      <c r="U1265" s="1457"/>
      <c r="V1265" s="1457"/>
      <c r="W1265" s="1462"/>
      <c r="X1265" s="1496"/>
      <c r="Y1265" s="1444"/>
    </row>
    <row r="1266" spans="1:25" s="618" customFormat="1" ht="24">
      <c r="A1266" s="1521"/>
      <c r="B1266" s="1522" t="s">
        <v>1111</v>
      </c>
      <c r="C1266" s="1523">
        <v>50000</v>
      </c>
      <c r="D1266" s="1523">
        <f t="shared" si="374"/>
        <v>80000</v>
      </c>
      <c r="E1266" s="1543">
        <v>296000</v>
      </c>
      <c r="F1266" s="1544">
        <f t="shared" si="372"/>
        <v>95000</v>
      </c>
      <c r="G1266" s="1538">
        <f>F1266/C1266*100</f>
        <v>190</v>
      </c>
      <c r="H1266" s="1538">
        <f t="shared" si="369"/>
        <v>118.75</v>
      </c>
      <c r="I1266" s="1530"/>
      <c r="J1266" s="1526">
        <v>80000</v>
      </c>
      <c r="K1266" s="1523">
        <f>80000+20000</f>
        <v>100000</v>
      </c>
      <c r="L1266" s="1523"/>
      <c r="M1266" s="1523"/>
      <c r="N1266" s="1523"/>
      <c r="O1266" s="1523"/>
      <c r="P1266" s="1527">
        <f>SUM(K1266:N1266)-5000</f>
        <v>95000</v>
      </c>
      <c r="Q1266" s="1528">
        <f t="shared" si="367"/>
        <v>118.75</v>
      </c>
      <c r="R1266" s="1526"/>
      <c r="S1266" s="1523"/>
      <c r="T1266" s="1523"/>
      <c r="U1266" s="1523"/>
      <c r="V1266" s="1523"/>
      <c r="W1266" s="1527"/>
      <c r="X1266" s="1529"/>
      <c r="Y1266" s="1444"/>
    </row>
    <row r="1267" spans="1:25" s="618" customFormat="1" ht="12.75">
      <c r="A1267" s="1725"/>
      <c r="B1267" s="1522" t="s">
        <v>1112</v>
      </c>
      <c r="C1267" s="1523">
        <v>10000</v>
      </c>
      <c r="D1267" s="1523">
        <f t="shared" si="374"/>
        <v>10000</v>
      </c>
      <c r="E1267" s="1543">
        <v>10000</v>
      </c>
      <c r="F1267" s="1544">
        <f t="shared" si="372"/>
        <v>10000</v>
      </c>
      <c r="G1267" s="1538">
        <f t="shared" si="368"/>
        <v>100</v>
      </c>
      <c r="H1267" s="1538">
        <f t="shared" si="369"/>
        <v>100</v>
      </c>
      <c r="I1267" s="1530"/>
      <c r="J1267" s="1526">
        <v>10000</v>
      </c>
      <c r="K1267" s="1523">
        <v>10000</v>
      </c>
      <c r="L1267" s="1523"/>
      <c r="M1267" s="1523"/>
      <c r="N1267" s="1523"/>
      <c r="O1267" s="1523"/>
      <c r="P1267" s="1527">
        <f t="shared" si="375"/>
        <v>10000</v>
      </c>
      <c r="Q1267" s="1528">
        <f t="shared" si="367"/>
        <v>100</v>
      </c>
      <c r="R1267" s="1526"/>
      <c r="S1267" s="1523"/>
      <c r="T1267" s="1523"/>
      <c r="U1267" s="1523"/>
      <c r="V1267" s="1523"/>
      <c r="W1267" s="1527"/>
      <c r="X1267" s="1529"/>
      <c r="Y1267" s="1444"/>
    </row>
    <row r="1268" spans="1:25" s="618" customFormat="1" ht="24">
      <c r="A1268" s="1725"/>
      <c r="B1268" s="1522" t="s">
        <v>1113</v>
      </c>
      <c r="C1268" s="1523">
        <v>25000</v>
      </c>
      <c r="D1268" s="1523">
        <f t="shared" si="374"/>
        <v>25000</v>
      </c>
      <c r="E1268" s="1543">
        <v>25000</v>
      </c>
      <c r="F1268" s="1544">
        <f t="shared" si="372"/>
        <v>25000</v>
      </c>
      <c r="G1268" s="1538">
        <f t="shared" si="368"/>
        <v>100</v>
      </c>
      <c r="H1268" s="1538">
        <f t="shared" si="369"/>
        <v>100</v>
      </c>
      <c r="I1268" s="1530"/>
      <c r="J1268" s="1526">
        <v>25000</v>
      </c>
      <c r="K1268" s="1523">
        <v>25000</v>
      </c>
      <c r="L1268" s="1523"/>
      <c r="M1268" s="1523"/>
      <c r="N1268" s="1523"/>
      <c r="O1268" s="1523"/>
      <c r="P1268" s="1527">
        <f t="shared" si="375"/>
        <v>25000</v>
      </c>
      <c r="Q1268" s="1528">
        <f t="shared" si="367"/>
        <v>100</v>
      </c>
      <c r="R1268" s="1526"/>
      <c r="S1268" s="1523"/>
      <c r="T1268" s="1523"/>
      <c r="U1268" s="1523"/>
      <c r="V1268" s="1523"/>
      <c r="W1268" s="1527"/>
      <c r="X1268" s="1529"/>
      <c r="Y1268" s="1444"/>
    </row>
    <row r="1269" spans="1:25" s="618" customFormat="1" ht="12.75">
      <c r="A1269" s="1521"/>
      <c r="B1269" s="1522" t="s">
        <v>1114</v>
      </c>
      <c r="C1269" s="1523">
        <v>52000</v>
      </c>
      <c r="D1269" s="1523">
        <f t="shared" si="374"/>
        <v>51990</v>
      </c>
      <c r="E1269" s="1543">
        <v>55000</v>
      </c>
      <c r="F1269" s="1544">
        <f t="shared" si="372"/>
        <v>52000</v>
      </c>
      <c r="G1269" s="1538">
        <f t="shared" si="368"/>
        <v>100</v>
      </c>
      <c r="H1269" s="1538">
        <f t="shared" si="369"/>
        <v>100.01923446816696</v>
      </c>
      <c r="I1269" s="1530"/>
      <c r="J1269" s="1526">
        <v>51990</v>
      </c>
      <c r="K1269" s="1523">
        <f>55000-3000</f>
        <v>52000</v>
      </c>
      <c r="L1269" s="1523"/>
      <c r="M1269" s="1523"/>
      <c r="N1269" s="1523"/>
      <c r="O1269" s="1523"/>
      <c r="P1269" s="1527">
        <f t="shared" si="375"/>
        <v>52000</v>
      </c>
      <c r="Q1269" s="1528">
        <f t="shared" si="367"/>
        <v>100.01923446816696</v>
      </c>
      <c r="R1269" s="1526"/>
      <c r="S1269" s="1523"/>
      <c r="T1269" s="1523"/>
      <c r="U1269" s="1523"/>
      <c r="V1269" s="1523"/>
      <c r="W1269" s="1527"/>
      <c r="X1269" s="1529"/>
      <c r="Y1269" s="1444"/>
    </row>
    <row r="1270" spans="1:25" s="618" customFormat="1" ht="12.75">
      <c r="A1270" s="1521"/>
      <c r="B1270" s="1522" t="s">
        <v>1115</v>
      </c>
      <c r="C1270" s="1523">
        <v>1000</v>
      </c>
      <c r="D1270" s="1523">
        <f t="shared" si="374"/>
        <v>1000</v>
      </c>
      <c r="E1270" s="1524"/>
      <c r="F1270" s="1523">
        <f t="shared" si="372"/>
        <v>0</v>
      </c>
      <c r="G1270" s="1538">
        <f t="shared" si="368"/>
        <v>0</v>
      </c>
      <c r="H1270" s="1538">
        <f t="shared" si="369"/>
        <v>0</v>
      </c>
      <c r="I1270" s="1530"/>
      <c r="J1270" s="1526">
        <v>1000</v>
      </c>
      <c r="K1270" s="1523"/>
      <c r="L1270" s="1523"/>
      <c r="M1270" s="1523"/>
      <c r="N1270" s="1523"/>
      <c r="O1270" s="1523"/>
      <c r="P1270" s="1527">
        <f t="shared" si="375"/>
        <v>0</v>
      </c>
      <c r="Q1270" s="1528">
        <f t="shared" si="367"/>
        <v>0</v>
      </c>
      <c r="R1270" s="1526"/>
      <c r="S1270" s="1523"/>
      <c r="T1270" s="1523"/>
      <c r="U1270" s="1523"/>
      <c r="V1270" s="1523"/>
      <c r="W1270" s="1527"/>
      <c r="X1270" s="1529"/>
      <c r="Y1270" s="1444"/>
    </row>
    <row r="1271" spans="1:25" ht="24">
      <c r="A1271" s="1497"/>
      <c r="B1271" s="1513" t="s">
        <v>1116</v>
      </c>
      <c r="C1271" s="1457"/>
      <c r="D1271" s="1523">
        <f t="shared" si="374"/>
        <v>0</v>
      </c>
      <c r="E1271" s="1514">
        <v>5000</v>
      </c>
      <c r="F1271" s="1457">
        <f t="shared" si="372"/>
        <v>5000</v>
      </c>
      <c r="G1271" s="1538"/>
      <c r="H1271" s="1538"/>
      <c r="I1271" s="1450"/>
      <c r="J1271" s="1461"/>
      <c r="K1271" s="1457">
        <v>5000</v>
      </c>
      <c r="L1271" s="1457"/>
      <c r="M1271" s="1457"/>
      <c r="N1271" s="1457"/>
      <c r="O1271" s="1457"/>
      <c r="P1271" s="1462">
        <f t="shared" si="375"/>
        <v>5000</v>
      </c>
      <c r="Q1271" s="1495"/>
      <c r="R1271" s="1461"/>
      <c r="S1271" s="1457"/>
      <c r="T1271" s="1457"/>
      <c r="U1271" s="1457"/>
      <c r="V1271" s="1457"/>
      <c r="W1271" s="1462"/>
      <c r="X1271" s="1496"/>
      <c r="Y1271" s="1444"/>
    </row>
    <row r="1272" spans="1:25" ht="12.75" hidden="1">
      <c r="A1272" s="1497"/>
      <c r="B1272" s="1513" t="s">
        <v>1117</v>
      </c>
      <c r="C1272" s="1457"/>
      <c r="D1272" s="1457">
        <f t="shared" si="374"/>
        <v>0</v>
      </c>
      <c r="E1272" s="1514"/>
      <c r="F1272" s="1457">
        <f t="shared" si="372"/>
        <v>0</v>
      </c>
      <c r="G1272" s="1499" t="e">
        <f t="shared" si="368"/>
        <v>#DIV/0!</v>
      </c>
      <c r="H1272" s="1499" t="e">
        <f t="shared" si="369"/>
        <v>#DIV/0!</v>
      </c>
      <c r="I1272" s="1450"/>
      <c r="J1272" s="1461"/>
      <c r="K1272" s="1457"/>
      <c r="L1272" s="1457"/>
      <c r="M1272" s="1457"/>
      <c r="N1272" s="1457"/>
      <c r="O1272" s="1457"/>
      <c r="P1272" s="1462">
        <f t="shared" si="375"/>
        <v>0</v>
      </c>
      <c r="Q1272" s="1495" t="e">
        <f t="shared" si="367"/>
        <v>#DIV/0!</v>
      </c>
      <c r="R1272" s="1461"/>
      <c r="S1272" s="1457"/>
      <c r="T1272" s="1457"/>
      <c r="U1272" s="1457"/>
      <c r="V1272" s="1457"/>
      <c r="W1272" s="1462"/>
      <c r="X1272" s="1496"/>
      <c r="Y1272" s="1444"/>
    </row>
    <row r="1273" spans="1:25" ht="27" customHeight="1">
      <c r="A1273" s="1680">
        <v>6050</v>
      </c>
      <c r="B1273" s="1513" t="s">
        <v>658</v>
      </c>
      <c r="C1273" s="1457">
        <f>SUM(C1275:C1284)</f>
        <v>400000</v>
      </c>
      <c r="D1273" s="1457">
        <f>SUM(D1275:D1284)</f>
        <v>922000</v>
      </c>
      <c r="E1273" s="1549">
        <f>SUM(E1275:E1284)</f>
        <v>1130000</v>
      </c>
      <c r="F1273" s="1457">
        <f>SUM(F1275:F1284)</f>
        <v>1380000</v>
      </c>
      <c r="G1273" s="1499">
        <f t="shared" si="368"/>
        <v>345</v>
      </c>
      <c r="H1273" s="1499">
        <f t="shared" si="369"/>
        <v>149.67462039045554</v>
      </c>
      <c r="I1273" s="1450"/>
      <c r="J1273" s="1461">
        <f>SUM(J1275:J1284)</f>
        <v>922000</v>
      </c>
      <c r="K1273" s="1457">
        <f>SUM(K1274:K1279)</f>
        <v>0</v>
      </c>
      <c r="L1273" s="1457">
        <f>SUM(L1275:L1284)</f>
        <v>1380000</v>
      </c>
      <c r="M1273" s="1457">
        <f>SUM(M1274:M1279)</f>
        <v>0</v>
      </c>
      <c r="N1273" s="1457">
        <f>SUM(N1274:N1279)</f>
        <v>0</v>
      </c>
      <c r="O1273" s="1457"/>
      <c r="P1273" s="1462">
        <f t="shared" si="375"/>
        <v>1380000</v>
      </c>
      <c r="Q1273" s="1495">
        <f t="shared" si="367"/>
        <v>149.67462039045554</v>
      </c>
      <c r="R1273" s="1461"/>
      <c r="S1273" s="1457"/>
      <c r="T1273" s="1457"/>
      <c r="U1273" s="1457"/>
      <c r="V1273" s="1457"/>
      <c r="W1273" s="1462"/>
      <c r="X1273" s="1496"/>
      <c r="Y1273" s="1444"/>
    </row>
    <row r="1274" spans="1:25" ht="36" hidden="1">
      <c r="A1274" s="1680"/>
      <c r="B1274" s="1546" t="s">
        <v>1118</v>
      </c>
      <c r="C1274" s="1457"/>
      <c r="D1274" s="1457">
        <f t="shared" si="374"/>
        <v>0</v>
      </c>
      <c r="E1274" s="1514"/>
      <c r="F1274" s="1457">
        <f t="shared" si="372"/>
        <v>0</v>
      </c>
      <c r="G1274" s="1531" t="e">
        <f t="shared" si="368"/>
        <v>#DIV/0!</v>
      </c>
      <c r="H1274" s="1532" t="e">
        <f t="shared" si="369"/>
        <v>#DIV/0!</v>
      </c>
      <c r="I1274" s="1450"/>
      <c r="J1274" s="1461">
        <v>0</v>
      </c>
      <c r="K1274" s="1457"/>
      <c r="L1274" s="1457">
        <v>0</v>
      </c>
      <c r="M1274" s="1457"/>
      <c r="N1274" s="1457"/>
      <c r="O1274" s="1457"/>
      <c r="P1274" s="1462">
        <f t="shared" si="375"/>
        <v>0</v>
      </c>
      <c r="Q1274" s="1495" t="e">
        <f t="shared" si="367"/>
        <v>#DIV/0!</v>
      </c>
      <c r="R1274" s="1461"/>
      <c r="S1274" s="1457"/>
      <c r="T1274" s="1457"/>
      <c r="U1274" s="1457"/>
      <c r="V1274" s="1457"/>
      <c r="W1274" s="1462"/>
      <c r="X1274" s="1496"/>
      <c r="Y1274" s="1444"/>
    </row>
    <row r="1275" spans="1:25" s="618" customFormat="1" ht="24.75" customHeight="1">
      <c r="A1275" s="1681"/>
      <c r="B1275" s="1542" t="s">
        <v>1119</v>
      </c>
      <c r="C1275" s="1523">
        <v>50000</v>
      </c>
      <c r="D1275" s="1523">
        <f t="shared" si="374"/>
        <v>260000</v>
      </c>
      <c r="E1275" s="1524">
        <v>250000</v>
      </c>
      <c r="F1275" s="1523">
        <f t="shared" si="372"/>
        <v>100000</v>
      </c>
      <c r="G1275" s="1538">
        <f t="shared" si="368"/>
        <v>200</v>
      </c>
      <c r="H1275" s="1538">
        <f t="shared" si="369"/>
        <v>38.46153846153847</v>
      </c>
      <c r="I1275" s="1530"/>
      <c r="J1275" s="1526">
        <v>260000</v>
      </c>
      <c r="K1275" s="1523"/>
      <c r="L1275" s="1523">
        <v>100000</v>
      </c>
      <c r="M1275" s="1523"/>
      <c r="N1275" s="1523"/>
      <c r="O1275" s="1523"/>
      <c r="P1275" s="1527">
        <f t="shared" si="375"/>
        <v>100000</v>
      </c>
      <c r="Q1275" s="1528">
        <f t="shared" si="367"/>
        <v>38.46153846153847</v>
      </c>
      <c r="R1275" s="1526"/>
      <c r="S1275" s="1523"/>
      <c r="T1275" s="1523"/>
      <c r="U1275" s="1523"/>
      <c r="V1275" s="1523"/>
      <c r="W1275" s="1527"/>
      <c r="X1275" s="1529"/>
      <c r="Y1275" s="1444"/>
    </row>
    <row r="1276" spans="1:25" s="618" customFormat="1" ht="12.75">
      <c r="A1276" s="1681"/>
      <c r="B1276" s="1542" t="s">
        <v>1120</v>
      </c>
      <c r="C1276" s="1523"/>
      <c r="D1276" s="1523">
        <f t="shared" si="374"/>
        <v>3400</v>
      </c>
      <c r="E1276" s="1543"/>
      <c r="F1276" s="1544">
        <f t="shared" si="372"/>
        <v>0</v>
      </c>
      <c r="G1276" s="1538"/>
      <c r="H1276" s="1538">
        <f t="shared" si="369"/>
        <v>0</v>
      </c>
      <c r="I1276" s="1530"/>
      <c r="J1276" s="1526">
        <v>3400</v>
      </c>
      <c r="K1276" s="1523"/>
      <c r="L1276" s="1523"/>
      <c r="M1276" s="1523"/>
      <c r="N1276" s="1523"/>
      <c r="O1276" s="1523"/>
      <c r="P1276" s="1527">
        <f t="shared" si="375"/>
        <v>0</v>
      </c>
      <c r="Q1276" s="1528">
        <f t="shared" si="367"/>
        <v>0</v>
      </c>
      <c r="R1276" s="1526"/>
      <c r="S1276" s="1523"/>
      <c r="T1276" s="1523"/>
      <c r="U1276" s="1523"/>
      <c r="V1276" s="1523"/>
      <c r="W1276" s="1527"/>
      <c r="X1276" s="1529"/>
      <c r="Y1276" s="1444"/>
    </row>
    <row r="1277" spans="1:25" s="618" customFormat="1" ht="24">
      <c r="A1277" s="1681"/>
      <c r="B1277" s="1542" t="s">
        <v>1121</v>
      </c>
      <c r="C1277" s="1523">
        <v>300000</v>
      </c>
      <c r="D1277" s="1523">
        <f t="shared" si="374"/>
        <v>300000</v>
      </c>
      <c r="E1277" s="1543">
        <v>300000</v>
      </c>
      <c r="F1277" s="1544">
        <f t="shared" si="372"/>
        <v>150000</v>
      </c>
      <c r="G1277" s="1538">
        <f t="shared" si="368"/>
        <v>50</v>
      </c>
      <c r="H1277" s="1538">
        <f t="shared" si="369"/>
        <v>50</v>
      </c>
      <c r="I1277" s="1530"/>
      <c r="J1277" s="1526">
        <v>300000</v>
      </c>
      <c r="K1277" s="1523"/>
      <c r="L1277" s="1523">
        <v>150000</v>
      </c>
      <c r="M1277" s="1523"/>
      <c r="N1277" s="1523"/>
      <c r="O1277" s="1523"/>
      <c r="P1277" s="1527">
        <f t="shared" si="375"/>
        <v>150000</v>
      </c>
      <c r="Q1277" s="1528">
        <f t="shared" si="367"/>
        <v>50</v>
      </c>
      <c r="R1277" s="1526"/>
      <c r="S1277" s="1523"/>
      <c r="T1277" s="1523"/>
      <c r="U1277" s="1523"/>
      <c r="V1277" s="1523"/>
      <c r="W1277" s="1527"/>
      <c r="X1277" s="1529"/>
      <c r="Y1277" s="1444"/>
    </row>
    <row r="1278" spans="1:25" s="618" customFormat="1" ht="12.75">
      <c r="A1278" s="1681"/>
      <c r="B1278" s="1542" t="s">
        <v>1122</v>
      </c>
      <c r="C1278" s="1523"/>
      <c r="D1278" s="1523">
        <f t="shared" si="374"/>
        <v>8800</v>
      </c>
      <c r="E1278" s="1543"/>
      <c r="F1278" s="1544">
        <f t="shared" si="372"/>
        <v>0</v>
      </c>
      <c r="G1278" s="1538"/>
      <c r="H1278" s="1538">
        <f t="shared" si="369"/>
        <v>0</v>
      </c>
      <c r="I1278" s="1530"/>
      <c r="J1278" s="1526">
        <v>8800</v>
      </c>
      <c r="K1278" s="1523"/>
      <c r="L1278" s="1523">
        <v>0</v>
      </c>
      <c r="M1278" s="1523"/>
      <c r="N1278" s="1523"/>
      <c r="O1278" s="1523"/>
      <c r="P1278" s="1527">
        <f t="shared" si="375"/>
        <v>0</v>
      </c>
      <c r="Q1278" s="1528">
        <f t="shared" si="367"/>
        <v>0</v>
      </c>
      <c r="R1278" s="1526"/>
      <c r="S1278" s="1523"/>
      <c r="T1278" s="1523"/>
      <c r="U1278" s="1523"/>
      <c r="V1278" s="1523"/>
      <c r="W1278" s="1527"/>
      <c r="X1278" s="1529"/>
      <c r="Y1278" s="1444"/>
    </row>
    <row r="1279" spans="1:25" s="618" customFormat="1" ht="17.25" customHeight="1">
      <c r="A1279" s="1681"/>
      <c r="B1279" s="1542" t="s">
        <v>1123</v>
      </c>
      <c r="C1279" s="1523">
        <v>50000</v>
      </c>
      <c r="D1279" s="1523">
        <f t="shared" si="374"/>
        <v>47800</v>
      </c>
      <c r="E1279" s="1543">
        <v>50000</v>
      </c>
      <c r="F1279" s="1544">
        <f t="shared" si="372"/>
        <v>100000</v>
      </c>
      <c r="G1279" s="1538">
        <f t="shared" si="368"/>
        <v>200</v>
      </c>
      <c r="H1279" s="1538">
        <f t="shared" si="369"/>
        <v>209.20502092050208</v>
      </c>
      <c r="I1279" s="1530"/>
      <c r="J1279" s="1526">
        <f>50000-2200</f>
        <v>47800</v>
      </c>
      <c r="K1279" s="1523"/>
      <c r="L1279" s="1523">
        <v>100000</v>
      </c>
      <c r="M1279" s="1523"/>
      <c r="N1279" s="1523"/>
      <c r="O1279" s="1523"/>
      <c r="P1279" s="1527">
        <f t="shared" si="375"/>
        <v>100000</v>
      </c>
      <c r="Q1279" s="1528">
        <f t="shared" si="367"/>
        <v>209.20502092050208</v>
      </c>
      <c r="R1279" s="1526"/>
      <c r="S1279" s="1523"/>
      <c r="T1279" s="1523"/>
      <c r="U1279" s="1523"/>
      <c r="V1279" s="1523"/>
      <c r="W1279" s="1527"/>
      <c r="X1279" s="1529"/>
      <c r="Y1279" s="1444"/>
    </row>
    <row r="1280" spans="1:25" s="618" customFormat="1" ht="24">
      <c r="A1280" s="1681"/>
      <c r="B1280" s="1542" t="s">
        <v>1124</v>
      </c>
      <c r="C1280" s="1523"/>
      <c r="D1280" s="1523">
        <f t="shared" si="374"/>
        <v>100000</v>
      </c>
      <c r="E1280" s="1543"/>
      <c r="F1280" s="1544">
        <f t="shared" si="372"/>
        <v>0</v>
      </c>
      <c r="G1280" s="1538"/>
      <c r="H1280" s="1538">
        <f t="shared" si="369"/>
        <v>0</v>
      </c>
      <c r="I1280" s="1530"/>
      <c r="J1280" s="1526">
        <v>100000</v>
      </c>
      <c r="K1280" s="1523"/>
      <c r="L1280" s="1523"/>
      <c r="M1280" s="1523"/>
      <c r="N1280" s="1523"/>
      <c r="O1280" s="1523"/>
      <c r="P1280" s="1527">
        <f t="shared" si="375"/>
        <v>0</v>
      </c>
      <c r="Q1280" s="1528"/>
      <c r="R1280" s="1526"/>
      <c r="S1280" s="1523"/>
      <c r="T1280" s="1523"/>
      <c r="U1280" s="1523"/>
      <c r="V1280" s="1523"/>
      <c r="W1280" s="1527"/>
      <c r="X1280" s="1529"/>
      <c r="Y1280" s="1444"/>
    </row>
    <row r="1281" spans="1:25" s="618" customFormat="1" ht="12.75">
      <c r="A1281" s="1681"/>
      <c r="B1281" s="1542" t="s">
        <v>1125</v>
      </c>
      <c r="C1281" s="1523"/>
      <c r="D1281" s="1523">
        <f t="shared" si="374"/>
        <v>2000</v>
      </c>
      <c r="E1281" s="1543"/>
      <c r="F1281" s="1544">
        <f t="shared" si="372"/>
        <v>0</v>
      </c>
      <c r="G1281" s="1538"/>
      <c r="H1281" s="1538">
        <f t="shared" si="369"/>
        <v>0</v>
      </c>
      <c r="I1281" s="1530"/>
      <c r="J1281" s="1526">
        <v>2000</v>
      </c>
      <c r="K1281" s="1523"/>
      <c r="L1281" s="1523"/>
      <c r="M1281" s="1523"/>
      <c r="N1281" s="1523"/>
      <c r="O1281" s="1523"/>
      <c r="P1281" s="1527">
        <f t="shared" si="375"/>
        <v>0</v>
      </c>
      <c r="Q1281" s="1528"/>
      <c r="R1281" s="1526"/>
      <c r="S1281" s="1523"/>
      <c r="T1281" s="1523"/>
      <c r="U1281" s="1523"/>
      <c r="V1281" s="1523"/>
      <c r="W1281" s="1527"/>
      <c r="X1281" s="1529"/>
      <c r="Y1281" s="1444"/>
    </row>
    <row r="1282" spans="1:25" s="618" customFormat="1" ht="12.75">
      <c r="A1282" s="1681"/>
      <c r="B1282" s="1542" t="s">
        <v>1126</v>
      </c>
      <c r="C1282" s="1523"/>
      <c r="D1282" s="1523"/>
      <c r="E1282" s="1543">
        <v>300000</v>
      </c>
      <c r="F1282" s="1544">
        <f t="shared" si="372"/>
        <v>200000</v>
      </c>
      <c r="G1282" s="1538"/>
      <c r="H1282" s="1538"/>
      <c r="I1282" s="1530"/>
      <c r="J1282" s="1526"/>
      <c r="K1282" s="1523"/>
      <c r="L1282" s="1523">
        <v>200000</v>
      </c>
      <c r="M1282" s="1523"/>
      <c r="N1282" s="1523"/>
      <c r="O1282" s="1523"/>
      <c r="P1282" s="1527">
        <f t="shared" si="375"/>
        <v>200000</v>
      </c>
      <c r="Q1282" s="1528"/>
      <c r="R1282" s="1526"/>
      <c r="S1282" s="1523"/>
      <c r="T1282" s="1523"/>
      <c r="U1282" s="1523"/>
      <c r="V1282" s="1523"/>
      <c r="W1282" s="1527"/>
      <c r="X1282" s="1529"/>
      <c r="Y1282" s="1444"/>
    </row>
    <row r="1283" spans="1:25" s="618" customFormat="1" ht="12.75">
      <c r="A1283" s="1681"/>
      <c r="B1283" s="1542" t="s">
        <v>1127</v>
      </c>
      <c r="C1283" s="1523"/>
      <c r="D1283" s="1523"/>
      <c r="E1283" s="1543"/>
      <c r="F1283" s="1544">
        <f t="shared" si="372"/>
        <v>600000</v>
      </c>
      <c r="G1283" s="1538"/>
      <c r="H1283" s="1538"/>
      <c r="I1283" s="1530"/>
      <c r="J1283" s="1526"/>
      <c r="K1283" s="1523"/>
      <c r="L1283" s="1523">
        <v>600000</v>
      </c>
      <c r="M1283" s="1523"/>
      <c r="N1283" s="1523"/>
      <c r="O1283" s="1523"/>
      <c r="P1283" s="1527">
        <f t="shared" si="375"/>
        <v>600000</v>
      </c>
      <c r="Q1283" s="1528"/>
      <c r="R1283" s="1526"/>
      <c r="S1283" s="1523"/>
      <c r="T1283" s="1523"/>
      <c r="U1283" s="1523"/>
      <c r="V1283" s="1523"/>
      <c r="W1283" s="1527"/>
      <c r="X1283" s="1529"/>
      <c r="Y1283" s="1444"/>
    </row>
    <row r="1284" spans="1:25" s="618" customFormat="1" ht="12.75">
      <c r="A1284" s="1681"/>
      <c r="B1284" s="1542" t="s">
        <v>253</v>
      </c>
      <c r="C1284" s="1523"/>
      <c r="D1284" s="1523">
        <f t="shared" si="374"/>
        <v>200000</v>
      </c>
      <c r="E1284" s="1524">
        <v>230000</v>
      </c>
      <c r="F1284" s="1523">
        <f t="shared" si="372"/>
        <v>230000</v>
      </c>
      <c r="G1284" s="1538"/>
      <c r="H1284" s="1538">
        <f t="shared" si="369"/>
        <v>114.99999999999999</v>
      </c>
      <c r="I1284" s="1530"/>
      <c r="J1284" s="1526">
        <v>200000</v>
      </c>
      <c r="K1284" s="1523"/>
      <c r="L1284" s="1523">
        <v>230000</v>
      </c>
      <c r="M1284" s="1523"/>
      <c r="N1284" s="1523"/>
      <c r="O1284" s="1523"/>
      <c r="P1284" s="1527">
        <f t="shared" si="375"/>
        <v>230000</v>
      </c>
      <c r="Q1284" s="1528"/>
      <c r="R1284" s="1526"/>
      <c r="S1284" s="1523"/>
      <c r="T1284" s="1523"/>
      <c r="U1284" s="1523"/>
      <c r="V1284" s="1523"/>
      <c r="W1284" s="1527"/>
      <c r="X1284" s="1529"/>
      <c r="Y1284" s="1444"/>
    </row>
    <row r="1285" spans="1:25" ht="72">
      <c r="A1285" s="1497">
        <v>6230</v>
      </c>
      <c r="B1285" s="1513" t="s">
        <v>1128</v>
      </c>
      <c r="C1285" s="1457">
        <v>200000</v>
      </c>
      <c r="D1285" s="1457">
        <f t="shared" si="374"/>
        <v>0</v>
      </c>
      <c r="E1285" s="1549"/>
      <c r="F1285" s="1457">
        <f t="shared" si="372"/>
        <v>0</v>
      </c>
      <c r="G1285" s="1499">
        <f t="shared" si="368"/>
        <v>0</v>
      </c>
      <c r="H1285" s="1499"/>
      <c r="I1285" s="1460"/>
      <c r="J1285" s="1461"/>
      <c r="K1285" s="1457"/>
      <c r="L1285" s="1457"/>
      <c r="M1285" s="1457"/>
      <c r="N1285" s="1457"/>
      <c r="O1285" s="1457"/>
      <c r="P1285" s="1462"/>
      <c r="Q1285" s="1463" t="e">
        <f t="shared" si="367"/>
        <v>#DIV/0!</v>
      </c>
      <c r="R1285" s="1461"/>
      <c r="S1285" s="1457"/>
      <c r="T1285" s="1457"/>
      <c r="U1285" s="1457"/>
      <c r="V1285" s="1457"/>
      <c r="W1285" s="1462"/>
      <c r="X1285" s="1496"/>
      <c r="Y1285" s="1444"/>
    </row>
    <row r="1286" spans="1:25" ht="13.5" hidden="1" thickBot="1">
      <c r="A1286" s="1497"/>
      <c r="B1286" s="1726" t="s">
        <v>1129</v>
      </c>
      <c r="C1286" s="1457"/>
      <c r="D1286" s="1457">
        <f t="shared" si="374"/>
        <v>0</v>
      </c>
      <c r="E1286" s="1549"/>
      <c r="F1286" s="1457">
        <f t="shared" si="372"/>
        <v>0</v>
      </c>
      <c r="G1286" s="1602" t="e">
        <f t="shared" si="368"/>
        <v>#DIV/0!</v>
      </c>
      <c r="H1286" s="1603" t="e">
        <f t="shared" si="369"/>
        <v>#DIV/0!</v>
      </c>
      <c r="I1286" s="1460"/>
      <c r="J1286" s="1461"/>
      <c r="K1286" s="1457"/>
      <c r="L1286" s="1457"/>
      <c r="M1286" s="1457"/>
      <c r="N1286" s="1457"/>
      <c r="O1286" s="1457"/>
      <c r="P1286" s="1462">
        <f t="shared" si="375"/>
        <v>0</v>
      </c>
      <c r="Q1286" s="1495" t="e">
        <f t="shared" si="367"/>
        <v>#DIV/0!</v>
      </c>
      <c r="R1286" s="1461"/>
      <c r="S1286" s="1457"/>
      <c r="T1286" s="1457"/>
      <c r="U1286" s="1457"/>
      <c r="V1286" s="1457"/>
      <c r="W1286" s="1462"/>
      <c r="X1286" s="1454" t="e">
        <f aca="true" t="shared" si="376" ref="X1286:X1295">W1286/R1286*100</f>
        <v>#DIV/0!</v>
      </c>
      <c r="Y1286" s="1444"/>
    </row>
    <row r="1287" spans="1:25" ht="14.25" hidden="1" thickBot="1" thickTop="1">
      <c r="A1287" s="1497"/>
      <c r="B1287" s="1726" t="s">
        <v>1130</v>
      </c>
      <c r="C1287" s="1457"/>
      <c r="D1287" s="1457">
        <f t="shared" si="374"/>
        <v>0</v>
      </c>
      <c r="E1287" s="1549"/>
      <c r="F1287" s="1457">
        <f t="shared" si="372"/>
        <v>0</v>
      </c>
      <c r="G1287" s="1437" t="e">
        <f t="shared" si="368"/>
        <v>#DIV/0!</v>
      </c>
      <c r="H1287" s="1438" t="e">
        <f t="shared" si="369"/>
        <v>#DIV/0!</v>
      </c>
      <c r="I1287" s="1460"/>
      <c r="J1287" s="1461"/>
      <c r="K1287" s="1457"/>
      <c r="L1287" s="1457"/>
      <c r="M1287" s="1457"/>
      <c r="N1287" s="1457"/>
      <c r="O1287" s="1457"/>
      <c r="P1287" s="1462">
        <f t="shared" si="375"/>
        <v>0</v>
      </c>
      <c r="Q1287" s="1495" t="e">
        <f t="shared" si="367"/>
        <v>#DIV/0!</v>
      </c>
      <c r="R1287" s="1461"/>
      <c r="S1287" s="1457"/>
      <c r="T1287" s="1457"/>
      <c r="U1287" s="1457"/>
      <c r="V1287" s="1457"/>
      <c r="W1287" s="1462"/>
      <c r="X1287" s="1454" t="e">
        <f t="shared" si="376"/>
        <v>#DIV/0!</v>
      </c>
      <c r="Y1287" s="1444"/>
    </row>
    <row r="1288" spans="1:25" ht="14.25" hidden="1" thickBot="1" thickTop="1">
      <c r="A1288" s="1497"/>
      <c r="B1288" s="1726" t="s">
        <v>1131</v>
      </c>
      <c r="C1288" s="1457"/>
      <c r="D1288" s="1457">
        <f t="shared" si="374"/>
        <v>0</v>
      </c>
      <c r="E1288" s="1549"/>
      <c r="F1288" s="1457">
        <f t="shared" si="372"/>
        <v>0</v>
      </c>
      <c r="G1288" s="1437" t="e">
        <f t="shared" si="368"/>
        <v>#DIV/0!</v>
      </c>
      <c r="H1288" s="1438" t="e">
        <f t="shared" si="369"/>
        <v>#DIV/0!</v>
      </c>
      <c r="I1288" s="1460"/>
      <c r="J1288" s="1461"/>
      <c r="K1288" s="1457"/>
      <c r="L1288" s="1457"/>
      <c r="M1288" s="1457"/>
      <c r="N1288" s="1457"/>
      <c r="O1288" s="1457"/>
      <c r="P1288" s="1462">
        <f t="shared" si="375"/>
        <v>0</v>
      </c>
      <c r="Q1288" s="1495" t="e">
        <f t="shared" si="367"/>
        <v>#DIV/0!</v>
      </c>
      <c r="R1288" s="1461"/>
      <c r="S1288" s="1457"/>
      <c r="T1288" s="1457"/>
      <c r="U1288" s="1457"/>
      <c r="V1288" s="1457"/>
      <c r="W1288" s="1462"/>
      <c r="X1288" s="1454" t="e">
        <f t="shared" si="376"/>
        <v>#DIV/0!</v>
      </c>
      <c r="Y1288" s="1444"/>
    </row>
    <row r="1289" spans="1:25" ht="14.25" hidden="1" thickBot="1" thickTop="1">
      <c r="A1289" s="1497"/>
      <c r="B1289" s="1726" t="s">
        <v>1132</v>
      </c>
      <c r="C1289" s="1457"/>
      <c r="D1289" s="1457">
        <f t="shared" si="374"/>
        <v>0</v>
      </c>
      <c r="E1289" s="1549"/>
      <c r="F1289" s="1457">
        <f t="shared" si="372"/>
        <v>0</v>
      </c>
      <c r="G1289" s="1437" t="e">
        <f t="shared" si="368"/>
        <v>#DIV/0!</v>
      </c>
      <c r="H1289" s="1438" t="e">
        <f t="shared" si="369"/>
        <v>#DIV/0!</v>
      </c>
      <c r="I1289" s="1460"/>
      <c r="J1289" s="1461"/>
      <c r="K1289" s="1457"/>
      <c r="L1289" s="1457"/>
      <c r="M1289" s="1457"/>
      <c r="N1289" s="1457"/>
      <c r="O1289" s="1457"/>
      <c r="P1289" s="1462">
        <f t="shared" si="375"/>
        <v>0</v>
      </c>
      <c r="Q1289" s="1495" t="e">
        <f t="shared" si="367"/>
        <v>#DIV/0!</v>
      </c>
      <c r="R1289" s="1461"/>
      <c r="S1289" s="1457"/>
      <c r="T1289" s="1457"/>
      <c r="U1289" s="1457"/>
      <c r="V1289" s="1457"/>
      <c r="W1289" s="1462"/>
      <c r="X1289" s="1454" t="e">
        <f t="shared" si="376"/>
        <v>#DIV/0!</v>
      </c>
      <c r="Y1289" s="1444"/>
    </row>
    <row r="1290" spans="1:25" ht="14.25" hidden="1" thickBot="1" thickTop="1">
      <c r="A1290" s="1497"/>
      <c r="B1290" s="1711" t="s">
        <v>1133</v>
      </c>
      <c r="C1290" s="1457"/>
      <c r="D1290" s="1457">
        <f t="shared" si="374"/>
        <v>0</v>
      </c>
      <c r="E1290" s="1549"/>
      <c r="F1290" s="1457">
        <f t="shared" si="372"/>
        <v>0</v>
      </c>
      <c r="G1290" s="1437" t="e">
        <f t="shared" si="368"/>
        <v>#DIV/0!</v>
      </c>
      <c r="H1290" s="1438" t="e">
        <f t="shared" si="369"/>
        <v>#DIV/0!</v>
      </c>
      <c r="I1290" s="1460"/>
      <c r="J1290" s="1461"/>
      <c r="K1290" s="1457"/>
      <c r="L1290" s="1457"/>
      <c r="M1290" s="1457"/>
      <c r="N1290" s="1457"/>
      <c r="O1290" s="1457"/>
      <c r="P1290" s="1462">
        <f t="shared" si="375"/>
        <v>0</v>
      </c>
      <c r="Q1290" s="1495" t="e">
        <f t="shared" si="367"/>
        <v>#DIV/0!</v>
      </c>
      <c r="R1290" s="1461"/>
      <c r="S1290" s="1457"/>
      <c r="T1290" s="1457"/>
      <c r="U1290" s="1457"/>
      <c r="V1290" s="1457"/>
      <c r="W1290" s="1462"/>
      <c r="X1290" s="1454" t="e">
        <f t="shared" si="376"/>
        <v>#DIV/0!</v>
      </c>
      <c r="Y1290" s="1444"/>
    </row>
    <row r="1291" spans="1:25" ht="14.25" hidden="1" thickBot="1" thickTop="1">
      <c r="A1291" s="1497"/>
      <c r="B1291" s="1726" t="s">
        <v>1134</v>
      </c>
      <c r="C1291" s="1457"/>
      <c r="D1291" s="1457">
        <f t="shared" si="374"/>
        <v>0</v>
      </c>
      <c r="E1291" s="1549"/>
      <c r="F1291" s="1457">
        <f t="shared" si="372"/>
        <v>0</v>
      </c>
      <c r="G1291" s="1437" t="e">
        <f t="shared" si="368"/>
        <v>#DIV/0!</v>
      </c>
      <c r="H1291" s="1438" t="e">
        <f t="shared" si="369"/>
        <v>#DIV/0!</v>
      </c>
      <c r="I1291" s="1460"/>
      <c r="J1291" s="1461"/>
      <c r="K1291" s="1457"/>
      <c r="L1291" s="1457"/>
      <c r="M1291" s="1457"/>
      <c r="N1291" s="1457"/>
      <c r="O1291" s="1457"/>
      <c r="P1291" s="1462">
        <f t="shared" si="375"/>
        <v>0</v>
      </c>
      <c r="Q1291" s="1495" t="e">
        <f t="shared" si="367"/>
        <v>#DIV/0!</v>
      </c>
      <c r="R1291" s="1461"/>
      <c r="S1291" s="1457"/>
      <c r="T1291" s="1457"/>
      <c r="U1291" s="1457"/>
      <c r="V1291" s="1457"/>
      <c r="W1291" s="1462"/>
      <c r="X1291" s="1454" t="e">
        <f t="shared" si="376"/>
        <v>#DIV/0!</v>
      </c>
      <c r="Y1291" s="1444"/>
    </row>
    <row r="1292" spans="1:25" ht="14.25" hidden="1" thickBot="1" thickTop="1">
      <c r="A1292" s="1497"/>
      <c r="B1292" s="1726" t="s">
        <v>1135</v>
      </c>
      <c r="C1292" s="1457"/>
      <c r="D1292" s="1457">
        <f t="shared" si="374"/>
        <v>0</v>
      </c>
      <c r="E1292" s="1549"/>
      <c r="F1292" s="1457">
        <f t="shared" si="372"/>
        <v>0</v>
      </c>
      <c r="G1292" s="1437" t="e">
        <f t="shared" si="368"/>
        <v>#DIV/0!</v>
      </c>
      <c r="H1292" s="1438" t="e">
        <f t="shared" si="369"/>
        <v>#DIV/0!</v>
      </c>
      <c r="I1292" s="1460"/>
      <c r="J1292" s="1461"/>
      <c r="K1292" s="1457"/>
      <c r="L1292" s="1457"/>
      <c r="M1292" s="1457"/>
      <c r="N1292" s="1457"/>
      <c r="O1292" s="1457"/>
      <c r="P1292" s="1462">
        <f t="shared" si="375"/>
        <v>0</v>
      </c>
      <c r="Q1292" s="1495" t="e">
        <f t="shared" si="367"/>
        <v>#DIV/0!</v>
      </c>
      <c r="R1292" s="1461"/>
      <c r="S1292" s="1457"/>
      <c r="T1292" s="1457"/>
      <c r="U1292" s="1457"/>
      <c r="V1292" s="1457"/>
      <c r="W1292" s="1462"/>
      <c r="X1292" s="1454" t="e">
        <f t="shared" si="376"/>
        <v>#DIV/0!</v>
      </c>
      <c r="Y1292" s="1444"/>
    </row>
    <row r="1293" spans="1:25" ht="14.25" hidden="1" thickBot="1" thickTop="1">
      <c r="A1293" s="1497"/>
      <c r="B1293" s="1726" t="s">
        <v>1136</v>
      </c>
      <c r="C1293" s="1457"/>
      <c r="D1293" s="1457">
        <f t="shared" si="374"/>
        <v>0</v>
      </c>
      <c r="E1293" s="1549"/>
      <c r="F1293" s="1457">
        <f t="shared" si="372"/>
        <v>0</v>
      </c>
      <c r="G1293" s="1437" t="e">
        <f t="shared" si="368"/>
        <v>#DIV/0!</v>
      </c>
      <c r="H1293" s="1438" t="e">
        <f t="shared" si="369"/>
        <v>#DIV/0!</v>
      </c>
      <c r="I1293" s="1460"/>
      <c r="J1293" s="1461"/>
      <c r="K1293" s="1457"/>
      <c r="L1293" s="1457"/>
      <c r="M1293" s="1457"/>
      <c r="N1293" s="1457"/>
      <c r="O1293" s="1457"/>
      <c r="P1293" s="1462">
        <f t="shared" si="375"/>
        <v>0</v>
      </c>
      <c r="Q1293" s="1495" t="e">
        <f t="shared" si="367"/>
        <v>#DIV/0!</v>
      </c>
      <c r="R1293" s="1461"/>
      <c r="S1293" s="1457"/>
      <c r="T1293" s="1457"/>
      <c r="U1293" s="1457"/>
      <c r="V1293" s="1457"/>
      <c r="W1293" s="1462"/>
      <c r="X1293" s="1454" t="e">
        <f t="shared" si="376"/>
        <v>#DIV/0!</v>
      </c>
      <c r="Y1293" s="1444"/>
    </row>
    <row r="1294" spans="1:25" ht="12" customHeight="1" hidden="1">
      <c r="A1294" s="1497"/>
      <c r="B1294" s="1711" t="s">
        <v>1137</v>
      </c>
      <c r="C1294" s="1457"/>
      <c r="D1294" s="1457">
        <f t="shared" si="374"/>
        <v>0</v>
      </c>
      <c r="E1294" s="1549"/>
      <c r="F1294" s="1457">
        <f t="shared" si="372"/>
        <v>0</v>
      </c>
      <c r="G1294" s="1437" t="e">
        <f t="shared" si="368"/>
        <v>#DIV/0!</v>
      </c>
      <c r="H1294" s="1438" t="e">
        <f t="shared" si="369"/>
        <v>#DIV/0!</v>
      </c>
      <c r="I1294" s="1460"/>
      <c r="J1294" s="1461"/>
      <c r="K1294" s="1457"/>
      <c r="L1294" s="1457"/>
      <c r="M1294" s="1457"/>
      <c r="N1294" s="1457"/>
      <c r="O1294" s="1457"/>
      <c r="P1294" s="1462">
        <f t="shared" si="375"/>
        <v>0</v>
      </c>
      <c r="Q1294" s="1495" t="e">
        <f t="shared" si="367"/>
        <v>#DIV/0!</v>
      </c>
      <c r="R1294" s="1461"/>
      <c r="S1294" s="1457"/>
      <c r="T1294" s="1457"/>
      <c r="U1294" s="1457"/>
      <c r="V1294" s="1457"/>
      <c r="W1294" s="1462"/>
      <c r="X1294" s="1454" t="e">
        <f t="shared" si="376"/>
        <v>#DIV/0!</v>
      </c>
      <c r="Y1294" s="1444"/>
    </row>
    <row r="1295" spans="1:25" ht="14.25" hidden="1" thickBot="1" thickTop="1">
      <c r="A1295" s="1497"/>
      <c r="B1295" s="1711" t="s">
        <v>1138</v>
      </c>
      <c r="C1295" s="1457"/>
      <c r="D1295" s="1457">
        <f t="shared" si="374"/>
        <v>0</v>
      </c>
      <c r="E1295" s="1549"/>
      <c r="F1295" s="1457">
        <f t="shared" si="372"/>
        <v>0</v>
      </c>
      <c r="G1295" s="1437" t="e">
        <f t="shared" si="368"/>
        <v>#DIV/0!</v>
      </c>
      <c r="H1295" s="1438" t="e">
        <f t="shared" si="369"/>
        <v>#DIV/0!</v>
      </c>
      <c r="I1295" s="1460"/>
      <c r="J1295" s="1461"/>
      <c r="K1295" s="1457"/>
      <c r="L1295" s="1457"/>
      <c r="M1295" s="1457"/>
      <c r="N1295" s="1457"/>
      <c r="O1295" s="1457"/>
      <c r="P1295" s="1462">
        <f t="shared" si="375"/>
        <v>0</v>
      </c>
      <c r="Q1295" s="1495" t="e">
        <f t="shared" si="367"/>
        <v>#DIV/0!</v>
      </c>
      <c r="R1295" s="1461"/>
      <c r="S1295" s="1457"/>
      <c r="T1295" s="1457"/>
      <c r="U1295" s="1457"/>
      <c r="V1295" s="1457"/>
      <c r="W1295" s="1462"/>
      <c r="X1295" s="1454" t="e">
        <f t="shared" si="376"/>
        <v>#DIV/0!</v>
      </c>
      <c r="Y1295" s="1444"/>
    </row>
    <row r="1296" spans="1:25" ht="14.25" hidden="1" thickBot="1" thickTop="1">
      <c r="A1296" s="1497"/>
      <c r="B1296" s="1726" t="s">
        <v>1139</v>
      </c>
      <c r="C1296" s="1457"/>
      <c r="D1296" s="1457">
        <f t="shared" si="374"/>
        <v>0</v>
      </c>
      <c r="E1296" s="1549"/>
      <c r="F1296" s="1457">
        <f t="shared" si="372"/>
        <v>0</v>
      </c>
      <c r="G1296" s="1437" t="e">
        <f t="shared" si="368"/>
        <v>#DIV/0!</v>
      </c>
      <c r="H1296" s="1438" t="e">
        <f t="shared" si="369"/>
        <v>#DIV/0!</v>
      </c>
      <c r="I1296" s="1460"/>
      <c r="J1296" s="1461"/>
      <c r="K1296" s="1457"/>
      <c r="L1296" s="1457"/>
      <c r="M1296" s="1457"/>
      <c r="N1296" s="1457"/>
      <c r="O1296" s="1457"/>
      <c r="P1296" s="1462">
        <f t="shared" si="375"/>
        <v>0</v>
      </c>
      <c r="Q1296" s="1495" t="e">
        <f t="shared" si="367"/>
        <v>#DIV/0!</v>
      </c>
      <c r="R1296" s="1461"/>
      <c r="S1296" s="1457"/>
      <c r="T1296" s="1457"/>
      <c r="U1296" s="1457"/>
      <c r="V1296" s="1457"/>
      <c r="W1296" s="1462"/>
      <c r="X1296" s="1454" t="e">
        <f>W1296/R1296*100</f>
        <v>#DIV/0!</v>
      </c>
      <c r="Y1296" s="1444"/>
    </row>
    <row r="1297" spans="1:25" ht="14.25" hidden="1" thickBot="1" thickTop="1">
      <c r="A1297" s="1497"/>
      <c r="B1297" s="1727" t="s">
        <v>1140</v>
      </c>
      <c r="C1297" s="1457"/>
      <c r="D1297" s="1457">
        <f t="shared" si="374"/>
        <v>0</v>
      </c>
      <c r="E1297" s="1549"/>
      <c r="F1297" s="1457">
        <f t="shared" si="372"/>
        <v>0</v>
      </c>
      <c r="G1297" s="1437" t="e">
        <f t="shared" si="368"/>
        <v>#DIV/0!</v>
      </c>
      <c r="H1297" s="1438" t="e">
        <f t="shared" si="369"/>
        <v>#DIV/0!</v>
      </c>
      <c r="I1297" s="1460"/>
      <c r="J1297" s="1461"/>
      <c r="K1297" s="1457"/>
      <c r="L1297" s="1457"/>
      <c r="M1297" s="1457"/>
      <c r="N1297" s="1457"/>
      <c r="O1297" s="1457"/>
      <c r="P1297" s="1462">
        <f t="shared" si="375"/>
        <v>0</v>
      </c>
      <c r="Q1297" s="1495" t="e">
        <f t="shared" si="367"/>
        <v>#DIV/0!</v>
      </c>
      <c r="R1297" s="1461"/>
      <c r="S1297" s="1457"/>
      <c r="T1297" s="1457"/>
      <c r="U1297" s="1457"/>
      <c r="V1297" s="1457"/>
      <c r="W1297" s="1462"/>
      <c r="X1297" s="1454" t="e">
        <f>W1297/R1297*100</f>
        <v>#DIV/0!</v>
      </c>
      <c r="Y1297" s="1444"/>
    </row>
    <row r="1298" spans="1:25" ht="14.25" hidden="1" thickBot="1" thickTop="1">
      <c r="A1298" s="1497"/>
      <c r="B1298" s="1726" t="s">
        <v>1141</v>
      </c>
      <c r="C1298" s="1457"/>
      <c r="D1298" s="1457">
        <f t="shared" si="374"/>
        <v>0</v>
      </c>
      <c r="E1298" s="1549"/>
      <c r="F1298" s="1457">
        <f t="shared" si="372"/>
        <v>0</v>
      </c>
      <c r="G1298" s="1437" t="e">
        <f t="shared" si="368"/>
        <v>#DIV/0!</v>
      </c>
      <c r="H1298" s="1438" t="e">
        <f t="shared" si="369"/>
        <v>#DIV/0!</v>
      </c>
      <c r="I1298" s="1460"/>
      <c r="J1298" s="1461"/>
      <c r="K1298" s="1457"/>
      <c r="L1298" s="1457"/>
      <c r="M1298" s="1457"/>
      <c r="N1298" s="1457"/>
      <c r="O1298" s="1457"/>
      <c r="P1298" s="1462">
        <f t="shared" si="375"/>
        <v>0</v>
      </c>
      <c r="Q1298" s="1495" t="e">
        <f t="shared" si="367"/>
        <v>#DIV/0!</v>
      </c>
      <c r="R1298" s="1461"/>
      <c r="S1298" s="1457"/>
      <c r="T1298" s="1457"/>
      <c r="U1298" s="1457"/>
      <c r="V1298" s="1457"/>
      <c r="W1298" s="1462"/>
      <c r="X1298" s="1454" t="e">
        <f>W1298/R1298*100</f>
        <v>#DIV/0!</v>
      </c>
      <c r="Y1298" s="1444"/>
    </row>
    <row r="1299" spans="1:25" ht="36.75" hidden="1" thickTop="1">
      <c r="A1299" s="1485">
        <v>6010</v>
      </c>
      <c r="B1299" s="1502" t="s">
        <v>1142</v>
      </c>
      <c r="C1299" s="1478"/>
      <c r="D1299" s="1457">
        <f t="shared" si="374"/>
        <v>0</v>
      </c>
      <c r="E1299" s="1655"/>
      <c r="F1299" s="1478">
        <f t="shared" si="372"/>
        <v>0</v>
      </c>
      <c r="G1299" s="1474" t="e">
        <f t="shared" si="368"/>
        <v>#DIV/0!</v>
      </c>
      <c r="H1299" s="1475" t="e">
        <f t="shared" si="369"/>
        <v>#DIV/0!</v>
      </c>
      <c r="I1299" s="1482"/>
      <c r="J1299" s="1483"/>
      <c r="K1299" s="1478"/>
      <c r="L1299" s="1478"/>
      <c r="M1299" s="1478"/>
      <c r="N1299" s="1478"/>
      <c r="O1299" s="1478"/>
      <c r="P1299" s="1462">
        <f t="shared" si="375"/>
        <v>0</v>
      </c>
      <c r="Q1299" s="1495" t="e">
        <f t="shared" si="367"/>
        <v>#DIV/0!</v>
      </c>
      <c r="R1299" s="1483"/>
      <c r="S1299" s="1478"/>
      <c r="T1299" s="1478"/>
      <c r="U1299" s="1478"/>
      <c r="V1299" s="1478"/>
      <c r="W1299" s="1484"/>
      <c r="X1299" s="1454" t="e">
        <f>W1299/R1299*100</f>
        <v>#DIV/0!</v>
      </c>
      <c r="Y1299" s="1444"/>
    </row>
    <row r="1300" spans="1:25" ht="12.75">
      <c r="A1300" s="1645"/>
      <c r="B1300" s="1562" t="s">
        <v>1143</v>
      </c>
      <c r="C1300" s="1562">
        <v>231484</v>
      </c>
      <c r="D1300" s="1596">
        <f t="shared" si="374"/>
        <v>231484</v>
      </c>
      <c r="E1300" s="1728">
        <f>SUM(E1301:E1306)</f>
        <v>0</v>
      </c>
      <c r="F1300" s="1562">
        <f t="shared" si="372"/>
        <v>0</v>
      </c>
      <c r="G1300" s="1729">
        <f t="shared" si="368"/>
        <v>0</v>
      </c>
      <c r="H1300" s="1729">
        <f t="shared" si="369"/>
        <v>0</v>
      </c>
      <c r="I1300" s="1486"/>
      <c r="J1300" s="1564">
        <f>SUM(J1301:J1306)</f>
        <v>231484</v>
      </c>
      <c r="K1300" s="1664">
        <f>SUM(K1301:K1306)</f>
        <v>0</v>
      </c>
      <c r="L1300" s="1664"/>
      <c r="M1300" s="1664"/>
      <c r="N1300" s="1664"/>
      <c r="O1300" s="1664"/>
      <c r="P1300" s="1484">
        <f t="shared" si="375"/>
        <v>0</v>
      </c>
      <c r="Q1300" s="1662"/>
      <c r="R1300" s="1667"/>
      <c r="S1300" s="1664"/>
      <c r="T1300" s="1664"/>
      <c r="U1300" s="1664"/>
      <c r="V1300" s="1664"/>
      <c r="W1300" s="1668"/>
      <c r="X1300" s="1488"/>
      <c r="Y1300" s="1444"/>
    </row>
    <row r="1301" spans="1:25" s="618" customFormat="1" ht="12.75">
      <c r="A1301" s="1730">
        <v>4112</v>
      </c>
      <c r="B1301" s="1731" t="s">
        <v>568</v>
      </c>
      <c r="C1301" s="1732">
        <v>1000</v>
      </c>
      <c r="D1301" s="1664">
        <f t="shared" si="374"/>
        <v>1000</v>
      </c>
      <c r="E1301" s="1733"/>
      <c r="F1301" s="1664">
        <f t="shared" si="372"/>
        <v>0</v>
      </c>
      <c r="G1301" s="1734">
        <f t="shared" si="368"/>
        <v>0</v>
      </c>
      <c r="H1301" s="1734">
        <f t="shared" si="369"/>
        <v>0</v>
      </c>
      <c r="I1301" s="1735"/>
      <c r="J1301" s="1736">
        <v>1000</v>
      </c>
      <c r="K1301" s="1732"/>
      <c r="L1301" s="1732"/>
      <c r="M1301" s="1732"/>
      <c r="N1301" s="1732"/>
      <c r="O1301" s="1732"/>
      <c r="P1301" s="1737">
        <f t="shared" si="375"/>
        <v>0</v>
      </c>
      <c r="Q1301" s="1738"/>
      <c r="R1301" s="1736"/>
      <c r="S1301" s="1732"/>
      <c r="T1301" s="1732"/>
      <c r="U1301" s="1732"/>
      <c r="V1301" s="1732"/>
      <c r="W1301" s="1737"/>
      <c r="X1301" s="1578"/>
      <c r="Y1301" s="1444"/>
    </row>
    <row r="1302" spans="1:25" s="618" customFormat="1" ht="12.75">
      <c r="A1302" s="1730">
        <v>4122</v>
      </c>
      <c r="B1302" s="1731" t="s">
        <v>758</v>
      </c>
      <c r="C1302" s="1732">
        <v>484</v>
      </c>
      <c r="D1302" s="1664">
        <f t="shared" si="374"/>
        <v>484</v>
      </c>
      <c r="E1302" s="1733"/>
      <c r="F1302" s="1664">
        <f t="shared" si="372"/>
        <v>0</v>
      </c>
      <c r="G1302" s="1734">
        <f t="shared" si="368"/>
        <v>0</v>
      </c>
      <c r="H1302" s="1734">
        <f t="shared" si="369"/>
        <v>0</v>
      </c>
      <c r="I1302" s="1735"/>
      <c r="J1302" s="1736">
        <v>484</v>
      </c>
      <c r="K1302" s="1732"/>
      <c r="L1302" s="1732"/>
      <c r="M1302" s="1732"/>
      <c r="N1302" s="1732"/>
      <c r="O1302" s="1732"/>
      <c r="P1302" s="1737">
        <f t="shared" si="375"/>
        <v>0</v>
      </c>
      <c r="Q1302" s="1738"/>
      <c r="R1302" s="1736"/>
      <c r="S1302" s="1732"/>
      <c r="T1302" s="1732"/>
      <c r="U1302" s="1732"/>
      <c r="V1302" s="1732"/>
      <c r="W1302" s="1737"/>
      <c r="X1302" s="1578"/>
      <c r="Y1302" s="1444"/>
    </row>
    <row r="1303" spans="1:25" s="618" customFormat="1" ht="12.75">
      <c r="A1303" s="1730">
        <v>4172</v>
      </c>
      <c r="B1303" s="1731" t="s">
        <v>1057</v>
      </c>
      <c r="C1303" s="1732"/>
      <c r="D1303" s="1664">
        <f t="shared" si="374"/>
        <v>2400</v>
      </c>
      <c r="E1303" s="1733"/>
      <c r="F1303" s="1664">
        <f t="shared" si="372"/>
        <v>0</v>
      </c>
      <c r="G1303" s="1734"/>
      <c r="H1303" s="1734">
        <f t="shared" si="369"/>
        <v>0</v>
      </c>
      <c r="I1303" s="1735"/>
      <c r="J1303" s="1736">
        <v>2400</v>
      </c>
      <c r="K1303" s="1732"/>
      <c r="L1303" s="1732"/>
      <c r="M1303" s="1732"/>
      <c r="N1303" s="1732"/>
      <c r="O1303" s="1732"/>
      <c r="P1303" s="1737"/>
      <c r="Q1303" s="1738"/>
      <c r="R1303" s="1736"/>
      <c r="S1303" s="1732"/>
      <c r="T1303" s="1732"/>
      <c r="U1303" s="1732"/>
      <c r="V1303" s="1732"/>
      <c r="W1303" s="1737"/>
      <c r="X1303" s="1578"/>
      <c r="Y1303" s="1444"/>
    </row>
    <row r="1304" spans="1:25" s="618" customFormat="1" ht="12.75">
      <c r="A1304" s="1730">
        <v>4212</v>
      </c>
      <c r="B1304" s="1731" t="s">
        <v>560</v>
      </c>
      <c r="C1304" s="1732">
        <v>20000</v>
      </c>
      <c r="D1304" s="1664">
        <f t="shared" si="374"/>
        <v>20000</v>
      </c>
      <c r="E1304" s="1733"/>
      <c r="F1304" s="1664">
        <f t="shared" si="372"/>
        <v>0</v>
      </c>
      <c r="G1304" s="1734">
        <f t="shared" si="368"/>
        <v>0</v>
      </c>
      <c r="H1304" s="1734">
        <f t="shared" si="369"/>
        <v>0</v>
      </c>
      <c r="I1304" s="1735"/>
      <c r="J1304" s="1736">
        <v>20000</v>
      </c>
      <c r="K1304" s="1732"/>
      <c r="L1304" s="1732"/>
      <c r="M1304" s="1732"/>
      <c r="N1304" s="1732"/>
      <c r="O1304" s="1732"/>
      <c r="P1304" s="1737">
        <f t="shared" si="375"/>
        <v>0</v>
      </c>
      <c r="Q1304" s="1738"/>
      <c r="R1304" s="1736"/>
      <c r="S1304" s="1732"/>
      <c r="T1304" s="1732"/>
      <c r="U1304" s="1732"/>
      <c r="V1304" s="1732"/>
      <c r="W1304" s="1737"/>
      <c r="X1304" s="1578"/>
      <c r="Y1304" s="1444"/>
    </row>
    <row r="1305" spans="1:25" s="618" customFormat="1" ht="12.75">
      <c r="A1305" s="1730">
        <v>4301</v>
      </c>
      <c r="B1305" s="1731" t="s">
        <v>564</v>
      </c>
      <c r="C1305" s="1732">
        <v>133155</v>
      </c>
      <c r="D1305" s="1664">
        <f t="shared" si="374"/>
        <v>133155</v>
      </c>
      <c r="E1305" s="1733"/>
      <c r="F1305" s="1664">
        <f t="shared" si="372"/>
        <v>0</v>
      </c>
      <c r="G1305" s="1734">
        <f t="shared" si="368"/>
        <v>0</v>
      </c>
      <c r="H1305" s="1734">
        <f t="shared" si="369"/>
        <v>0</v>
      </c>
      <c r="I1305" s="1735"/>
      <c r="J1305" s="1736">
        <v>133155</v>
      </c>
      <c r="K1305" s="1732"/>
      <c r="L1305" s="1732"/>
      <c r="M1305" s="1732"/>
      <c r="N1305" s="1732"/>
      <c r="O1305" s="1732"/>
      <c r="P1305" s="1737">
        <f t="shared" si="375"/>
        <v>0</v>
      </c>
      <c r="Q1305" s="1738"/>
      <c r="R1305" s="1736"/>
      <c r="S1305" s="1732"/>
      <c r="T1305" s="1732"/>
      <c r="U1305" s="1732"/>
      <c r="V1305" s="1732"/>
      <c r="W1305" s="1737"/>
      <c r="X1305" s="1578"/>
      <c r="Y1305" s="1444"/>
    </row>
    <row r="1306" spans="1:25" s="618" customFormat="1" ht="13.5" thickBot="1">
      <c r="A1306" s="1730">
        <v>4302</v>
      </c>
      <c r="B1306" s="1731" t="s">
        <v>564</v>
      </c>
      <c r="C1306" s="1732">
        <v>76845</v>
      </c>
      <c r="D1306" s="1739">
        <f t="shared" si="374"/>
        <v>74445</v>
      </c>
      <c r="E1306" s="1740"/>
      <c r="F1306" s="1739">
        <f t="shared" si="372"/>
        <v>0</v>
      </c>
      <c r="G1306" s="1741">
        <f t="shared" si="368"/>
        <v>0</v>
      </c>
      <c r="H1306" s="1741">
        <f t="shared" si="369"/>
        <v>0</v>
      </c>
      <c r="I1306" s="1735"/>
      <c r="J1306" s="1736">
        <v>74445</v>
      </c>
      <c r="K1306" s="1732"/>
      <c r="L1306" s="1732"/>
      <c r="M1306" s="1732"/>
      <c r="N1306" s="1732"/>
      <c r="O1306" s="1732"/>
      <c r="P1306" s="1742">
        <f t="shared" si="375"/>
        <v>0</v>
      </c>
      <c r="Q1306" s="1738"/>
      <c r="R1306" s="1736"/>
      <c r="S1306" s="1732"/>
      <c r="T1306" s="1732"/>
      <c r="U1306" s="1732"/>
      <c r="V1306" s="1732"/>
      <c r="W1306" s="1737"/>
      <c r="X1306" s="1578"/>
      <c r="Y1306" s="1444"/>
    </row>
    <row r="1307" spans="1:25" s="581" customFormat="1" ht="25.5" thickBot="1" thickTop="1">
      <c r="A1307" s="1489">
        <v>921</v>
      </c>
      <c r="B1307" s="1490" t="s">
        <v>254</v>
      </c>
      <c r="C1307" s="1434">
        <f>C1308+C1318+C1326+C1333+C1359+C1373+C1387+C1393</f>
        <v>11993840</v>
      </c>
      <c r="D1307" s="1434">
        <f>D1308+D1318+D1326+D1333+D1359+D1373+D1387+D1393</f>
        <v>12901180</v>
      </c>
      <c r="E1307" s="1589">
        <f>E1308+E1318+E1326+E1333+E1359+E1373+E1387+E1393</f>
        <v>16384501</v>
      </c>
      <c r="F1307" s="1434">
        <f>F1308+F1318+F1326+F1333+F1359+F1373+F1387+F1393</f>
        <v>14660101</v>
      </c>
      <c r="G1307" s="1602">
        <f t="shared" si="368"/>
        <v>122.23025319664093</v>
      </c>
      <c r="H1307" s="1603">
        <f t="shared" si="369"/>
        <v>113.63379938889311</v>
      </c>
      <c r="I1307" s="1439">
        <f>F1307/F$1426*100</f>
        <v>5.3468020805598435</v>
      </c>
      <c r="J1307" s="1440">
        <f>J1308+J1318+J1326+J1333+J1359+J1373+J1387+J1393</f>
        <v>4086110</v>
      </c>
      <c r="K1307" s="1434">
        <f>K1308+K1318+K1326+K1333+K1359+K1373+K1387+K1393</f>
        <v>3572070</v>
      </c>
      <c r="L1307" s="1434">
        <f>L1308+L1318+L1326+L1333+L1359+L1373+L1387+L1393</f>
        <v>276000</v>
      </c>
      <c r="M1307" s="1434">
        <f>M1308+M1318+M1326+M1333+M1359+M1373+M1387+M1393</f>
        <v>0</v>
      </c>
      <c r="N1307" s="1434">
        <f>N1308+N1318+N1326+N1333+N1359+N1373+N1387+N1393</f>
        <v>200000</v>
      </c>
      <c r="O1307" s="1434"/>
      <c r="P1307" s="1441">
        <f>P1308+P1318+P1326+P1333+P1359+P1373+P1387+P1393</f>
        <v>4048070</v>
      </c>
      <c r="Q1307" s="1442">
        <f t="shared" si="367"/>
        <v>99.06904121523894</v>
      </c>
      <c r="R1307" s="1440">
        <f aca="true" t="shared" si="377" ref="R1307:W1307">R1308+R1318+R1326+R1333+R1359+R1373+R1387+R1393</f>
        <v>8815070</v>
      </c>
      <c r="S1307" s="1434">
        <f t="shared" si="377"/>
        <v>8518000</v>
      </c>
      <c r="T1307" s="1434">
        <f t="shared" si="377"/>
        <v>1694031</v>
      </c>
      <c r="U1307" s="1434">
        <f t="shared" si="377"/>
        <v>0</v>
      </c>
      <c r="V1307" s="1434">
        <f t="shared" si="377"/>
        <v>0</v>
      </c>
      <c r="W1307" s="1441">
        <f t="shared" si="377"/>
        <v>10612031</v>
      </c>
      <c r="X1307" s="1443">
        <f>W1307/R1307*100</f>
        <v>120.38510187667255</v>
      </c>
      <c r="Y1307" s="1444"/>
    </row>
    <row r="1308" spans="1:25" s="581" customFormat="1" ht="24.75" thickTop="1">
      <c r="A1308" s="1493">
        <v>92105</v>
      </c>
      <c r="B1308" s="1506" t="s">
        <v>1144</v>
      </c>
      <c r="C1308" s="1447">
        <f>SUM(C1309:C1317)</f>
        <v>201000</v>
      </c>
      <c r="D1308" s="1447">
        <f>SUM(D1309:D1317)</f>
        <v>339000</v>
      </c>
      <c r="E1308" s="1600">
        <f>SUM(E1309:E1317)</f>
        <v>554200</v>
      </c>
      <c r="F1308" s="1447">
        <f>SUM(F1309:F1317)</f>
        <v>522100</v>
      </c>
      <c r="G1308" s="1474">
        <f t="shared" si="368"/>
        <v>259.75124378109456</v>
      </c>
      <c r="H1308" s="1475">
        <f t="shared" si="369"/>
        <v>154.01179941002948</v>
      </c>
      <c r="I1308" s="1450"/>
      <c r="J1308" s="1451">
        <f>SUM(J1309:J1317)</f>
        <v>339000</v>
      </c>
      <c r="K1308" s="1447">
        <f>SUM(K1309:K1317)</f>
        <v>522100</v>
      </c>
      <c r="L1308" s="1447">
        <f>SUM(L1309:L1317)</f>
        <v>0</v>
      </c>
      <c r="M1308" s="1447">
        <f>SUM(M1309:M1317)</f>
        <v>0</v>
      </c>
      <c r="N1308" s="1447">
        <f>SUM(N1309:N1317)</f>
        <v>0</v>
      </c>
      <c r="O1308" s="1447"/>
      <c r="P1308" s="1452">
        <f>SUM(P1309:P1317)</f>
        <v>522100</v>
      </c>
      <c r="Q1308" s="1453">
        <f t="shared" si="367"/>
        <v>154.01179941002948</v>
      </c>
      <c r="R1308" s="1451"/>
      <c r="S1308" s="1447"/>
      <c r="T1308" s="1447"/>
      <c r="U1308" s="1447"/>
      <c r="V1308" s="1447"/>
      <c r="W1308" s="1452"/>
      <c r="X1308" s="1454"/>
      <c r="Y1308" s="1444"/>
    </row>
    <row r="1309" spans="1:25" ht="24">
      <c r="A1309" s="1497">
        <v>3020</v>
      </c>
      <c r="B1309" s="1513" t="s">
        <v>717</v>
      </c>
      <c r="C1309" s="1457">
        <v>50000</v>
      </c>
      <c r="D1309" s="1457">
        <f aca="true" t="shared" si="378" ref="D1309:D1317">J1309+R1309</f>
        <v>0</v>
      </c>
      <c r="E1309" s="1514"/>
      <c r="F1309" s="1457">
        <f aca="true" t="shared" si="379" ref="F1309:F1317">P1309+W1309</f>
        <v>0</v>
      </c>
      <c r="G1309" s="1499">
        <f t="shared" si="368"/>
        <v>0</v>
      </c>
      <c r="H1309" s="1499"/>
      <c r="I1309" s="1450"/>
      <c r="J1309" s="1461">
        <v>0</v>
      </c>
      <c r="K1309" s="1457"/>
      <c r="L1309" s="1457"/>
      <c r="M1309" s="1457"/>
      <c r="N1309" s="1457"/>
      <c r="O1309" s="1457"/>
      <c r="P1309" s="1462">
        <f aca="true" t="shared" si="380" ref="P1309:P1317">SUM(K1309:N1309)</f>
        <v>0</v>
      </c>
      <c r="Q1309" s="1495" t="e">
        <f t="shared" si="367"/>
        <v>#DIV/0!</v>
      </c>
      <c r="R1309" s="1461"/>
      <c r="S1309" s="1457"/>
      <c r="T1309" s="1457"/>
      <c r="U1309" s="1457"/>
      <c r="V1309" s="1457"/>
      <c r="W1309" s="1462"/>
      <c r="X1309" s="1496"/>
      <c r="Y1309" s="1444"/>
    </row>
    <row r="1310" spans="1:25" ht="24">
      <c r="A1310" s="1497">
        <v>3040</v>
      </c>
      <c r="B1310" s="1513" t="s">
        <v>791</v>
      </c>
      <c r="C1310" s="1457"/>
      <c r="D1310" s="1457">
        <f t="shared" si="378"/>
        <v>65000</v>
      </c>
      <c r="E1310" s="1514">
        <v>50800</v>
      </c>
      <c r="F1310" s="1457">
        <f t="shared" si="379"/>
        <v>50800</v>
      </c>
      <c r="G1310" s="1499"/>
      <c r="H1310" s="1499">
        <f t="shared" si="369"/>
        <v>78.15384615384615</v>
      </c>
      <c r="I1310" s="1450"/>
      <c r="J1310" s="1461">
        <v>65000</v>
      </c>
      <c r="K1310" s="1457">
        <v>50800</v>
      </c>
      <c r="L1310" s="1457"/>
      <c r="M1310" s="1457"/>
      <c r="N1310" s="1457"/>
      <c r="O1310" s="1457"/>
      <c r="P1310" s="1462">
        <f t="shared" si="380"/>
        <v>50800</v>
      </c>
      <c r="Q1310" s="1495"/>
      <c r="R1310" s="1461"/>
      <c r="S1310" s="1457"/>
      <c r="T1310" s="1457"/>
      <c r="U1310" s="1457"/>
      <c r="V1310" s="1457"/>
      <c r="W1310" s="1462"/>
      <c r="X1310" s="1496"/>
      <c r="Y1310" s="1444"/>
    </row>
    <row r="1311" spans="1:25" ht="12.75">
      <c r="A1311" s="1497">
        <v>4170</v>
      </c>
      <c r="B1311" s="1513" t="s">
        <v>1057</v>
      </c>
      <c r="C1311" s="1457"/>
      <c r="D1311" s="1457">
        <f t="shared" si="378"/>
        <v>2450</v>
      </c>
      <c r="E1311" s="1514"/>
      <c r="F1311" s="1457">
        <f t="shared" si="379"/>
        <v>0</v>
      </c>
      <c r="G1311" s="1499"/>
      <c r="H1311" s="1499">
        <f t="shared" si="369"/>
        <v>0</v>
      </c>
      <c r="I1311" s="1450"/>
      <c r="J1311" s="1461">
        <v>2450</v>
      </c>
      <c r="K1311" s="1457"/>
      <c r="L1311" s="1457"/>
      <c r="M1311" s="1457"/>
      <c r="N1311" s="1457"/>
      <c r="O1311" s="1457"/>
      <c r="P1311" s="1462">
        <f t="shared" si="380"/>
        <v>0</v>
      </c>
      <c r="Q1311" s="1495"/>
      <c r="R1311" s="1461"/>
      <c r="S1311" s="1457"/>
      <c r="T1311" s="1457"/>
      <c r="U1311" s="1457"/>
      <c r="V1311" s="1457"/>
      <c r="W1311" s="1462"/>
      <c r="X1311" s="1496"/>
      <c r="Y1311" s="1444"/>
    </row>
    <row r="1312" spans="1:25" ht="12.75">
      <c r="A1312" s="1497">
        <v>4210</v>
      </c>
      <c r="B1312" s="1513" t="s">
        <v>560</v>
      </c>
      <c r="C1312" s="1457">
        <v>16000</v>
      </c>
      <c r="D1312" s="1457">
        <f t="shared" si="378"/>
        <v>25500</v>
      </c>
      <c r="E1312" s="1514">
        <v>16300</v>
      </c>
      <c r="F1312" s="1457">
        <f t="shared" si="379"/>
        <v>16300</v>
      </c>
      <c r="G1312" s="1499">
        <f t="shared" si="368"/>
        <v>101.875</v>
      </c>
      <c r="H1312" s="1499">
        <f t="shared" si="369"/>
        <v>63.921568627450974</v>
      </c>
      <c r="I1312" s="1450"/>
      <c r="J1312" s="1461">
        <v>25500</v>
      </c>
      <c r="K1312" s="1457">
        <v>16300</v>
      </c>
      <c r="L1312" s="1457"/>
      <c r="M1312" s="1457"/>
      <c r="N1312" s="1457"/>
      <c r="O1312" s="1457"/>
      <c r="P1312" s="1462">
        <f t="shared" si="380"/>
        <v>16300</v>
      </c>
      <c r="Q1312" s="1495">
        <f t="shared" si="367"/>
        <v>63.921568627450974</v>
      </c>
      <c r="R1312" s="1461"/>
      <c r="S1312" s="1457"/>
      <c r="T1312" s="1457"/>
      <c r="U1312" s="1457"/>
      <c r="V1312" s="1457"/>
      <c r="W1312" s="1462"/>
      <c r="X1312" s="1496"/>
      <c r="Y1312" s="1444"/>
    </row>
    <row r="1313" spans="1:25" ht="36">
      <c r="A1313" s="1497">
        <v>4300</v>
      </c>
      <c r="B1313" s="1513" t="s">
        <v>1145</v>
      </c>
      <c r="C1313" s="1457">
        <v>30000</v>
      </c>
      <c r="D1313" s="1457">
        <f t="shared" si="378"/>
        <v>126050</v>
      </c>
      <c r="E1313" s="1514">
        <f>30500+100000</f>
        <v>130500</v>
      </c>
      <c r="F1313" s="1457">
        <f t="shared" si="379"/>
        <v>100000</v>
      </c>
      <c r="G1313" s="1499">
        <f t="shared" si="368"/>
        <v>333.33333333333337</v>
      </c>
      <c r="H1313" s="1499">
        <f t="shared" si="369"/>
        <v>79.33359777865925</v>
      </c>
      <c r="I1313" s="1450"/>
      <c r="J1313" s="1461">
        <v>126050</v>
      </c>
      <c r="K1313" s="1457">
        <v>100000</v>
      </c>
      <c r="L1313" s="1457"/>
      <c r="M1313" s="1457"/>
      <c r="N1313" s="1457"/>
      <c r="O1313" s="1457"/>
      <c r="P1313" s="1462">
        <f t="shared" si="380"/>
        <v>100000</v>
      </c>
      <c r="Q1313" s="1495">
        <f t="shared" si="367"/>
        <v>79.33359777865925</v>
      </c>
      <c r="R1313" s="1461"/>
      <c r="S1313" s="1457"/>
      <c r="T1313" s="1457"/>
      <c r="U1313" s="1457"/>
      <c r="V1313" s="1457"/>
      <c r="W1313" s="1462"/>
      <c r="X1313" s="1496"/>
      <c r="Y1313" s="1444"/>
    </row>
    <row r="1314" spans="1:25" ht="36">
      <c r="A1314" s="1497">
        <v>4300</v>
      </c>
      <c r="B1314" s="1513" t="s">
        <v>1146</v>
      </c>
      <c r="C1314" s="1457"/>
      <c r="D1314" s="1457">
        <f t="shared" si="378"/>
        <v>0</v>
      </c>
      <c r="E1314" s="1458">
        <v>250000</v>
      </c>
      <c r="F1314" s="1459">
        <f t="shared" si="379"/>
        <v>250000</v>
      </c>
      <c r="G1314" s="1499"/>
      <c r="H1314" s="1499"/>
      <c r="I1314" s="1450"/>
      <c r="J1314" s="1461"/>
      <c r="K1314" s="1457">
        <v>250000</v>
      </c>
      <c r="L1314" s="1457"/>
      <c r="M1314" s="1457"/>
      <c r="N1314" s="1457"/>
      <c r="O1314" s="1457"/>
      <c r="P1314" s="1462">
        <f t="shared" si="380"/>
        <v>250000</v>
      </c>
      <c r="Q1314" s="1495"/>
      <c r="R1314" s="1461"/>
      <c r="S1314" s="1457"/>
      <c r="T1314" s="1457"/>
      <c r="U1314" s="1457"/>
      <c r="V1314" s="1457"/>
      <c r="W1314" s="1462"/>
      <c r="X1314" s="1496"/>
      <c r="Y1314" s="1444"/>
    </row>
    <row r="1315" spans="1:25" ht="36" hidden="1">
      <c r="A1315" s="1497">
        <v>4301</v>
      </c>
      <c r="B1315" s="1513" t="s">
        <v>1147</v>
      </c>
      <c r="C1315" s="1457"/>
      <c r="D1315" s="1457">
        <f t="shared" si="378"/>
        <v>0</v>
      </c>
      <c r="E1315" s="1458"/>
      <c r="F1315" s="1459">
        <f t="shared" si="379"/>
        <v>0</v>
      </c>
      <c r="G1315" s="1499"/>
      <c r="H1315" s="1499"/>
      <c r="I1315" s="1450"/>
      <c r="J1315" s="1461"/>
      <c r="K1315" s="1457"/>
      <c r="L1315" s="1457"/>
      <c r="M1315" s="1457"/>
      <c r="N1315" s="1457"/>
      <c r="O1315" s="1457"/>
      <c r="P1315" s="1462">
        <f t="shared" si="380"/>
        <v>0</v>
      </c>
      <c r="Q1315" s="1495" t="e">
        <f>P1315/J1315*100</f>
        <v>#DIV/0!</v>
      </c>
      <c r="R1315" s="1461"/>
      <c r="S1315" s="1457"/>
      <c r="T1315" s="1457"/>
      <c r="U1315" s="1457"/>
      <c r="V1315" s="1457"/>
      <c r="W1315" s="1462"/>
      <c r="X1315" s="1496"/>
      <c r="Y1315" s="1444"/>
    </row>
    <row r="1316" spans="1:25" ht="36" hidden="1">
      <c r="A1316" s="1497">
        <v>4302</v>
      </c>
      <c r="B1316" s="1513" t="s">
        <v>1147</v>
      </c>
      <c r="C1316" s="1457">
        <v>0</v>
      </c>
      <c r="D1316" s="1457">
        <f t="shared" si="378"/>
        <v>0</v>
      </c>
      <c r="E1316" s="1458"/>
      <c r="F1316" s="1459">
        <f t="shared" si="379"/>
        <v>0</v>
      </c>
      <c r="G1316" s="1499"/>
      <c r="H1316" s="1499"/>
      <c r="I1316" s="1450"/>
      <c r="J1316" s="1461">
        <v>0</v>
      </c>
      <c r="K1316" s="1457"/>
      <c r="L1316" s="1457"/>
      <c r="M1316" s="1457"/>
      <c r="N1316" s="1457"/>
      <c r="O1316" s="1457"/>
      <c r="P1316" s="1462">
        <f t="shared" si="380"/>
        <v>0</v>
      </c>
      <c r="Q1316" s="1495" t="e">
        <f>P1316/J1316*100</f>
        <v>#DIV/0!</v>
      </c>
      <c r="R1316" s="1461"/>
      <c r="S1316" s="1457"/>
      <c r="T1316" s="1457"/>
      <c r="U1316" s="1457"/>
      <c r="V1316" s="1457"/>
      <c r="W1316" s="1462"/>
      <c r="X1316" s="1496"/>
      <c r="Y1316" s="1444"/>
    </row>
    <row r="1317" spans="1:25" ht="48">
      <c r="A1317" s="1497">
        <v>2820</v>
      </c>
      <c r="B1317" s="1513" t="s">
        <v>1148</v>
      </c>
      <c r="C1317" s="1457">
        <v>105000</v>
      </c>
      <c r="D1317" s="1457">
        <f t="shared" si="378"/>
        <v>120000</v>
      </c>
      <c r="E1317" s="1458">
        <v>106600</v>
      </c>
      <c r="F1317" s="1459">
        <f t="shared" si="379"/>
        <v>105000</v>
      </c>
      <c r="G1317" s="1499">
        <f t="shared" si="368"/>
        <v>100</v>
      </c>
      <c r="H1317" s="1499">
        <f t="shared" si="369"/>
        <v>87.5</v>
      </c>
      <c r="I1317" s="1450"/>
      <c r="J1317" s="1461">
        <v>120000</v>
      </c>
      <c r="K1317" s="1457">
        <v>105000</v>
      </c>
      <c r="L1317" s="1457"/>
      <c r="M1317" s="1457"/>
      <c r="N1317" s="1457"/>
      <c r="O1317" s="1457"/>
      <c r="P1317" s="1462">
        <f t="shared" si="380"/>
        <v>105000</v>
      </c>
      <c r="Q1317" s="1495">
        <f>P1317/J1317*100</f>
        <v>87.5</v>
      </c>
      <c r="R1317" s="1461"/>
      <c r="S1317" s="1457"/>
      <c r="T1317" s="1457"/>
      <c r="U1317" s="1457"/>
      <c r="V1317" s="1457"/>
      <c r="W1317" s="1462"/>
      <c r="X1317" s="1496"/>
      <c r="Y1317" s="1444"/>
    </row>
    <row r="1318" spans="1:25" s="581" customFormat="1" ht="12.75">
      <c r="A1318" s="1516">
        <v>92106</v>
      </c>
      <c r="B1318" s="1550" t="s">
        <v>255</v>
      </c>
      <c r="C1318" s="1467">
        <f>C1319+C1325</f>
        <v>2350000</v>
      </c>
      <c r="D1318" s="1467">
        <f>D1319+D1325</f>
        <v>2492530</v>
      </c>
      <c r="E1318" s="1467">
        <f>E1319+E1325</f>
        <v>3900000</v>
      </c>
      <c r="F1318" s="1467">
        <f>F1319+F1325</f>
        <v>2535000</v>
      </c>
      <c r="G1318" s="1531">
        <f aca="true" t="shared" si="381" ref="G1318:G1377">F1318/C1318*100</f>
        <v>107.87234042553192</v>
      </c>
      <c r="H1318" s="1532">
        <f t="shared" si="369"/>
        <v>101.70389122698624</v>
      </c>
      <c r="I1318" s="1450"/>
      <c r="J1318" s="1470"/>
      <c r="K1318" s="1467"/>
      <c r="L1318" s="1467"/>
      <c r="M1318" s="1467"/>
      <c r="N1318" s="1467"/>
      <c r="O1318" s="1467"/>
      <c r="P1318" s="1471"/>
      <c r="Q1318" s="1469">
        <f aca="true" t="shared" si="382" ref="Q1318:W1318">Q1319+Q1325</f>
        <v>0</v>
      </c>
      <c r="R1318" s="1467">
        <f t="shared" si="382"/>
        <v>2492530</v>
      </c>
      <c r="S1318" s="1467">
        <f t="shared" si="382"/>
        <v>2335000</v>
      </c>
      <c r="T1318" s="1467">
        <f t="shared" si="382"/>
        <v>200000</v>
      </c>
      <c r="U1318" s="1467">
        <f t="shared" si="382"/>
        <v>0</v>
      </c>
      <c r="V1318" s="1467">
        <f t="shared" si="382"/>
        <v>0</v>
      </c>
      <c r="W1318" s="1471">
        <f t="shared" si="382"/>
        <v>2535000</v>
      </c>
      <c r="X1318" s="1454">
        <f>W1318/R1318*100</f>
        <v>101.70389122698624</v>
      </c>
      <c r="Y1318" s="1444"/>
    </row>
    <row r="1319" spans="1:25" ht="36">
      <c r="A1319" s="1497">
        <v>2480</v>
      </c>
      <c r="B1319" s="1513" t="s">
        <v>1149</v>
      </c>
      <c r="C1319" s="1457">
        <v>2300000</v>
      </c>
      <c r="D1319" s="1457">
        <f aca="true" t="shared" si="383" ref="D1319:D1325">J1319+R1319</f>
        <v>2390530</v>
      </c>
      <c r="E1319" s="1458">
        <f>SUM(E1320:E1323)</f>
        <v>2900000</v>
      </c>
      <c r="F1319" s="1459">
        <f aca="true" t="shared" si="384" ref="F1319:F1325">P1319+W1319</f>
        <v>2335000</v>
      </c>
      <c r="G1319" s="1499">
        <f t="shared" si="381"/>
        <v>101.52173913043478</v>
      </c>
      <c r="H1319" s="1499">
        <f aca="true" t="shared" si="385" ref="H1319:H1382">F1319/D1319*100</f>
        <v>97.67708416125295</v>
      </c>
      <c r="I1319" s="1450"/>
      <c r="J1319" s="1461"/>
      <c r="K1319" s="1457"/>
      <c r="L1319" s="1457"/>
      <c r="M1319" s="1457"/>
      <c r="N1319" s="1457"/>
      <c r="O1319" s="1457"/>
      <c r="P1319" s="1462"/>
      <c r="Q1319" s="1495"/>
      <c r="R1319" s="1461">
        <f>SUM(R1320:R1324)</f>
        <v>2390530</v>
      </c>
      <c r="S1319" s="1457">
        <f>SUM(S1320:S1323)</f>
        <v>2335000</v>
      </c>
      <c r="T1319" s="1743"/>
      <c r="U1319" s="1457">
        <f>SUM(U1320:U1323)</f>
        <v>0</v>
      </c>
      <c r="V1319" s="1457">
        <f>SUM(V1320:V1323)</f>
        <v>0</v>
      </c>
      <c r="W1319" s="1462">
        <f>SUM(W1320:W1323)</f>
        <v>2335000</v>
      </c>
      <c r="X1319" s="1496">
        <f>W1319/R1319*100</f>
        <v>97.67708416125295</v>
      </c>
      <c r="Y1319" s="1444"/>
    </row>
    <row r="1320" spans="1:25" s="618" customFormat="1" ht="12.75">
      <c r="A1320" s="1521"/>
      <c r="B1320" s="1522" t="s">
        <v>1150</v>
      </c>
      <c r="C1320" s="1523">
        <v>2300000</v>
      </c>
      <c r="D1320" s="1457">
        <f t="shared" si="383"/>
        <v>2300000</v>
      </c>
      <c r="E1320" s="1543">
        <v>2900000</v>
      </c>
      <c r="F1320" s="1459">
        <f t="shared" si="384"/>
        <v>2335000</v>
      </c>
      <c r="G1320" s="1538">
        <f t="shared" si="381"/>
        <v>101.52173913043478</v>
      </c>
      <c r="H1320" s="1538">
        <f t="shared" si="385"/>
        <v>101.52173913043478</v>
      </c>
      <c r="I1320" s="1450"/>
      <c r="J1320" s="1526"/>
      <c r="K1320" s="1523"/>
      <c r="L1320" s="1523"/>
      <c r="M1320" s="1523"/>
      <c r="N1320" s="1523"/>
      <c r="O1320" s="1523"/>
      <c r="P1320" s="1527"/>
      <c r="Q1320" s="1528"/>
      <c r="R1320" s="1526">
        <f>2300000</f>
        <v>2300000</v>
      </c>
      <c r="S1320" s="1523">
        <v>2335000</v>
      </c>
      <c r="T1320" s="1523"/>
      <c r="U1320" s="1523"/>
      <c r="V1320" s="1523"/>
      <c r="W1320" s="1462">
        <f aca="true" t="shared" si="386" ref="W1320:W1325">SUM(S1320:V1320)</f>
        <v>2335000</v>
      </c>
      <c r="X1320" s="1496">
        <f aca="true" t="shared" si="387" ref="X1320:X1325">W1320/R1320*100</f>
        <v>101.52173913043478</v>
      </c>
      <c r="Y1320" s="1444"/>
    </row>
    <row r="1321" spans="1:25" s="618" customFormat="1" ht="12.75">
      <c r="A1321" s="1521"/>
      <c r="B1321" s="1522" t="s">
        <v>1151</v>
      </c>
      <c r="C1321" s="1523"/>
      <c r="D1321" s="1457">
        <f t="shared" si="383"/>
        <v>19650</v>
      </c>
      <c r="E1321" s="1543"/>
      <c r="F1321" s="1459">
        <f t="shared" si="384"/>
        <v>0</v>
      </c>
      <c r="G1321" s="1538"/>
      <c r="H1321" s="1538">
        <f t="shared" si="385"/>
        <v>0</v>
      </c>
      <c r="I1321" s="1450"/>
      <c r="J1321" s="1526"/>
      <c r="K1321" s="1523"/>
      <c r="L1321" s="1523"/>
      <c r="M1321" s="1523"/>
      <c r="N1321" s="1523"/>
      <c r="O1321" s="1523"/>
      <c r="P1321" s="1527"/>
      <c r="Q1321" s="1528"/>
      <c r="R1321" s="1526">
        <v>19650</v>
      </c>
      <c r="S1321" s="1523">
        <v>0</v>
      </c>
      <c r="T1321" s="1523"/>
      <c r="U1321" s="1523"/>
      <c r="V1321" s="1523"/>
      <c r="W1321" s="1462">
        <f t="shared" si="386"/>
        <v>0</v>
      </c>
      <c r="X1321" s="1496">
        <f t="shared" si="387"/>
        <v>0</v>
      </c>
      <c r="Y1321" s="1444"/>
    </row>
    <row r="1322" spans="1:25" s="618" customFormat="1" ht="12.75">
      <c r="A1322" s="1521"/>
      <c r="B1322" s="1522" t="s">
        <v>1152</v>
      </c>
      <c r="C1322" s="1523"/>
      <c r="D1322" s="1457">
        <f t="shared" si="383"/>
        <v>18600</v>
      </c>
      <c r="E1322" s="1543"/>
      <c r="F1322" s="1459">
        <f t="shared" si="384"/>
        <v>0</v>
      </c>
      <c r="G1322" s="1538"/>
      <c r="H1322" s="1538">
        <f t="shared" si="385"/>
        <v>0</v>
      </c>
      <c r="I1322" s="1450"/>
      <c r="J1322" s="1526"/>
      <c r="K1322" s="1523"/>
      <c r="L1322" s="1523"/>
      <c r="M1322" s="1523"/>
      <c r="N1322" s="1523"/>
      <c r="O1322" s="1523"/>
      <c r="P1322" s="1527"/>
      <c r="Q1322" s="1528"/>
      <c r="R1322" s="1526">
        <v>18600</v>
      </c>
      <c r="S1322" s="1523">
        <v>0</v>
      </c>
      <c r="T1322" s="1523"/>
      <c r="U1322" s="1523"/>
      <c r="V1322" s="1523"/>
      <c r="W1322" s="1462">
        <f t="shared" si="386"/>
        <v>0</v>
      </c>
      <c r="X1322" s="1496">
        <f t="shared" si="387"/>
        <v>0</v>
      </c>
      <c r="Y1322" s="1444"/>
    </row>
    <row r="1323" spans="1:25" s="618" customFormat="1" ht="12.75">
      <c r="A1323" s="1521"/>
      <c r="B1323" s="1522" t="s">
        <v>1153</v>
      </c>
      <c r="C1323" s="1523"/>
      <c r="D1323" s="1457">
        <f t="shared" si="383"/>
        <v>22280</v>
      </c>
      <c r="E1323" s="1543"/>
      <c r="F1323" s="1459">
        <f t="shared" si="384"/>
        <v>0</v>
      </c>
      <c r="G1323" s="1538"/>
      <c r="H1323" s="1538">
        <f t="shared" si="385"/>
        <v>0</v>
      </c>
      <c r="I1323" s="1450"/>
      <c r="J1323" s="1526"/>
      <c r="K1323" s="1523"/>
      <c r="L1323" s="1523"/>
      <c r="M1323" s="1523"/>
      <c r="N1323" s="1523"/>
      <c r="O1323" s="1523"/>
      <c r="P1323" s="1527"/>
      <c r="Q1323" s="1528"/>
      <c r="R1323" s="1526">
        <v>22280</v>
      </c>
      <c r="S1323" s="1523">
        <v>0</v>
      </c>
      <c r="T1323" s="1523"/>
      <c r="U1323" s="1523"/>
      <c r="V1323" s="1523"/>
      <c r="W1323" s="1462">
        <f t="shared" si="386"/>
        <v>0</v>
      </c>
      <c r="X1323" s="1496">
        <f t="shared" si="387"/>
        <v>0</v>
      </c>
      <c r="Y1323" s="1444"/>
    </row>
    <row r="1324" spans="1:25" s="618" customFormat="1" ht="12.75">
      <c r="A1324" s="1521"/>
      <c r="B1324" s="1522" t="s">
        <v>1154</v>
      </c>
      <c r="C1324" s="1523"/>
      <c r="D1324" s="1457">
        <f t="shared" si="383"/>
        <v>30000</v>
      </c>
      <c r="E1324" s="1543"/>
      <c r="F1324" s="1459">
        <f t="shared" si="384"/>
        <v>0</v>
      </c>
      <c r="G1324" s="1538"/>
      <c r="H1324" s="1538">
        <f t="shared" si="385"/>
        <v>0</v>
      </c>
      <c r="I1324" s="1450"/>
      <c r="J1324" s="1526"/>
      <c r="K1324" s="1523"/>
      <c r="L1324" s="1523"/>
      <c r="M1324" s="1523"/>
      <c r="N1324" s="1523"/>
      <c r="O1324" s="1523"/>
      <c r="P1324" s="1527"/>
      <c r="Q1324" s="1528"/>
      <c r="R1324" s="1526">
        <v>30000</v>
      </c>
      <c r="S1324" s="1523">
        <v>0</v>
      </c>
      <c r="T1324" s="1523"/>
      <c r="U1324" s="1523"/>
      <c r="V1324" s="1523"/>
      <c r="W1324" s="1462">
        <f t="shared" si="386"/>
        <v>0</v>
      </c>
      <c r="X1324" s="1496">
        <f t="shared" si="387"/>
        <v>0</v>
      </c>
      <c r="Y1324" s="1444"/>
    </row>
    <row r="1325" spans="1:25" ht="36">
      <c r="A1325" s="1497">
        <v>6050</v>
      </c>
      <c r="B1325" s="1513" t="s">
        <v>1155</v>
      </c>
      <c r="C1325" s="1457">
        <v>50000</v>
      </c>
      <c r="D1325" s="1457">
        <f t="shared" si="383"/>
        <v>102000</v>
      </c>
      <c r="E1325" s="1458">
        <v>1000000</v>
      </c>
      <c r="F1325" s="1459">
        <f t="shared" si="384"/>
        <v>200000</v>
      </c>
      <c r="G1325" s="1499">
        <f t="shared" si="381"/>
        <v>400</v>
      </c>
      <c r="H1325" s="1499">
        <f t="shared" si="385"/>
        <v>196.078431372549</v>
      </c>
      <c r="I1325" s="1450"/>
      <c r="J1325" s="1461"/>
      <c r="K1325" s="1457"/>
      <c r="L1325" s="1457"/>
      <c r="M1325" s="1457"/>
      <c r="N1325" s="1457"/>
      <c r="O1325" s="1457"/>
      <c r="P1325" s="1462"/>
      <c r="Q1325" s="1495"/>
      <c r="R1325" s="1461">
        <v>102000</v>
      </c>
      <c r="S1325" s="1457"/>
      <c r="T1325" s="1457">
        <v>200000</v>
      </c>
      <c r="U1325" s="1457"/>
      <c r="V1325" s="1457"/>
      <c r="W1325" s="1462">
        <f t="shared" si="386"/>
        <v>200000</v>
      </c>
      <c r="X1325" s="1496">
        <f t="shared" si="387"/>
        <v>196.078431372549</v>
      </c>
      <c r="Y1325" s="1444"/>
    </row>
    <row r="1326" spans="1:25" s="581" customFormat="1" ht="24">
      <c r="A1326" s="1516">
        <v>92108</v>
      </c>
      <c r="B1326" s="1550" t="s">
        <v>1156</v>
      </c>
      <c r="C1326" s="1467">
        <f>C1327</f>
        <v>2388000</v>
      </c>
      <c r="D1326" s="1467">
        <f>D1327</f>
        <v>2447250</v>
      </c>
      <c r="E1326" s="1468">
        <f>E1327</f>
        <v>2653500</v>
      </c>
      <c r="F1326" s="1469">
        <f>F1327</f>
        <v>2634000</v>
      </c>
      <c r="G1326" s="1531">
        <f t="shared" si="381"/>
        <v>110.30150753768844</v>
      </c>
      <c r="H1326" s="1532">
        <f t="shared" si="385"/>
        <v>107.63101440392278</v>
      </c>
      <c r="I1326" s="1450"/>
      <c r="J1326" s="1470"/>
      <c r="K1326" s="1467"/>
      <c r="L1326" s="1467"/>
      <c r="M1326" s="1467"/>
      <c r="N1326" s="1467"/>
      <c r="O1326" s="1467"/>
      <c r="P1326" s="1471"/>
      <c r="Q1326" s="1453"/>
      <c r="R1326" s="1470">
        <f aca="true" t="shared" si="388" ref="R1326:W1326">R1327</f>
        <v>2447250</v>
      </c>
      <c r="S1326" s="1467">
        <f t="shared" si="388"/>
        <v>2634000</v>
      </c>
      <c r="T1326" s="1467">
        <f t="shared" si="388"/>
        <v>0</v>
      </c>
      <c r="U1326" s="1467">
        <f t="shared" si="388"/>
        <v>0</v>
      </c>
      <c r="V1326" s="1467">
        <f t="shared" si="388"/>
        <v>0</v>
      </c>
      <c r="W1326" s="1471">
        <f t="shared" si="388"/>
        <v>2634000</v>
      </c>
      <c r="X1326" s="1454">
        <f>W1326/R1326*100</f>
        <v>107.63101440392278</v>
      </c>
      <c r="Y1326" s="1444"/>
    </row>
    <row r="1327" spans="1:25" ht="36">
      <c r="A1327" s="1497">
        <v>2480</v>
      </c>
      <c r="B1327" s="1513" t="s">
        <v>1149</v>
      </c>
      <c r="C1327" s="1457">
        <v>2388000</v>
      </c>
      <c r="D1327" s="1457">
        <f aca="true" t="shared" si="389" ref="D1327:D1332">J1327+R1327</f>
        <v>2447250</v>
      </c>
      <c r="E1327" s="1458">
        <f>SUM(E1328:E1332)</f>
        <v>2653500</v>
      </c>
      <c r="F1327" s="1459">
        <f>P1327+W1327</f>
        <v>2634000</v>
      </c>
      <c r="G1327" s="1499">
        <f t="shared" si="381"/>
        <v>110.30150753768844</v>
      </c>
      <c r="H1327" s="1499">
        <f t="shared" si="385"/>
        <v>107.63101440392278</v>
      </c>
      <c r="I1327" s="1450"/>
      <c r="J1327" s="1461"/>
      <c r="K1327" s="1457"/>
      <c r="L1327" s="1457"/>
      <c r="M1327" s="1457"/>
      <c r="N1327" s="1457"/>
      <c r="O1327" s="1457"/>
      <c r="P1327" s="1462"/>
      <c r="Q1327" s="1495"/>
      <c r="R1327" s="1461">
        <f>SUM(R1328:R1332)</f>
        <v>2447250</v>
      </c>
      <c r="S1327" s="1457">
        <f>SUM(S1328:S1331)</f>
        <v>2634000</v>
      </c>
      <c r="T1327" s="1457">
        <f>SUM(T1328:T1332)</f>
        <v>0</v>
      </c>
      <c r="U1327" s="1457">
        <f>SUM(U1328:U1332)</f>
        <v>0</v>
      </c>
      <c r="V1327" s="1457">
        <f>SUM(V1328:V1332)</f>
        <v>0</v>
      </c>
      <c r="W1327" s="1462">
        <f aca="true" t="shared" si="390" ref="W1327:W1332">SUM(S1327:V1327)</f>
        <v>2634000</v>
      </c>
      <c r="X1327" s="1496">
        <f>W1327/R1327*100</f>
        <v>107.63101440392278</v>
      </c>
      <c r="Y1327" s="1444"/>
    </row>
    <row r="1328" spans="1:25" ht="12.75">
      <c r="A1328" s="1497"/>
      <c r="B1328" s="1522" t="s">
        <v>1150</v>
      </c>
      <c r="C1328" s="1457">
        <v>2300000</v>
      </c>
      <c r="D1328" s="1523">
        <f t="shared" si="389"/>
        <v>2359250</v>
      </c>
      <c r="E1328" s="1458">
        <v>2545500</v>
      </c>
      <c r="F1328" s="1544">
        <f>P1328+W1328</f>
        <v>2545000</v>
      </c>
      <c r="G1328" s="1538">
        <f t="shared" si="381"/>
        <v>110.65217391304347</v>
      </c>
      <c r="H1328" s="1538">
        <f t="shared" si="385"/>
        <v>107.87326480873159</v>
      </c>
      <c r="I1328" s="1450"/>
      <c r="J1328" s="1461"/>
      <c r="K1328" s="1457"/>
      <c r="L1328" s="1457"/>
      <c r="M1328" s="1457"/>
      <c r="N1328" s="1457"/>
      <c r="O1328" s="1457"/>
      <c r="P1328" s="1462"/>
      <c r="Q1328" s="1495"/>
      <c r="R1328" s="1461">
        <f>2300000+59250</f>
        <v>2359250</v>
      </c>
      <c r="S1328" s="1523">
        <v>2545000</v>
      </c>
      <c r="T1328" s="1457"/>
      <c r="U1328" s="1457"/>
      <c r="V1328" s="1457"/>
      <c r="W1328" s="1527">
        <f t="shared" si="390"/>
        <v>2545000</v>
      </c>
      <c r="X1328" s="1529">
        <f>W1328/R1328*100</f>
        <v>107.87326480873159</v>
      </c>
      <c r="Y1328" s="1444"/>
    </row>
    <row r="1329" spans="1:25" s="618" customFormat="1" ht="12.75">
      <c r="A1329" s="1521"/>
      <c r="B1329" s="1522" t="s">
        <v>1157</v>
      </c>
      <c r="C1329" s="1523">
        <v>50000</v>
      </c>
      <c r="D1329" s="1523">
        <f t="shared" si="389"/>
        <v>50000</v>
      </c>
      <c r="E1329" s="1543">
        <v>70000</v>
      </c>
      <c r="F1329" s="1544">
        <f>P1329+W1329</f>
        <v>51000</v>
      </c>
      <c r="G1329" s="1538">
        <f t="shared" si="381"/>
        <v>102</v>
      </c>
      <c r="H1329" s="1538">
        <f t="shared" si="385"/>
        <v>102</v>
      </c>
      <c r="I1329" s="1450"/>
      <c r="J1329" s="1526"/>
      <c r="K1329" s="1523"/>
      <c r="L1329" s="1523"/>
      <c r="M1329" s="1523"/>
      <c r="N1329" s="1523"/>
      <c r="O1329" s="1523"/>
      <c r="P1329" s="1527"/>
      <c r="Q1329" s="1528"/>
      <c r="R1329" s="1526">
        <v>50000</v>
      </c>
      <c r="S1329" s="1523">
        <v>51000</v>
      </c>
      <c r="T1329" s="1523"/>
      <c r="U1329" s="1523"/>
      <c r="V1329" s="1523"/>
      <c r="W1329" s="1527">
        <f t="shared" si="390"/>
        <v>51000</v>
      </c>
      <c r="X1329" s="1529">
        <f>W1329/R1329*100</f>
        <v>102</v>
      </c>
      <c r="Y1329" s="1444"/>
    </row>
    <row r="1330" spans="1:25" s="618" customFormat="1" ht="12.75">
      <c r="A1330" s="1521"/>
      <c r="B1330" s="1522" t="s">
        <v>1158</v>
      </c>
      <c r="C1330" s="1523">
        <v>38000</v>
      </c>
      <c r="D1330" s="1523">
        <f t="shared" si="389"/>
        <v>38000</v>
      </c>
      <c r="E1330" s="1543">
        <v>38000</v>
      </c>
      <c r="F1330" s="1544">
        <f>P1330+W1330</f>
        <v>38000</v>
      </c>
      <c r="G1330" s="1538">
        <f t="shared" si="381"/>
        <v>100</v>
      </c>
      <c r="H1330" s="1538">
        <f t="shared" si="385"/>
        <v>100</v>
      </c>
      <c r="I1330" s="1450"/>
      <c r="J1330" s="1526"/>
      <c r="K1330" s="1523"/>
      <c r="L1330" s="1523"/>
      <c r="M1330" s="1523"/>
      <c r="N1330" s="1523"/>
      <c r="O1330" s="1523"/>
      <c r="P1330" s="1527"/>
      <c r="Q1330" s="1528"/>
      <c r="R1330" s="1526">
        <v>38000</v>
      </c>
      <c r="S1330" s="1523">
        <v>38000</v>
      </c>
      <c r="T1330" s="1523"/>
      <c r="U1330" s="1523"/>
      <c r="V1330" s="1523"/>
      <c r="W1330" s="1527">
        <f t="shared" si="390"/>
        <v>38000</v>
      </c>
      <c r="X1330" s="1529">
        <f>W1330/R1330*100</f>
        <v>100</v>
      </c>
      <c r="Y1330" s="1444"/>
    </row>
    <row r="1331" spans="1:25" s="618" customFormat="1" ht="12.75" hidden="1">
      <c r="A1331" s="1521"/>
      <c r="B1331" s="1522" t="s">
        <v>1159</v>
      </c>
      <c r="C1331" s="1523"/>
      <c r="D1331" s="1523">
        <f t="shared" si="389"/>
        <v>0</v>
      </c>
      <c r="E1331" s="1543"/>
      <c r="F1331" s="1544"/>
      <c r="G1331" s="1519" t="e">
        <f t="shared" si="381"/>
        <v>#DIV/0!</v>
      </c>
      <c r="H1331" s="1519" t="e">
        <f t="shared" si="385"/>
        <v>#DIV/0!</v>
      </c>
      <c r="I1331" s="1450"/>
      <c r="J1331" s="1526"/>
      <c r="K1331" s="1523"/>
      <c r="L1331" s="1523"/>
      <c r="M1331" s="1523"/>
      <c r="N1331" s="1523"/>
      <c r="O1331" s="1523"/>
      <c r="P1331" s="1527"/>
      <c r="Q1331" s="1528"/>
      <c r="R1331" s="1526"/>
      <c r="S1331" s="1523">
        <v>0</v>
      </c>
      <c r="T1331" s="1523"/>
      <c r="U1331" s="1523"/>
      <c r="V1331" s="1523"/>
      <c r="W1331" s="1527">
        <f t="shared" si="390"/>
        <v>0</v>
      </c>
      <c r="X1331" s="1529"/>
      <c r="Y1331" s="1444"/>
    </row>
    <row r="1332" spans="1:25" s="618" customFormat="1" ht="12.75" hidden="1">
      <c r="A1332" s="1521"/>
      <c r="B1332" s="1522" t="s">
        <v>1160</v>
      </c>
      <c r="C1332" s="1523"/>
      <c r="D1332" s="1457">
        <f t="shared" si="389"/>
        <v>0</v>
      </c>
      <c r="E1332" s="1543">
        <v>0</v>
      </c>
      <c r="F1332" s="1544">
        <f>P1332+W1332</f>
        <v>0</v>
      </c>
      <c r="G1332" s="1519" t="e">
        <f t="shared" si="381"/>
        <v>#DIV/0!</v>
      </c>
      <c r="H1332" s="1519" t="e">
        <f t="shared" si="385"/>
        <v>#DIV/0!</v>
      </c>
      <c r="I1332" s="1450"/>
      <c r="J1332" s="1526"/>
      <c r="K1332" s="1523"/>
      <c r="L1332" s="1523"/>
      <c r="M1332" s="1523"/>
      <c r="N1332" s="1523"/>
      <c r="O1332" s="1523"/>
      <c r="P1332" s="1527"/>
      <c r="Q1332" s="1528"/>
      <c r="R1332" s="1526"/>
      <c r="S1332" s="1523"/>
      <c r="T1332" s="1523"/>
      <c r="U1332" s="1523"/>
      <c r="V1332" s="1523"/>
      <c r="W1332" s="1527">
        <f t="shared" si="390"/>
        <v>0</v>
      </c>
      <c r="X1332" s="1529" t="e">
        <f>W1332/R1332*100</f>
        <v>#DIV/0!</v>
      </c>
      <c r="Y1332" s="1444"/>
    </row>
    <row r="1333" spans="1:27" s="581" customFormat="1" ht="24">
      <c r="A1333" s="1516">
        <v>92109</v>
      </c>
      <c r="B1333" s="1550" t="s">
        <v>1161</v>
      </c>
      <c r="C1333" s="1467">
        <f>C1334</f>
        <v>2150000</v>
      </c>
      <c r="D1333" s="1467">
        <f>D1334</f>
        <v>2381020</v>
      </c>
      <c r="E1333" s="1468">
        <f>E1334</f>
        <v>2476000</v>
      </c>
      <c r="F1333" s="1467">
        <f>F1334</f>
        <v>2261000</v>
      </c>
      <c r="G1333" s="1519">
        <f t="shared" si="381"/>
        <v>105.16279069767442</v>
      </c>
      <c r="H1333" s="1519">
        <f t="shared" si="385"/>
        <v>94.95930315579038</v>
      </c>
      <c r="I1333" s="1450"/>
      <c r="J1333" s="1470">
        <f aca="true" t="shared" si="391" ref="J1333:P1333">J1334</f>
        <v>2381020</v>
      </c>
      <c r="K1333" s="1467">
        <f t="shared" si="391"/>
        <v>1985000</v>
      </c>
      <c r="L1333" s="1467">
        <f t="shared" si="391"/>
        <v>276000</v>
      </c>
      <c r="M1333" s="1467">
        <f t="shared" si="391"/>
        <v>0</v>
      </c>
      <c r="N1333" s="1467">
        <f t="shared" si="391"/>
        <v>0</v>
      </c>
      <c r="O1333" s="1467"/>
      <c r="P1333" s="1471">
        <f t="shared" si="391"/>
        <v>2261000</v>
      </c>
      <c r="Q1333" s="1453">
        <f aca="true" t="shared" si="392" ref="Q1333:Q1348">P1333/J1333*100</f>
        <v>94.95930315579038</v>
      </c>
      <c r="R1333" s="1470"/>
      <c r="S1333" s="1467"/>
      <c r="T1333" s="1467"/>
      <c r="U1333" s="1467"/>
      <c r="V1333" s="1467"/>
      <c r="W1333" s="1471"/>
      <c r="X1333" s="1454"/>
      <c r="Y1333" s="1444"/>
      <c r="Z1333" s="1444">
        <f>SUM(S1336:S1339)</f>
        <v>0</v>
      </c>
      <c r="AA1333" s="1444">
        <f>SUM(T1336:T1339)</f>
        <v>0</v>
      </c>
    </row>
    <row r="1334" spans="1:25" s="581" customFormat="1" ht="12.75">
      <c r="A1334" s="1516"/>
      <c r="B1334" s="1550" t="s">
        <v>1162</v>
      </c>
      <c r="C1334" s="1467">
        <f>SUM(C1335:C1348)+C163+C1357+C1358</f>
        <v>2150000</v>
      </c>
      <c r="D1334" s="1467">
        <f>SUM(D1335:D1348)+D1357+D1358</f>
        <v>2381020</v>
      </c>
      <c r="E1334" s="1518">
        <f>SUM(E1335:E1348)+E1357+E1358</f>
        <v>2476000</v>
      </c>
      <c r="F1334" s="1467">
        <f>SUM(F1335:F1348)+F1357+F1358</f>
        <v>2261000</v>
      </c>
      <c r="G1334" s="1519">
        <f t="shared" si="381"/>
        <v>105.16279069767442</v>
      </c>
      <c r="H1334" s="1519">
        <f t="shared" si="385"/>
        <v>94.95930315579038</v>
      </c>
      <c r="I1334" s="1450"/>
      <c r="J1334" s="1470">
        <f aca="true" t="shared" si="393" ref="J1334:Q1334">SUM(J1335:J1348)+J1358+J1357</f>
        <v>2381020</v>
      </c>
      <c r="K1334" s="1467">
        <f t="shared" si="393"/>
        <v>1985000</v>
      </c>
      <c r="L1334" s="1467">
        <f t="shared" si="393"/>
        <v>276000</v>
      </c>
      <c r="M1334" s="1467">
        <f t="shared" si="393"/>
        <v>0</v>
      </c>
      <c r="N1334" s="1467">
        <f t="shared" si="393"/>
        <v>0</v>
      </c>
      <c r="O1334" s="1467">
        <f t="shared" si="393"/>
        <v>0</v>
      </c>
      <c r="P1334" s="1467">
        <f t="shared" si="393"/>
        <v>2261000</v>
      </c>
      <c r="Q1334" s="1518" t="e">
        <f t="shared" si="393"/>
        <v>#DIV/0!</v>
      </c>
      <c r="R1334" s="1470"/>
      <c r="S1334" s="1467"/>
      <c r="T1334" s="1467"/>
      <c r="U1334" s="1467"/>
      <c r="V1334" s="1467"/>
      <c r="W1334" s="1471"/>
      <c r="X1334" s="1454"/>
      <c r="Y1334" s="1444"/>
    </row>
    <row r="1335" spans="1:25" ht="24" customHeight="1" hidden="1">
      <c r="A1335" s="1497">
        <v>3020</v>
      </c>
      <c r="B1335" s="1513" t="s">
        <v>566</v>
      </c>
      <c r="C1335" s="1457"/>
      <c r="D1335" s="1457">
        <f>J1335+R1335</f>
        <v>0</v>
      </c>
      <c r="E1335" s="1458"/>
      <c r="F1335" s="1459">
        <f>P1335+W1335</f>
        <v>0</v>
      </c>
      <c r="G1335" s="1602" t="e">
        <f t="shared" si="381"/>
        <v>#DIV/0!</v>
      </c>
      <c r="H1335" s="1603" t="e">
        <f t="shared" si="385"/>
        <v>#DIV/0!</v>
      </c>
      <c r="I1335" s="1450"/>
      <c r="J1335" s="1461"/>
      <c r="K1335" s="1457"/>
      <c r="L1335" s="1457"/>
      <c r="M1335" s="1457"/>
      <c r="N1335" s="1457"/>
      <c r="O1335" s="1457"/>
      <c r="P1335" s="1462">
        <f>SUM(K1335:N1335)</f>
        <v>0</v>
      </c>
      <c r="Q1335" s="1495" t="e">
        <f t="shared" si="392"/>
        <v>#DIV/0!</v>
      </c>
      <c r="R1335" s="1461"/>
      <c r="S1335" s="1457"/>
      <c r="T1335" s="1457"/>
      <c r="U1335" s="1457"/>
      <c r="V1335" s="1457"/>
      <c r="W1335" s="1527"/>
      <c r="X1335" s="1496"/>
      <c r="Y1335" s="1444"/>
    </row>
    <row r="1336" spans="1:25" ht="24" customHeight="1" hidden="1">
      <c r="A1336" s="1497">
        <v>4010</v>
      </c>
      <c r="B1336" s="1513" t="s">
        <v>626</v>
      </c>
      <c r="C1336" s="1457"/>
      <c r="D1336" s="1457">
        <f aca="true" t="shared" si="394" ref="D1336:D1358">J1336+R1336</f>
        <v>0</v>
      </c>
      <c r="E1336" s="1458"/>
      <c r="F1336" s="1459">
        <f aca="true" t="shared" si="395" ref="F1336:F1358">P1336+W1336</f>
        <v>0</v>
      </c>
      <c r="G1336" s="1437" t="e">
        <f t="shared" si="381"/>
        <v>#DIV/0!</v>
      </c>
      <c r="H1336" s="1438" t="e">
        <f t="shared" si="385"/>
        <v>#DIV/0!</v>
      </c>
      <c r="I1336" s="1450"/>
      <c r="J1336" s="1461"/>
      <c r="K1336" s="1457"/>
      <c r="L1336" s="1457"/>
      <c r="M1336" s="1457"/>
      <c r="N1336" s="1457"/>
      <c r="O1336" s="1457"/>
      <c r="P1336" s="1462">
        <f aca="true" t="shared" si="396" ref="P1336:P1358">SUM(K1336:N1336)</f>
        <v>0</v>
      </c>
      <c r="Q1336" s="1495" t="e">
        <f t="shared" si="392"/>
        <v>#DIV/0!</v>
      </c>
      <c r="R1336" s="1461"/>
      <c r="S1336" s="1457"/>
      <c r="T1336" s="1457"/>
      <c r="U1336" s="1457"/>
      <c r="V1336" s="1457"/>
      <c r="W1336" s="1527"/>
      <c r="X1336" s="1496"/>
      <c r="Y1336" s="1444"/>
    </row>
    <row r="1337" spans="1:25" ht="24" customHeight="1" hidden="1">
      <c r="A1337" s="1497">
        <v>4040</v>
      </c>
      <c r="B1337" s="1513" t="s">
        <v>630</v>
      </c>
      <c r="C1337" s="1457"/>
      <c r="D1337" s="1457">
        <f t="shared" si="394"/>
        <v>0</v>
      </c>
      <c r="E1337" s="1458"/>
      <c r="F1337" s="1459">
        <f t="shared" si="395"/>
        <v>0</v>
      </c>
      <c r="G1337" s="1437" t="e">
        <f t="shared" si="381"/>
        <v>#DIV/0!</v>
      </c>
      <c r="H1337" s="1438" t="e">
        <f t="shared" si="385"/>
        <v>#DIV/0!</v>
      </c>
      <c r="I1337" s="1450"/>
      <c r="J1337" s="1461"/>
      <c r="K1337" s="1457"/>
      <c r="L1337" s="1457"/>
      <c r="M1337" s="1457"/>
      <c r="N1337" s="1457"/>
      <c r="O1337" s="1457"/>
      <c r="P1337" s="1462">
        <f t="shared" si="396"/>
        <v>0</v>
      </c>
      <c r="Q1337" s="1495" t="e">
        <f t="shared" si="392"/>
        <v>#DIV/0!</v>
      </c>
      <c r="R1337" s="1461"/>
      <c r="S1337" s="1457"/>
      <c r="T1337" s="1457"/>
      <c r="U1337" s="1457"/>
      <c r="V1337" s="1457"/>
      <c r="W1337" s="1527"/>
      <c r="X1337" s="1496"/>
      <c r="Y1337" s="1444"/>
    </row>
    <row r="1338" spans="1:25" ht="24" customHeight="1" hidden="1">
      <c r="A1338" s="1497">
        <v>4110</v>
      </c>
      <c r="B1338" s="1513" t="s">
        <v>568</v>
      </c>
      <c r="C1338" s="1457"/>
      <c r="D1338" s="1457">
        <f t="shared" si="394"/>
        <v>0</v>
      </c>
      <c r="E1338" s="1458"/>
      <c r="F1338" s="1459">
        <f t="shared" si="395"/>
        <v>0</v>
      </c>
      <c r="G1338" s="1437" t="e">
        <f t="shared" si="381"/>
        <v>#DIV/0!</v>
      </c>
      <c r="H1338" s="1438" t="e">
        <f t="shared" si="385"/>
        <v>#DIV/0!</v>
      </c>
      <c r="I1338" s="1450"/>
      <c r="J1338" s="1461"/>
      <c r="K1338" s="1457"/>
      <c r="L1338" s="1457"/>
      <c r="M1338" s="1457"/>
      <c r="N1338" s="1457"/>
      <c r="O1338" s="1457"/>
      <c r="P1338" s="1462">
        <f t="shared" si="396"/>
        <v>0</v>
      </c>
      <c r="Q1338" s="1495" t="e">
        <f t="shared" si="392"/>
        <v>#DIV/0!</v>
      </c>
      <c r="R1338" s="1461"/>
      <c r="S1338" s="1457"/>
      <c r="T1338" s="1457"/>
      <c r="U1338" s="1457"/>
      <c r="V1338" s="1457"/>
      <c r="W1338" s="1527"/>
      <c r="X1338" s="1496"/>
      <c r="Y1338" s="1444"/>
    </row>
    <row r="1339" spans="1:25" ht="12.75" customHeight="1" hidden="1">
      <c r="A1339" s="1497">
        <v>4120</v>
      </c>
      <c r="B1339" s="1513" t="s">
        <v>758</v>
      </c>
      <c r="C1339" s="1457"/>
      <c r="D1339" s="1457">
        <f t="shared" si="394"/>
        <v>0</v>
      </c>
      <c r="E1339" s="1458"/>
      <c r="F1339" s="1459">
        <f t="shared" si="395"/>
        <v>0</v>
      </c>
      <c r="G1339" s="1437" t="e">
        <f t="shared" si="381"/>
        <v>#DIV/0!</v>
      </c>
      <c r="H1339" s="1438" t="e">
        <f t="shared" si="385"/>
        <v>#DIV/0!</v>
      </c>
      <c r="I1339" s="1450"/>
      <c r="J1339" s="1461"/>
      <c r="K1339" s="1457"/>
      <c r="L1339" s="1457"/>
      <c r="M1339" s="1457"/>
      <c r="N1339" s="1457"/>
      <c r="O1339" s="1457"/>
      <c r="P1339" s="1462">
        <f t="shared" si="396"/>
        <v>0</v>
      </c>
      <c r="Q1339" s="1495" t="e">
        <f t="shared" si="392"/>
        <v>#DIV/0!</v>
      </c>
      <c r="R1339" s="1461"/>
      <c r="S1339" s="1457"/>
      <c r="T1339" s="1457"/>
      <c r="U1339" s="1457"/>
      <c r="V1339" s="1457"/>
      <c r="W1339" s="1527"/>
      <c r="X1339" s="1496"/>
      <c r="Y1339" s="1444"/>
    </row>
    <row r="1340" spans="1:25" ht="24" customHeight="1" hidden="1">
      <c r="A1340" s="1497">
        <v>4210</v>
      </c>
      <c r="B1340" s="1513" t="s">
        <v>560</v>
      </c>
      <c r="C1340" s="1457"/>
      <c r="D1340" s="1457">
        <f t="shared" si="394"/>
        <v>0</v>
      </c>
      <c r="E1340" s="1458"/>
      <c r="F1340" s="1459">
        <f t="shared" si="395"/>
        <v>0</v>
      </c>
      <c r="G1340" s="1437" t="e">
        <f t="shared" si="381"/>
        <v>#DIV/0!</v>
      </c>
      <c r="H1340" s="1438" t="e">
        <f t="shared" si="385"/>
        <v>#DIV/0!</v>
      </c>
      <c r="I1340" s="1450"/>
      <c r="J1340" s="1461"/>
      <c r="K1340" s="1457"/>
      <c r="L1340" s="1457"/>
      <c r="M1340" s="1457"/>
      <c r="N1340" s="1457"/>
      <c r="O1340" s="1457"/>
      <c r="P1340" s="1462">
        <f t="shared" si="396"/>
        <v>0</v>
      </c>
      <c r="Q1340" s="1495" t="e">
        <f t="shared" si="392"/>
        <v>#DIV/0!</v>
      </c>
      <c r="R1340" s="1461"/>
      <c r="S1340" s="1457"/>
      <c r="T1340" s="1457"/>
      <c r="U1340" s="1457"/>
      <c r="V1340" s="1457"/>
      <c r="W1340" s="1527"/>
      <c r="X1340" s="1496"/>
      <c r="Y1340" s="1444"/>
    </row>
    <row r="1341" spans="1:25" ht="24" customHeight="1" hidden="1">
      <c r="A1341" s="1497">
        <v>4240</v>
      </c>
      <c r="B1341" s="1513" t="s">
        <v>897</v>
      </c>
      <c r="C1341" s="1457"/>
      <c r="D1341" s="1457">
        <f t="shared" si="394"/>
        <v>0</v>
      </c>
      <c r="E1341" s="1458"/>
      <c r="F1341" s="1459">
        <f t="shared" si="395"/>
        <v>0</v>
      </c>
      <c r="G1341" s="1437" t="e">
        <f t="shared" si="381"/>
        <v>#DIV/0!</v>
      </c>
      <c r="H1341" s="1438" t="e">
        <f t="shared" si="385"/>
        <v>#DIV/0!</v>
      </c>
      <c r="I1341" s="1450"/>
      <c r="J1341" s="1461"/>
      <c r="K1341" s="1457"/>
      <c r="L1341" s="1457"/>
      <c r="M1341" s="1457"/>
      <c r="N1341" s="1457"/>
      <c r="O1341" s="1457"/>
      <c r="P1341" s="1462">
        <f t="shared" si="396"/>
        <v>0</v>
      </c>
      <c r="Q1341" s="1495" t="e">
        <f t="shared" si="392"/>
        <v>#DIV/0!</v>
      </c>
      <c r="R1341" s="1461"/>
      <c r="S1341" s="1457"/>
      <c r="T1341" s="1457"/>
      <c r="U1341" s="1457"/>
      <c r="V1341" s="1457"/>
      <c r="W1341" s="1527"/>
      <c r="X1341" s="1496"/>
      <c r="Y1341" s="1444"/>
    </row>
    <row r="1342" spans="1:25" ht="12.75" customHeight="1" hidden="1">
      <c r="A1342" s="1497">
        <v>4260</v>
      </c>
      <c r="B1342" s="1513" t="s">
        <v>575</v>
      </c>
      <c r="C1342" s="1457"/>
      <c r="D1342" s="1457">
        <f t="shared" si="394"/>
        <v>0</v>
      </c>
      <c r="E1342" s="1458"/>
      <c r="F1342" s="1459">
        <f t="shared" si="395"/>
        <v>0</v>
      </c>
      <c r="G1342" s="1437" t="e">
        <f t="shared" si="381"/>
        <v>#DIV/0!</v>
      </c>
      <c r="H1342" s="1438" t="e">
        <f t="shared" si="385"/>
        <v>#DIV/0!</v>
      </c>
      <c r="I1342" s="1450"/>
      <c r="J1342" s="1461"/>
      <c r="K1342" s="1457"/>
      <c r="L1342" s="1457"/>
      <c r="M1342" s="1457"/>
      <c r="N1342" s="1457"/>
      <c r="O1342" s="1457"/>
      <c r="P1342" s="1462">
        <f t="shared" si="396"/>
        <v>0</v>
      </c>
      <c r="Q1342" s="1495" t="e">
        <f t="shared" si="392"/>
        <v>#DIV/0!</v>
      </c>
      <c r="R1342" s="1461"/>
      <c r="S1342" s="1457"/>
      <c r="T1342" s="1457"/>
      <c r="U1342" s="1457"/>
      <c r="V1342" s="1457"/>
      <c r="W1342" s="1527"/>
      <c r="X1342" s="1496"/>
      <c r="Y1342" s="1444"/>
    </row>
    <row r="1343" spans="1:25" ht="12.75" customHeight="1" hidden="1">
      <c r="A1343" s="1497">
        <v>4300</v>
      </c>
      <c r="B1343" s="1513" t="s">
        <v>564</v>
      </c>
      <c r="C1343" s="1457"/>
      <c r="D1343" s="1457">
        <f t="shared" si="394"/>
        <v>0</v>
      </c>
      <c r="E1343" s="1458"/>
      <c r="F1343" s="1459">
        <f t="shared" si="395"/>
        <v>0</v>
      </c>
      <c r="G1343" s="1437" t="e">
        <f t="shared" si="381"/>
        <v>#DIV/0!</v>
      </c>
      <c r="H1343" s="1438" t="e">
        <f t="shared" si="385"/>
        <v>#DIV/0!</v>
      </c>
      <c r="I1343" s="1450"/>
      <c r="J1343" s="1461"/>
      <c r="K1343" s="1457"/>
      <c r="L1343" s="1457"/>
      <c r="M1343" s="1457"/>
      <c r="N1343" s="1457"/>
      <c r="O1343" s="1457"/>
      <c r="P1343" s="1462">
        <f t="shared" si="396"/>
        <v>0</v>
      </c>
      <c r="Q1343" s="1495" t="e">
        <f t="shared" si="392"/>
        <v>#DIV/0!</v>
      </c>
      <c r="R1343" s="1461"/>
      <c r="S1343" s="1457"/>
      <c r="T1343" s="1457"/>
      <c r="U1343" s="1457"/>
      <c r="V1343" s="1457"/>
      <c r="W1343" s="1527"/>
      <c r="X1343" s="1496"/>
      <c r="Y1343" s="1444"/>
    </row>
    <row r="1344" spans="1:25" ht="12.75" customHeight="1" hidden="1">
      <c r="A1344" s="1497">
        <v>4410</v>
      </c>
      <c r="B1344" s="1513" t="s">
        <v>618</v>
      </c>
      <c r="C1344" s="1457"/>
      <c r="D1344" s="1457">
        <f t="shared" si="394"/>
        <v>0</v>
      </c>
      <c r="E1344" s="1458"/>
      <c r="F1344" s="1459">
        <f t="shared" si="395"/>
        <v>0</v>
      </c>
      <c r="G1344" s="1437" t="e">
        <f t="shared" si="381"/>
        <v>#DIV/0!</v>
      </c>
      <c r="H1344" s="1438" t="e">
        <f t="shared" si="385"/>
        <v>#DIV/0!</v>
      </c>
      <c r="I1344" s="1450"/>
      <c r="J1344" s="1461"/>
      <c r="K1344" s="1457"/>
      <c r="L1344" s="1457"/>
      <c r="M1344" s="1457"/>
      <c r="N1344" s="1457"/>
      <c r="O1344" s="1457"/>
      <c r="P1344" s="1462">
        <f t="shared" si="396"/>
        <v>0</v>
      </c>
      <c r="Q1344" s="1495" t="e">
        <f t="shared" si="392"/>
        <v>#DIV/0!</v>
      </c>
      <c r="R1344" s="1461"/>
      <c r="S1344" s="1457"/>
      <c r="T1344" s="1457"/>
      <c r="U1344" s="1457"/>
      <c r="V1344" s="1457"/>
      <c r="W1344" s="1527"/>
      <c r="X1344" s="1496"/>
      <c r="Y1344" s="1444"/>
    </row>
    <row r="1345" spans="1:25" ht="12.75" customHeight="1" hidden="1">
      <c r="A1345" s="1497">
        <v>4430</v>
      </c>
      <c r="B1345" s="1513" t="s">
        <v>582</v>
      </c>
      <c r="C1345" s="1457"/>
      <c r="D1345" s="1457">
        <f t="shared" si="394"/>
        <v>0</v>
      </c>
      <c r="E1345" s="1458"/>
      <c r="F1345" s="1459">
        <f t="shared" si="395"/>
        <v>0</v>
      </c>
      <c r="G1345" s="1437" t="e">
        <f t="shared" si="381"/>
        <v>#DIV/0!</v>
      </c>
      <c r="H1345" s="1438" t="e">
        <f t="shared" si="385"/>
        <v>#DIV/0!</v>
      </c>
      <c r="I1345" s="1450"/>
      <c r="J1345" s="1461"/>
      <c r="K1345" s="1457"/>
      <c r="L1345" s="1457"/>
      <c r="M1345" s="1457"/>
      <c r="N1345" s="1457"/>
      <c r="O1345" s="1457"/>
      <c r="P1345" s="1462">
        <f t="shared" si="396"/>
        <v>0</v>
      </c>
      <c r="Q1345" s="1495" t="e">
        <f t="shared" si="392"/>
        <v>#DIV/0!</v>
      </c>
      <c r="R1345" s="1461"/>
      <c r="S1345" s="1457"/>
      <c r="T1345" s="1457"/>
      <c r="U1345" s="1457"/>
      <c r="V1345" s="1457"/>
      <c r="W1345" s="1527"/>
      <c r="X1345" s="1496"/>
      <c r="Y1345" s="1444"/>
    </row>
    <row r="1346" spans="1:25" ht="12.75" customHeight="1" hidden="1">
      <c r="A1346" s="1497">
        <v>4440</v>
      </c>
      <c r="B1346" s="1513" t="s">
        <v>641</v>
      </c>
      <c r="C1346" s="1457"/>
      <c r="D1346" s="1457">
        <f t="shared" si="394"/>
        <v>0</v>
      </c>
      <c r="E1346" s="1458"/>
      <c r="F1346" s="1459">
        <f t="shared" si="395"/>
        <v>0</v>
      </c>
      <c r="G1346" s="1437" t="e">
        <f t="shared" si="381"/>
        <v>#DIV/0!</v>
      </c>
      <c r="H1346" s="1438" t="e">
        <f t="shared" si="385"/>
        <v>#DIV/0!</v>
      </c>
      <c r="I1346" s="1450"/>
      <c r="J1346" s="1461"/>
      <c r="K1346" s="1457"/>
      <c r="L1346" s="1457"/>
      <c r="M1346" s="1457"/>
      <c r="N1346" s="1457"/>
      <c r="O1346" s="1457"/>
      <c r="P1346" s="1462">
        <f t="shared" si="396"/>
        <v>0</v>
      </c>
      <c r="Q1346" s="1495" t="e">
        <f t="shared" si="392"/>
        <v>#DIV/0!</v>
      </c>
      <c r="R1346" s="1461"/>
      <c r="S1346" s="1457"/>
      <c r="T1346" s="1457"/>
      <c r="U1346" s="1457"/>
      <c r="V1346" s="1457"/>
      <c r="W1346" s="1527"/>
      <c r="X1346" s="1496"/>
      <c r="Y1346" s="1444"/>
    </row>
    <row r="1347" spans="1:25" ht="13.5" hidden="1" thickTop="1">
      <c r="A1347" s="1497">
        <v>4480</v>
      </c>
      <c r="B1347" s="1513" t="s">
        <v>1327</v>
      </c>
      <c r="C1347" s="1457">
        <v>0</v>
      </c>
      <c r="D1347" s="1457">
        <f t="shared" si="394"/>
        <v>0</v>
      </c>
      <c r="E1347" s="1458"/>
      <c r="F1347" s="1459">
        <f t="shared" si="395"/>
        <v>0</v>
      </c>
      <c r="G1347" s="1474" t="e">
        <f t="shared" si="381"/>
        <v>#DIV/0!</v>
      </c>
      <c r="H1347" s="1475" t="e">
        <f t="shared" si="385"/>
        <v>#DIV/0!</v>
      </c>
      <c r="I1347" s="1450"/>
      <c r="J1347" s="1461"/>
      <c r="K1347" s="1457"/>
      <c r="L1347" s="1457"/>
      <c r="M1347" s="1457"/>
      <c r="N1347" s="1457"/>
      <c r="O1347" s="1457"/>
      <c r="P1347" s="1462">
        <f t="shared" si="396"/>
        <v>0</v>
      </c>
      <c r="Q1347" s="1495" t="e">
        <f t="shared" si="392"/>
        <v>#DIV/0!</v>
      </c>
      <c r="R1347" s="1461"/>
      <c r="S1347" s="1457"/>
      <c r="T1347" s="1457"/>
      <c r="U1347" s="1457"/>
      <c r="V1347" s="1457"/>
      <c r="W1347" s="1527"/>
      <c r="X1347" s="1496"/>
      <c r="Y1347" s="1444"/>
    </row>
    <row r="1348" spans="1:25" ht="36">
      <c r="A1348" s="1497">
        <v>2480</v>
      </c>
      <c r="B1348" s="1513" t="s">
        <v>1149</v>
      </c>
      <c r="C1348" s="1457">
        <v>1950000</v>
      </c>
      <c r="D1348" s="1457">
        <f t="shared" si="394"/>
        <v>2251300</v>
      </c>
      <c r="E1348" s="1458">
        <f>SUM(E1349:E1356)</f>
        <v>2100000</v>
      </c>
      <c r="F1348" s="1459">
        <f t="shared" si="395"/>
        <v>1985000</v>
      </c>
      <c r="G1348" s="1499">
        <f t="shared" si="381"/>
        <v>101.7948717948718</v>
      </c>
      <c r="H1348" s="1499">
        <f t="shared" si="385"/>
        <v>88.1712788166837</v>
      </c>
      <c r="I1348" s="1450"/>
      <c r="J1348" s="1461">
        <f>SUM(J1349:J1356)</f>
        <v>2251300</v>
      </c>
      <c r="K1348" s="1457">
        <f>SUM(K1349:K1353)</f>
        <v>1985000</v>
      </c>
      <c r="L1348" s="1457">
        <f>SUM(L1349:L1356)</f>
        <v>0</v>
      </c>
      <c r="M1348" s="1457">
        <f>SUM(M1349:M1356)</f>
        <v>0</v>
      </c>
      <c r="N1348" s="1457">
        <f>SUM(N1349:N1356)</f>
        <v>0</v>
      </c>
      <c r="O1348" s="1457"/>
      <c r="P1348" s="1462">
        <f t="shared" si="396"/>
        <v>1985000</v>
      </c>
      <c r="Q1348" s="1495">
        <f t="shared" si="392"/>
        <v>88.1712788166837</v>
      </c>
      <c r="R1348" s="1461"/>
      <c r="S1348" s="1457"/>
      <c r="T1348" s="1457"/>
      <c r="U1348" s="1457"/>
      <c r="V1348" s="1457"/>
      <c r="W1348" s="1527"/>
      <c r="X1348" s="1496"/>
      <c r="Y1348" s="1444"/>
    </row>
    <row r="1349" spans="1:25" ht="12.75">
      <c r="A1349" s="1497"/>
      <c r="B1349" s="1513" t="s">
        <v>1163</v>
      </c>
      <c r="C1349" s="1457">
        <v>1450000</v>
      </c>
      <c r="D1349" s="1457">
        <f t="shared" si="394"/>
        <v>1450000</v>
      </c>
      <c r="E1349" s="1458">
        <v>1550000</v>
      </c>
      <c r="F1349" s="1459">
        <f t="shared" si="395"/>
        <v>1475000</v>
      </c>
      <c r="G1349" s="1538">
        <f t="shared" si="381"/>
        <v>101.72413793103448</v>
      </c>
      <c r="H1349" s="1538">
        <f t="shared" si="385"/>
        <v>101.72413793103448</v>
      </c>
      <c r="I1349" s="1450"/>
      <c r="J1349" s="1461">
        <f>1450000</f>
        <v>1450000</v>
      </c>
      <c r="K1349" s="1457">
        <v>1475000</v>
      </c>
      <c r="L1349" s="1457"/>
      <c r="M1349" s="1457"/>
      <c r="N1349" s="1457"/>
      <c r="O1349" s="1457"/>
      <c r="P1349" s="1462">
        <f t="shared" si="396"/>
        <v>1475000</v>
      </c>
      <c r="Q1349" s="1495"/>
      <c r="R1349" s="1461"/>
      <c r="S1349" s="1457"/>
      <c r="T1349" s="1457"/>
      <c r="U1349" s="1457"/>
      <c r="V1349" s="1457"/>
      <c r="W1349" s="1527"/>
      <c r="X1349" s="1496"/>
      <c r="Y1349" s="1444"/>
    </row>
    <row r="1350" spans="1:25" ht="12.75">
      <c r="A1350" s="1497"/>
      <c r="B1350" s="1513" t="s">
        <v>1164</v>
      </c>
      <c r="C1350" s="1457">
        <v>500000</v>
      </c>
      <c r="D1350" s="1457">
        <f t="shared" si="394"/>
        <v>580000</v>
      </c>
      <c r="E1350" s="1458">
        <v>550000</v>
      </c>
      <c r="F1350" s="1459">
        <f t="shared" si="395"/>
        <v>510000</v>
      </c>
      <c r="G1350" s="1538">
        <f t="shared" si="381"/>
        <v>102</v>
      </c>
      <c r="H1350" s="1538">
        <f t="shared" si="385"/>
        <v>87.93103448275862</v>
      </c>
      <c r="I1350" s="1450"/>
      <c r="J1350" s="1461">
        <f>500000+80000</f>
        <v>580000</v>
      </c>
      <c r="K1350" s="1457">
        <v>510000</v>
      </c>
      <c r="L1350" s="1457"/>
      <c r="M1350" s="1457"/>
      <c r="N1350" s="1457"/>
      <c r="O1350" s="1457"/>
      <c r="P1350" s="1462">
        <f t="shared" si="396"/>
        <v>510000</v>
      </c>
      <c r="Q1350" s="1495"/>
      <c r="R1350" s="1461"/>
      <c r="S1350" s="1457"/>
      <c r="T1350" s="1457"/>
      <c r="U1350" s="1457"/>
      <c r="V1350" s="1457"/>
      <c r="W1350" s="1527"/>
      <c r="X1350" s="1496"/>
      <c r="Y1350" s="1444"/>
    </row>
    <row r="1351" spans="1:25" ht="14.25" customHeight="1">
      <c r="A1351" s="1497"/>
      <c r="B1351" s="1513" t="s">
        <v>1165</v>
      </c>
      <c r="C1351" s="1457"/>
      <c r="D1351" s="1457">
        <f t="shared" si="394"/>
        <v>48800</v>
      </c>
      <c r="E1351" s="1458">
        <v>0</v>
      </c>
      <c r="F1351" s="1459">
        <f t="shared" si="395"/>
        <v>0</v>
      </c>
      <c r="G1351" s="1538"/>
      <c r="H1351" s="1538">
        <f t="shared" si="385"/>
        <v>0</v>
      </c>
      <c r="I1351" s="1450"/>
      <c r="J1351" s="1461">
        <v>48800</v>
      </c>
      <c r="K1351" s="1457"/>
      <c r="L1351" s="1457"/>
      <c r="M1351" s="1457"/>
      <c r="N1351" s="1457"/>
      <c r="O1351" s="1457"/>
      <c r="P1351" s="1462">
        <f t="shared" si="396"/>
        <v>0</v>
      </c>
      <c r="Q1351" s="1495"/>
      <c r="R1351" s="1461"/>
      <c r="S1351" s="1457"/>
      <c r="T1351" s="1457"/>
      <c r="U1351" s="1457"/>
      <c r="V1351" s="1457"/>
      <c r="W1351" s="1527"/>
      <c r="X1351" s="1496"/>
      <c r="Y1351" s="1444"/>
    </row>
    <row r="1352" spans="1:25" ht="24">
      <c r="A1352" s="1497"/>
      <c r="B1352" s="1513" t="s">
        <v>1166</v>
      </c>
      <c r="C1352" s="1457"/>
      <c r="D1352" s="1457">
        <f t="shared" si="394"/>
        <v>1500</v>
      </c>
      <c r="E1352" s="1458">
        <v>0</v>
      </c>
      <c r="F1352" s="1459">
        <f t="shared" si="395"/>
        <v>0</v>
      </c>
      <c r="G1352" s="1538"/>
      <c r="H1352" s="1538">
        <f t="shared" si="385"/>
        <v>0</v>
      </c>
      <c r="I1352" s="1450"/>
      <c r="J1352" s="1461">
        <v>1500</v>
      </c>
      <c r="K1352" s="1457"/>
      <c r="L1352" s="1457"/>
      <c r="M1352" s="1457"/>
      <c r="N1352" s="1457"/>
      <c r="O1352" s="1457"/>
      <c r="P1352" s="1462">
        <f t="shared" si="396"/>
        <v>0</v>
      </c>
      <c r="Q1352" s="1495"/>
      <c r="R1352" s="1461"/>
      <c r="S1352" s="1457"/>
      <c r="T1352" s="1457"/>
      <c r="U1352" s="1457"/>
      <c r="V1352" s="1457"/>
      <c r="W1352" s="1527"/>
      <c r="X1352" s="1496"/>
      <c r="Y1352" s="1444"/>
    </row>
    <row r="1353" spans="1:25" ht="12.75">
      <c r="A1353" s="1497"/>
      <c r="B1353" s="1513" t="s">
        <v>1167</v>
      </c>
      <c r="C1353" s="1457"/>
      <c r="D1353" s="1457">
        <f t="shared" si="394"/>
        <v>15000</v>
      </c>
      <c r="E1353" s="1458">
        <v>0</v>
      </c>
      <c r="F1353" s="1459">
        <f t="shared" si="395"/>
        <v>0</v>
      </c>
      <c r="G1353" s="1538"/>
      <c r="H1353" s="1538">
        <f t="shared" si="385"/>
        <v>0</v>
      </c>
      <c r="I1353" s="1450"/>
      <c r="J1353" s="1461">
        <v>15000</v>
      </c>
      <c r="K1353" s="1457"/>
      <c r="L1353" s="1457"/>
      <c r="M1353" s="1457"/>
      <c r="N1353" s="1457">
        <v>0</v>
      </c>
      <c r="O1353" s="1457"/>
      <c r="P1353" s="1462">
        <f t="shared" si="396"/>
        <v>0</v>
      </c>
      <c r="Q1353" s="1495"/>
      <c r="R1353" s="1461"/>
      <c r="S1353" s="1457"/>
      <c r="T1353" s="1457"/>
      <c r="U1353" s="1457"/>
      <c r="V1353" s="1457"/>
      <c r="W1353" s="1527"/>
      <c r="X1353" s="1496"/>
      <c r="Y1353" s="1444"/>
    </row>
    <row r="1354" spans="1:25" ht="12.75">
      <c r="A1354" s="1497"/>
      <c r="B1354" s="1513" t="s">
        <v>1168</v>
      </c>
      <c r="C1354" s="1457"/>
      <c r="D1354" s="1457">
        <f t="shared" si="394"/>
        <v>20000</v>
      </c>
      <c r="E1354" s="1458">
        <v>0</v>
      </c>
      <c r="F1354" s="1459">
        <f t="shared" si="395"/>
        <v>0</v>
      </c>
      <c r="G1354" s="1538"/>
      <c r="H1354" s="1538">
        <f t="shared" si="385"/>
        <v>0</v>
      </c>
      <c r="I1354" s="1450"/>
      <c r="J1354" s="1461">
        <v>20000</v>
      </c>
      <c r="K1354" s="1457"/>
      <c r="L1354" s="1457"/>
      <c r="M1354" s="1457"/>
      <c r="N1354" s="1457">
        <v>0</v>
      </c>
      <c r="O1354" s="1457"/>
      <c r="P1354" s="1462">
        <f t="shared" si="396"/>
        <v>0</v>
      </c>
      <c r="Q1354" s="1495"/>
      <c r="R1354" s="1461"/>
      <c r="S1354" s="1457"/>
      <c r="T1354" s="1457"/>
      <c r="U1354" s="1457"/>
      <c r="V1354" s="1457"/>
      <c r="W1354" s="1527"/>
      <c r="X1354" s="1496"/>
      <c r="Y1354" s="1444"/>
    </row>
    <row r="1355" spans="1:25" ht="12.75">
      <c r="A1355" s="1497"/>
      <c r="B1355" s="1513" t="s">
        <v>1169</v>
      </c>
      <c r="C1355" s="1457"/>
      <c r="D1355" s="1457">
        <f t="shared" si="394"/>
        <v>84000</v>
      </c>
      <c r="E1355" s="1458">
        <v>0</v>
      </c>
      <c r="F1355" s="1459">
        <f t="shared" si="395"/>
        <v>0</v>
      </c>
      <c r="G1355" s="1538"/>
      <c r="H1355" s="1538">
        <f t="shared" si="385"/>
        <v>0</v>
      </c>
      <c r="I1355" s="1450"/>
      <c r="J1355" s="1461">
        <v>84000</v>
      </c>
      <c r="K1355" s="1457"/>
      <c r="L1355" s="1457"/>
      <c r="M1355" s="1457"/>
      <c r="N1355" s="1457">
        <v>0</v>
      </c>
      <c r="O1355" s="1457"/>
      <c r="P1355" s="1462">
        <f t="shared" si="396"/>
        <v>0</v>
      </c>
      <c r="Q1355" s="1495"/>
      <c r="R1355" s="1461"/>
      <c r="S1355" s="1457"/>
      <c r="T1355" s="1457"/>
      <c r="U1355" s="1457"/>
      <c r="V1355" s="1457"/>
      <c r="W1355" s="1527"/>
      <c r="X1355" s="1496"/>
      <c r="Y1355" s="1444"/>
    </row>
    <row r="1356" spans="1:25" ht="24">
      <c r="A1356" s="1497"/>
      <c r="B1356" s="1513" t="s">
        <v>1170</v>
      </c>
      <c r="C1356" s="1457"/>
      <c r="D1356" s="1457">
        <f t="shared" si="394"/>
        <v>52000</v>
      </c>
      <c r="E1356" s="1458">
        <v>0</v>
      </c>
      <c r="F1356" s="1459">
        <f t="shared" si="395"/>
        <v>0</v>
      </c>
      <c r="G1356" s="1538"/>
      <c r="H1356" s="1538">
        <f t="shared" si="385"/>
        <v>0</v>
      </c>
      <c r="I1356" s="1450"/>
      <c r="J1356" s="1461">
        <v>52000</v>
      </c>
      <c r="K1356" s="1457"/>
      <c r="L1356" s="1457"/>
      <c r="M1356" s="1457"/>
      <c r="N1356" s="1457">
        <v>0</v>
      </c>
      <c r="O1356" s="1457"/>
      <c r="P1356" s="1462">
        <f t="shared" si="396"/>
        <v>0</v>
      </c>
      <c r="Q1356" s="1495"/>
      <c r="R1356" s="1461"/>
      <c r="S1356" s="1457"/>
      <c r="T1356" s="1457"/>
      <c r="U1356" s="1457"/>
      <c r="V1356" s="1457"/>
      <c r="W1356" s="1527"/>
      <c r="X1356" s="1496"/>
      <c r="Y1356" s="1444"/>
    </row>
    <row r="1357" spans="1:25" ht="24">
      <c r="A1357" s="1497">
        <v>6050</v>
      </c>
      <c r="B1357" s="1513" t="s">
        <v>1171</v>
      </c>
      <c r="C1357" s="1457">
        <v>100000</v>
      </c>
      <c r="D1357" s="1457">
        <f t="shared" si="394"/>
        <v>100000</v>
      </c>
      <c r="E1357" s="1458">
        <v>200000</v>
      </c>
      <c r="F1357" s="1459">
        <f t="shared" si="395"/>
        <v>100000</v>
      </c>
      <c r="G1357" s="1499">
        <f t="shared" si="381"/>
        <v>100</v>
      </c>
      <c r="H1357" s="1499">
        <f t="shared" si="385"/>
        <v>100</v>
      </c>
      <c r="I1357" s="1450"/>
      <c r="J1357" s="1461">
        <v>100000</v>
      </c>
      <c r="K1357" s="1457"/>
      <c r="L1357" s="1457">
        <v>100000</v>
      </c>
      <c r="M1357" s="1457"/>
      <c r="N1357" s="1457"/>
      <c r="O1357" s="1457"/>
      <c r="P1357" s="1462">
        <f t="shared" si="396"/>
        <v>100000</v>
      </c>
      <c r="Q1357" s="1495"/>
      <c r="R1357" s="1461"/>
      <c r="S1357" s="1457"/>
      <c r="T1357" s="1457"/>
      <c r="U1357" s="1457"/>
      <c r="V1357" s="1457"/>
      <c r="W1357" s="1527"/>
      <c r="X1357" s="1496"/>
      <c r="Y1357" s="1444"/>
    </row>
    <row r="1358" spans="1:25" ht="72">
      <c r="A1358" s="1497">
        <v>6220</v>
      </c>
      <c r="B1358" s="1513" t="s">
        <v>1172</v>
      </c>
      <c r="C1358" s="1457">
        <v>100000</v>
      </c>
      <c r="D1358" s="1457">
        <f t="shared" si="394"/>
        <v>29720</v>
      </c>
      <c r="E1358" s="1458">
        <v>176000</v>
      </c>
      <c r="F1358" s="1459">
        <f t="shared" si="395"/>
        <v>176000</v>
      </c>
      <c r="G1358" s="1499">
        <f t="shared" si="381"/>
        <v>176</v>
      </c>
      <c r="H1358" s="1499">
        <f t="shared" si="385"/>
        <v>592.1938088829071</v>
      </c>
      <c r="I1358" s="1450"/>
      <c r="J1358" s="1461">
        <f>128500-98780</f>
        <v>29720</v>
      </c>
      <c r="K1358" s="1457"/>
      <c r="L1358" s="1457">
        <v>176000</v>
      </c>
      <c r="M1358" s="1457"/>
      <c r="N1358" s="1457"/>
      <c r="O1358" s="1457"/>
      <c r="P1358" s="1462">
        <f t="shared" si="396"/>
        <v>176000</v>
      </c>
      <c r="Q1358" s="1495">
        <f>P1358/J1358*100</f>
        <v>592.1938088829071</v>
      </c>
      <c r="R1358" s="1461"/>
      <c r="S1358" s="1457"/>
      <c r="T1358" s="1457"/>
      <c r="U1358" s="1457"/>
      <c r="V1358" s="1457"/>
      <c r="W1358" s="1527"/>
      <c r="X1358" s="1496"/>
      <c r="Y1358" s="1444"/>
    </row>
    <row r="1359" spans="1:25" s="581" customFormat="1" ht="12.75">
      <c r="A1359" s="1516">
        <v>92116</v>
      </c>
      <c r="B1359" s="1550" t="s">
        <v>416</v>
      </c>
      <c r="C1359" s="1467">
        <f>C1360+C1371</f>
        <v>3154000</v>
      </c>
      <c r="D1359" s="1467">
        <f>D1360+D1371</f>
        <v>3213890</v>
      </c>
      <c r="E1359" s="1468">
        <f>E1360+E1371</f>
        <v>3388800</v>
      </c>
      <c r="F1359" s="1469">
        <f>F1360+F1371</f>
        <v>3127000</v>
      </c>
      <c r="G1359" s="1531">
        <f t="shared" si="381"/>
        <v>99.14394419784401</v>
      </c>
      <c r="H1359" s="1532">
        <f t="shared" si="385"/>
        <v>97.29642271515205</v>
      </c>
      <c r="I1359" s="1450"/>
      <c r="J1359" s="1470">
        <f>J1360+J1371</f>
        <v>1107000</v>
      </c>
      <c r="K1359" s="1467">
        <f>K1360+K1371</f>
        <v>1035000</v>
      </c>
      <c r="L1359" s="1467">
        <f>L1360+L1371</f>
        <v>0</v>
      </c>
      <c r="M1359" s="1467">
        <f>M1360+M1371</f>
        <v>0</v>
      </c>
      <c r="N1359" s="1467">
        <f>N1360+N1371</f>
        <v>0</v>
      </c>
      <c r="O1359" s="1467"/>
      <c r="P1359" s="1467">
        <f>P1360+P1371</f>
        <v>1035000</v>
      </c>
      <c r="Q1359" s="1453">
        <f>P1359/J1359*100</f>
        <v>93.4959349593496</v>
      </c>
      <c r="R1359" s="1470">
        <f>R1360+R1372+R1370+R1371</f>
        <v>2106890</v>
      </c>
      <c r="S1359" s="1467">
        <f>S1360+S1372+S1371</f>
        <v>2092000</v>
      </c>
      <c r="T1359" s="1467">
        <f>T1360+T1372+T1371</f>
        <v>0</v>
      </c>
      <c r="U1359" s="1467">
        <f>U1360+U1372+U1371</f>
        <v>0</v>
      </c>
      <c r="V1359" s="1467">
        <f>V1360+V1372+V1371</f>
        <v>0</v>
      </c>
      <c r="W1359" s="1471">
        <f>W1360+W1371+W1372</f>
        <v>2092000</v>
      </c>
      <c r="X1359" s="1454">
        <f>W1359/R1359*100</f>
        <v>99.29327112473835</v>
      </c>
      <c r="Y1359" s="1444"/>
    </row>
    <row r="1360" spans="1:25" ht="36">
      <c r="A1360" s="1497">
        <v>2480</v>
      </c>
      <c r="B1360" s="1513" t="s">
        <v>1149</v>
      </c>
      <c r="C1360" s="1457">
        <f>SUM(C1361:C1368)</f>
        <v>3154000</v>
      </c>
      <c r="D1360" s="1457">
        <f>J1360+R1360</f>
        <v>3213890</v>
      </c>
      <c r="E1360" s="1458">
        <f>SUM(E1361:E1368)</f>
        <v>3288800</v>
      </c>
      <c r="F1360" s="1459">
        <f>P1360+W1360</f>
        <v>3127000</v>
      </c>
      <c r="G1360" s="1499">
        <f t="shared" si="381"/>
        <v>99.14394419784401</v>
      </c>
      <c r="H1360" s="1499">
        <f t="shared" si="385"/>
        <v>97.29642271515205</v>
      </c>
      <c r="I1360" s="1450"/>
      <c r="J1360" s="1461">
        <f>SUM(J1361:J1362)</f>
        <v>1107000</v>
      </c>
      <c r="K1360" s="1457">
        <f>SUM(K1361:K1364)</f>
        <v>1035000</v>
      </c>
      <c r="L1360" s="1457"/>
      <c r="M1360" s="1457"/>
      <c r="N1360" s="1457"/>
      <c r="O1360" s="1457"/>
      <c r="P1360" s="1462">
        <f>SUM(P1361:P1362)</f>
        <v>1035000</v>
      </c>
      <c r="Q1360" s="1495">
        <f>P1360/J1360*100</f>
        <v>93.4959349593496</v>
      </c>
      <c r="R1360" s="1461">
        <f>SUM(R1363:R1368)</f>
        <v>2106890</v>
      </c>
      <c r="S1360" s="1457">
        <f>SUM(S1361:S1364)</f>
        <v>2092000</v>
      </c>
      <c r="T1360" s="1457">
        <f>SUM(T1361:T1369)</f>
        <v>0</v>
      </c>
      <c r="U1360" s="1457">
        <f>SUM(U1361:U1369)</f>
        <v>0</v>
      </c>
      <c r="V1360" s="1457">
        <v>0</v>
      </c>
      <c r="W1360" s="1462">
        <f aca="true" t="shared" si="397" ref="W1360:W1371">SUM(S1360:V1360)</f>
        <v>2092000</v>
      </c>
      <c r="X1360" s="1496">
        <f>W1360/R1360*100</f>
        <v>99.29327112473835</v>
      </c>
      <c r="Y1360" s="1444"/>
    </row>
    <row r="1361" spans="1:25" s="618" customFormat="1" ht="12.75">
      <c r="A1361" s="1521"/>
      <c r="B1361" s="1522" t="s">
        <v>1173</v>
      </c>
      <c r="C1361" s="1523">
        <v>1020000</v>
      </c>
      <c r="D1361" s="1523">
        <f aca="true" t="shared" si="398" ref="D1361:D1371">J1361+R1361</f>
        <v>1020000</v>
      </c>
      <c r="E1361" s="1543">
        <v>1046300</v>
      </c>
      <c r="F1361" s="1544">
        <f aca="true" t="shared" si="399" ref="F1361:F1372">P1361+W1361</f>
        <v>1035000</v>
      </c>
      <c r="G1361" s="1499">
        <f t="shared" si="381"/>
        <v>101.47058823529412</v>
      </c>
      <c r="H1361" s="1499">
        <f t="shared" si="385"/>
        <v>101.47058823529412</v>
      </c>
      <c r="I1361" s="1530"/>
      <c r="J1361" s="1526">
        <v>1020000</v>
      </c>
      <c r="K1361" s="1523">
        <v>1035000</v>
      </c>
      <c r="L1361" s="1523"/>
      <c r="M1361" s="1523"/>
      <c r="N1361" s="1523"/>
      <c r="O1361" s="1523"/>
      <c r="P1361" s="1527">
        <f aca="true" t="shared" si="400" ref="P1361:P1369">SUM(K1361:N1361)</f>
        <v>1035000</v>
      </c>
      <c r="Q1361" s="1528">
        <f>P1361/J1361*100</f>
        <v>101.47058823529412</v>
      </c>
      <c r="R1361" s="1526"/>
      <c r="S1361" s="1523"/>
      <c r="T1361" s="1523"/>
      <c r="U1361" s="1523"/>
      <c r="V1361" s="1523"/>
      <c r="W1361" s="1527">
        <f t="shared" si="397"/>
        <v>0</v>
      </c>
      <c r="X1361" s="1529"/>
      <c r="Y1361" s="1305"/>
    </row>
    <row r="1362" spans="1:25" s="618" customFormat="1" ht="12.75">
      <c r="A1362" s="1521"/>
      <c r="B1362" s="1522" t="s">
        <v>1174</v>
      </c>
      <c r="C1362" s="1523"/>
      <c r="D1362" s="1523">
        <f t="shared" si="398"/>
        <v>87000</v>
      </c>
      <c r="E1362" s="1543"/>
      <c r="F1362" s="1544">
        <f t="shared" si="399"/>
        <v>0</v>
      </c>
      <c r="G1362" s="1499"/>
      <c r="H1362" s="1499">
        <f t="shared" si="385"/>
        <v>0</v>
      </c>
      <c r="I1362" s="1530"/>
      <c r="J1362" s="1526">
        <f>17000+70000</f>
        <v>87000</v>
      </c>
      <c r="K1362" s="1523"/>
      <c r="L1362" s="1523"/>
      <c r="M1362" s="1523"/>
      <c r="N1362" s="1523"/>
      <c r="O1362" s="1523"/>
      <c r="P1362" s="1527">
        <f t="shared" si="400"/>
        <v>0</v>
      </c>
      <c r="Q1362" s="1528"/>
      <c r="R1362" s="1526"/>
      <c r="S1362" s="1523">
        <v>0</v>
      </c>
      <c r="T1362" s="1523"/>
      <c r="U1362" s="1523"/>
      <c r="V1362" s="1523"/>
      <c r="W1362" s="1527">
        <f t="shared" si="397"/>
        <v>0</v>
      </c>
      <c r="X1362" s="1529"/>
      <c r="Y1362" s="1305"/>
    </row>
    <row r="1363" spans="1:25" s="618" customFormat="1" ht="12.75">
      <c r="A1363" s="1521"/>
      <c r="B1363" s="1522" t="s">
        <v>1175</v>
      </c>
      <c r="C1363" s="1523">
        <v>2134000</v>
      </c>
      <c r="D1363" s="1523">
        <f t="shared" si="398"/>
        <v>2046000</v>
      </c>
      <c r="E1363" s="1543">
        <v>2217000</v>
      </c>
      <c r="F1363" s="1544">
        <f t="shared" si="399"/>
        <v>2077000</v>
      </c>
      <c r="G1363" s="1499">
        <f t="shared" si="381"/>
        <v>97.32895970009372</v>
      </c>
      <c r="H1363" s="1499">
        <f t="shared" si="385"/>
        <v>101.51515151515152</v>
      </c>
      <c r="I1363" s="1530"/>
      <c r="J1363" s="1526"/>
      <c r="K1363" s="1523"/>
      <c r="L1363" s="1523"/>
      <c r="M1363" s="1523"/>
      <c r="N1363" s="1523"/>
      <c r="O1363" s="1523"/>
      <c r="P1363" s="1527">
        <f t="shared" si="400"/>
        <v>0</v>
      </c>
      <c r="Q1363" s="1528"/>
      <c r="R1363" s="1526">
        <f>2146000-100000</f>
        <v>2046000</v>
      </c>
      <c r="S1363" s="1523">
        <v>2077000</v>
      </c>
      <c r="T1363" s="1523"/>
      <c r="U1363" s="1523"/>
      <c r="V1363" s="1523"/>
      <c r="W1363" s="1527">
        <f t="shared" si="397"/>
        <v>2077000</v>
      </c>
      <c r="X1363" s="1529">
        <f>W1363/R1363*100</f>
        <v>101.51515151515152</v>
      </c>
      <c r="Y1363" s="1305"/>
    </row>
    <row r="1364" spans="1:25" s="618" customFormat="1" ht="12.75">
      <c r="A1364" s="1521"/>
      <c r="B1364" s="1523" t="s">
        <v>1176</v>
      </c>
      <c r="C1364" s="1523"/>
      <c r="D1364" s="1523">
        <f t="shared" si="398"/>
        <v>15000</v>
      </c>
      <c r="E1364" s="1543">
        <v>15300</v>
      </c>
      <c r="F1364" s="1544">
        <f t="shared" si="399"/>
        <v>15000</v>
      </c>
      <c r="G1364" s="1499"/>
      <c r="H1364" s="1499">
        <f t="shared" si="385"/>
        <v>100</v>
      </c>
      <c r="I1364" s="1530"/>
      <c r="J1364" s="1526"/>
      <c r="K1364" s="1523"/>
      <c r="L1364" s="1523"/>
      <c r="M1364" s="1523"/>
      <c r="N1364" s="1523"/>
      <c r="O1364" s="1523"/>
      <c r="P1364" s="1527">
        <f t="shared" si="400"/>
        <v>0</v>
      </c>
      <c r="Q1364" s="1528"/>
      <c r="R1364" s="1526">
        <v>15000</v>
      </c>
      <c r="S1364" s="1523">
        <v>15000</v>
      </c>
      <c r="T1364" s="1523"/>
      <c r="U1364" s="1523"/>
      <c r="V1364" s="1523"/>
      <c r="W1364" s="1527">
        <f t="shared" si="397"/>
        <v>15000</v>
      </c>
      <c r="X1364" s="1529">
        <f>W1364/R1364*100</f>
        <v>100</v>
      </c>
      <c r="Y1364" s="1305"/>
    </row>
    <row r="1365" spans="1:25" s="618" customFormat="1" ht="12.75">
      <c r="A1365" s="1521"/>
      <c r="B1365" s="1523" t="s">
        <v>1177</v>
      </c>
      <c r="C1365" s="1523"/>
      <c r="D1365" s="1523">
        <f t="shared" si="398"/>
        <v>1000</v>
      </c>
      <c r="E1365" s="1543">
        <v>0</v>
      </c>
      <c r="F1365" s="1544">
        <f t="shared" si="399"/>
        <v>0</v>
      </c>
      <c r="G1365" s="1499"/>
      <c r="H1365" s="1499">
        <f t="shared" si="385"/>
        <v>0</v>
      </c>
      <c r="I1365" s="1530"/>
      <c r="J1365" s="1526"/>
      <c r="K1365" s="1523"/>
      <c r="L1365" s="1523"/>
      <c r="M1365" s="1523"/>
      <c r="N1365" s="1523"/>
      <c r="O1365" s="1523"/>
      <c r="P1365" s="1527">
        <f t="shared" si="400"/>
        <v>0</v>
      </c>
      <c r="Q1365" s="1528"/>
      <c r="R1365" s="1526">
        <v>1000</v>
      </c>
      <c r="S1365" s="1523"/>
      <c r="T1365" s="1523"/>
      <c r="U1365" s="1523"/>
      <c r="V1365" s="1523"/>
      <c r="W1365" s="1527">
        <f t="shared" si="397"/>
        <v>0</v>
      </c>
      <c r="X1365" s="1529"/>
      <c r="Y1365" s="1305"/>
    </row>
    <row r="1366" spans="1:25" s="618" customFormat="1" ht="12.75">
      <c r="A1366" s="1521"/>
      <c r="B1366" s="1523" t="s">
        <v>1178</v>
      </c>
      <c r="C1366" s="1523"/>
      <c r="D1366" s="1523">
        <f t="shared" si="398"/>
        <v>29890</v>
      </c>
      <c r="E1366" s="1543">
        <v>0</v>
      </c>
      <c r="F1366" s="1544">
        <f t="shared" si="399"/>
        <v>0</v>
      </c>
      <c r="G1366" s="1499"/>
      <c r="H1366" s="1499">
        <f t="shared" si="385"/>
        <v>0</v>
      </c>
      <c r="I1366" s="1530"/>
      <c r="J1366" s="1526"/>
      <c r="K1366" s="1523"/>
      <c r="L1366" s="1523"/>
      <c r="M1366" s="1523"/>
      <c r="N1366" s="1523"/>
      <c r="O1366" s="1523"/>
      <c r="P1366" s="1527">
        <f t="shared" si="400"/>
        <v>0</v>
      </c>
      <c r="Q1366" s="1528"/>
      <c r="R1366" s="1526">
        <v>29890</v>
      </c>
      <c r="S1366" s="1523"/>
      <c r="T1366" s="1523"/>
      <c r="U1366" s="1523"/>
      <c r="V1366" s="1523"/>
      <c r="W1366" s="1527">
        <f t="shared" si="397"/>
        <v>0</v>
      </c>
      <c r="X1366" s="1529"/>
      <c r="Y1366" s="1305"/>
    </row>
    <row r="1367" spans="1:25" s="618" customFormat="1" ht="12.75">
      <c r="A1367" s="1521"/>
      <c r="B1367" s="1523" t="s">
        <v>1179</v>
      </c>
      <c r="C1367" s="1523"/>
      <c r="D1367" s="1523">
        <f t="shared" si="398"/>
        <v>5000</v>
      </c>
      <c r="E1367" s="1543">
        <v>0</v>
      </c>
      <c r="F1367" s="1544">
        <f t="shared" si="399"/>
        <v>0</v>
      </c>
      <c r="G1367" s="1499"/>
      <c r="H1367" s="1499">
        <f t="shared" si="385"/>
        <v>0</v>
      </c>
      <c r="I1367" s="1530"/>
      <c r="J1367" s="1526"/>
      <c r="K1367" s="1523"/>
      <c r="L1367" s="1523"/>
      <c r="M1367" s="1523"/>
      <c r="N1367" s="1523"/>
      <c r="O1367" s="1523"/>
      <c r="P1367" s="1527">
        <f t="shared" si="400"/>
        <v>0</v>
      </c>
      <c r="Q1367" s="1528"/>
      <c r="R1367" s="1526">
        <v>5000</v>
      </c>
      <c r="S1367" s="1523"/>
      <c r="T1367" s="1523"/>
      <c r="U1367" s="1523"/>
      <c r="V1367" s="1523"/>
      <c r="W1367" s="1527">
        <f t="shared" si="397"/>
        <v>0</v>
      </c>
      <c r="X1367" s="1529"/>
      <c r="Y1367" s="1305"/>
    </row>
    <row r="1368" spans="1:25" s="618" customFormat="1" ht="12.75">
      <c r="A1368" s="1521"/>
      <c r="B1368" s="1522" t="s">
        <v>1180</v>
      </c>
      <c r="C1368" s="1523"/>
      <c r="D1368" s="1523">
        <f t="shared" si="398"/>
        <v>10000</v>
      </c>
      <c r="E1368" s="1524">
        <v>10200</v>
      </c>
      <c r="F1368" s="1523">
        <f t="shared" si="399"/>
        <v>0</v>
      </c>
      <c r="G1368" s="1499"/>
      <c r="H1368" s="1499">
        <f t="shared" si="385"/>
        <v>0</v>
      </c>
      <c r="I1368" s="1530"/>
      <c r="J1368" s="1526"/>
      <c r="K1368" s="1523"/>
      <c r="L1368" s="1523"/>
      <c r="M1368" s="1523"/>
      <c r="N1368" s="1523"/>
      <c r="O1368" s="1523"/>
      <c r="P1368" s="1527">
        <f t="shared" si="400"/>
        <v>0</v>
      </c>
      <c r="Q1368" s="1528"/>
      <c r="R1368" s="1526">
        <v>10000</v>
      </c>
      <c r="S1368" s="1523">
        <v>10000</v>
      </c>
      <c r="T1368" s="1523"/>
      <c r="U1368" s="1523"/>
      <c r="V1368" s="1523">
        <v>0</v>
      </c>
      <c r="W1368" s="1527">
        <f>SUM(S1368:V1368)-10000</f>
        <v>0</v>
      </c>
      <c r="X1368" s="1529">
        <f>W1368/R1368*100</f>
        <v>0</v>
      </c>
      <c r="Y1368" s="1305"/>
    </row>
    <row r="1369" spans="1:25" ht="12.75" hidden="1">
      <c r="A1369" s="1497"/>
      <c r="B1369" s="1513"/>
      <c r="C1369" s="1457"/>
      <c r="D1369" s="1523">
        <f t="shared" si="398"/>
        <v>0</v>
      </c>
      <c r="E1369" s="1514"/>
      <c r="F1369" s="1457">
        <f t="shared" si="399"/>
        <v>0</v>
      </c>
      <c r="G1369" s="1499"/>
      <c r="H1369" s="1499" t="e">
        <f t="shared" si="385"/>
        <v>#DIV/0!</v>
      </c>
      <c r="I1369" s="1450"/>
      <c r="J1369" s="1461"/>
      <c r="K1369" s="1457"/>
      <c r="L1369" s="1457"/>
      <c r="M1369" s="1457"/>
      <c r="N1369" s="1457"/>
      <c r="O1369" s="1457"/>
      <c r="P1369" s="1462">
        <f t="shared" si="400"/>
        <v>0</v>
      </c>
      <c r="Q1369" s="1495"/>
      <c r="R1369" s="1461"/>
      <c r="S1369" s="1457"/>
      <c r="T1369" s="1457"/>
      <c r="U1369" s="1457"/>
      <c r="V1369" s="1457"/>
      <c r="W1369" s="1462">
        <f t="shared" si="397"/>
        <v>0</v>
      </c>
      <c r="X1369" s="1496"/>
      <c r="Y1369" s="1444"/>
    </row>
    <row r="1370" spans="1:25" ht="12.75" hidden="1">
      <c r="A1370" s="1497">
        <v>6220</v>
      </c>
      <c r="B1370" s="1513"/>
      <c r="C1370" s="1457"/>
      <c r="D1370" s="1523">
        <f t="shared" si="398"/>
        <v>0</v>
      </c>
      <c r="E1370" s="1514"/>
      <c r="F1370" s="1457">
        <f t="shared" si="399"/>
        <v>0</v>
      </c>
      <c r="G1370" s="1499"/>
      <c r="H1370" s="1499" t="e">
        <f t="shared" si="385"/>
        <v>#DIV/0!</v>
      </c>
      <c r="I1370" s="1450"/>
      <c r="J1370" s="1461"/>
      <c r="K1370" s="1457"/>
      <c r="L1370" s="1457"/>
      <c r="M1370" s="1457"/>
      <c r="N1370" s="1457"/>
      <c r="O1370" s="1457"/>
      <c r="P1370" s="1462"/>
      <c r="Q1370" s="1495"/>
      <c r="R1370" s="1461"/>
      <c r="S1370" s="1457"/>
      <c r="T1370" s="1457"/>
      <c r="U1370" s="1457"/>
      <c r="V1370" s="1457"/>
      <c r="W1370" s="1462">
        <f t="shared" si="397"/>
        <v>0</v>
      </c>
      <c r="X1370" s="1496"/>
      <c r="Y1370" s="1444"/>
    </row>
    <row r="1371" spans="1:25" ht="24" hidden="1">
      <c r="A1371" s="1497">
        <v>6050</v>
      </c>
      <c r="B1371" s="1513" t="s">
        <v>1181</v>
      </c>
      <c r="C1371" s="1457"/>
      <c r="D1371" s="1457">
        <f t="shared" si="398"/>
        <v>0</v>
      </c>
      <c r="E1371" s="1514">
        <v>100000</v>
      </c>
      <c r="F1371" s="1457">
        <f t="shared" si="399"/>
        <v>0</v>
      </c>
      <c r="G1371" s="1499"/>
      <c r="H1371" s="1499"/>
      <c r="I1371" s="1450"/>
      <c r="J1371" s="1461"/>
      <c r="K1371" s="1457"/>
      <c r="L1371" s="1457"/>
      <c r="M1371" s="1457"/>
      <c r="N1371" s="1457"/>
      <c r="O1371" s="1457"/>
      <c r="P1371" s="1462"/>
      <c r="Q1371" s="1495"/>
      <c r="R1371" s="1461"/>
      <c r="S1371" s="1457"/>
      <c r="T1371" s="1457"/>
      <c r="U1371" s="1457"/>
      <c r="V1371" s="1457"/>
      <c r="W1371" s="1462">
        <f t="shared" si="397"/>
        <v>0</v>
      </c>
      <c r="X1371" s="1496"/>
      <c r="Y1371" s="1444"/>
    </row>
    <row r="1372" spans="1:25" ht="84" hidden="1">
      <c r="A1372" s="1497">
        <v>6220</v>
      </c>
      <c r="B1372" s="1513" t="s">
        <v>1182</v>
      </c>
      <c r="C1372" s="1457"/>
      <c r="D1372" s="1457">
        <f>J1372+R1372</f>
        <v>0</v>
      </c>
      <c r="E1372" s="1514"/>
      <c r="F1372" s="1457">
        <f t="shared" si="399"/>
        <v>0</v>
      </c>
      <c r="G1372" s="1519" t="e">
        <f t="shared" si="381"/>
        <v>#DIV/0!</v>
      </c>
      <c r="H1372" s="1519" t="e">
        <f t="shared" si="385"/>
        <v>#DIV/0!</v>
      </c>
      <c r="I1372" s="1450"/>
      <c r="J1372" s="1461"/>
      <c r="K1372" s="1457"/>
      <c r="L1372" s="1457"/>
      <c r="M1372" s="1457"/>
      <c r="N1372" s="1457"/>
      <c r="O1372" s="1457"/>
      <c r="P1372" s="1462"/>
      <c r="Q1372" s="1495"/>
      <c r="R1372" s="1461"/>
      <c r="S1372" s="1457"/>
      <c r="T1372" s="1457"/>
      <c r="U1372" s="1457"/>
      <c r="V1372" s="1457"/>
      <c r="W1372" s="1462"/>
      <c r="X1372" s="1496"/>
      <c r="Y1372" s="1444"/>
    </row>
    <row r="1373" spans="1:25" s="581" customFormat="1" ht="12.75">
      <c r="A1373" s="1516">
        <v>92118</v>
      </c>
      <c r="B1373" s="1550" t="s">
        <v>260</v>
      </c>
      <c r="C1373" s="1467">
        <f>C1374+SUM(C1384:C1386)</f>
        <v>1620000</v>
      </c>
      <c r="D1373" s="1467">
        <f>D1374+SUM(D1384:D1386)</f>
        <v>1768400</v>
      </c>
      <c r="E1373" s="1518">
        <f>E1374+SUM(E1384:E1386)</f>
        <v>3077031</v>
      </c>
      <c r="F1373" s="1467">
        <f>F1374+SUM(F1384:F1386)</f>
        <v>3351031</v>
      </c>
      <c r="G1373" s="1519">
        <f t="shared" si="381"/>
        <v>206.85376543209878</v>
      </c>
      <c r="H1373" s="1519">
        <f t="shared" si="385"/>
        <v>189.49508029857498</v>
      </c>
      <c r="I1373" s="1518"/>
      <c r="J1373" s="1470"/>
      <c r="K1373" s="1467"/>
      <c r="L1373" s="1467"/>
      <c r="M1373" s="1467"/>
      <c r="N1373" s="1467"/>
      <c r="O1373" s="1467"/>
      <c r="P1373" s="1471"/>
      <c r="Q1373" s="1469">
        <f aca="true" t="shared" si="401" ref="Q1373:W1373">Q1374+SUM(Q1384:Q1386)</f>
        <v>0</v>
      </c>
      <c r="R1373" s="1467">
        <f t="shared" si="401"/>
        <v>1768400</v>
      </c>
      <c r="S1373" s="1467">
        <f t="shared" si="401"/>
        <v>1457000</v>
      </c>
      <c r="T1373" s="1467">
        <f t="shared" si="401"/>
        <v>1494031</v>
      </c>
      <c r="U1373" s="1467">
        <f t="shared" si="401"/>
        <v>0</v>
      </c>
      <c r="V1373" s="1467">
        <f t="shared" si="401"/>
        <v>0</v>
      </c>
      <c r="W1373" s="1471">
        <f t="shared" si="401"/>
        <v>3351031</v>
      </c>
      <c r="X1373" s="1454">
        <f>W1373/R1373*100</f>
        <v>189.49508029857498</v>
      </c>
      <c r="Y1373" s="1444"/>
    </row>
    <row r="1374" spans="1:25" ht="36">
      <c r="A1374" s="1497">
        <v>2480</v>
      </c>
      <c r="B1374" s="1513" t="s">
        <v>1149</v>
      </c>
      <c r="C1374" s="1457">
        <f>SUM(C1375:C1383)</f>
        <v>1600000</v>
      </c>
      <c r="D1374" s="1457">
        <f>J1374+R1374</f>
        <v>1656900</v>
      </c>
      <c r="E1374" s="1458">
        <f>SUM(E1375:E1383)</f>
        <v>1583000</v>
      </c>
      <c r="F1374" s="1459">
        <f>P1374+W1374</f>
        <v>1457000</v>
      </c>
      <c r="G1374" s="1499">
        <f t="shared" si="381"/>
        <v>91.0625</v>
      </c>
      <c r="H1374" s="1499">
        <f t="shared" si="385"/>
        <v>87.93530086305752</v>
      </c>
      <c r="I1374" s="1450"/>
      <c r="J1374" s="1461"/>
      <c r="K1374" s="1457"/>
      <c r="L1374" s="1457"/>
      <c r="M1374" s="1457"/>
      <c r="N1374" s="1457"/>
      <c r="O1374" s="1457"/>
      <c r="P1374" s="1462"/>
      <c r="Q1374" s="1495"/>
      <c r="R1374" s="1461">
        <f>SUM(R1375:R1383)</f>
        <v>1656900</v>
      </c>
      <c r="S1374" s="1457">
        <f>SUM(S1375:S1383)</f>
        <v>1457000</v>
      </c>
      <c r="T1374" s="1457">
        <f>SUM(T1375:T1383)</f>
        <v>0</v>
      </c>
      <c r="U1374" s="1457">
        <f>SUM(U1375:U1383)</f>
        <v>0</v>
      </c>
      <c r="V1374" s="1457">
        <f>SUM(V1375:V1383)</f>
        <v>0</v>
      </c>
      <c r="W1374" s="1462">
        <f>SUM(S1374:V1374)</f>
        <v>1457000</v>
      </c>
      <c r="X1374" s="1496">
        <f>W1374/R1374*100</f>
        <v>87.93530086305752</v>
      </c>
      <c r="Y1374" s="1444"/>
    </row>
    <row r="1375" spans="1:25" s="618" customFormat="1" ht="13.5" customHeight="1">
      <c r="A1375" s="1521"/>
      <c r="B1375" s="1522" t="s">
        <v>1183</v>
      </c>
      <c r="C1375" s="1523">
        <v>100000</v>
      </c>
      <c r="D1375" s="1523">
        <f aca="true" t="shared" si="402" ref="D1375:D1386">J1375+R1375</f>
        <v>100000</v>
      </c>
      <c r="E1375" s="1543">
        <v>0</v>
      </c>
      <c r="F1375" s="1544">
        <f aca="true" t="shared" si="403" ref="F1375:F1386">P1375+W1375</f>
        <v>0</v>
      </c>
      <c r="G1375" s="1538">
        <f t="shared" si="381"/>
        <v>0</v>
      </c>
      <c r="H1375" s="1538">
        <f t="shared" si="385"/>
        <v>0</v>
      </c>
      <c r="I1375" s="1530"/>
      <c r="J1375" s="1526"/>
      <c r="K1375" s="1523"/>
      <c r="L1375" s="1523"/>
      <c r="M1375" s="1523"/>
      <c r="N1375" s="1523"/>
      <c r="O1375" s="1523"/>
      <c r="P1375" s="1527"/>
      <c r="Q1375" s="1528"/>
      <c r="R1375" s="1526">
        <v>100000</v>
      </c>
      <c r="S1375" s="1523"/>
      <c r="T1375" s="1523"/>
      <c r="U1375" s="1523"/>
      <c r="V1375" s="1523"/>
      <c r="W1375" s="1527">
        <f aca="true" t="shared" si="404" ref="W1375:W1385">SUM(S1375:V1375)</f>
        <v>0</v>
      </c>
      <c r="X1375" s="1529"/>
      <c r="Y1375" s="1305"/>
    </row>
    <row r="1376" spans="1:25" s="618" customFormat="1" ht="24">
      <c r="A1376" s="1521"/>
      <c r="B1376" s="1522" t="s">
        <v>1184</v>
      </c>
      <c r="C1376" s="1523"/>
      <c r="D1376" s="1523">
        <f t="shared" si="402"/>
        <v>100000</v>
      </c>
      <c r="E1376" s="1543">
        <v>0</v>
      </c>
      <c r="F1376" s="1544">
        <f t="shared" si="403"/>
        <v>0</v>
      </c>
      <c r="G1376" s="1538"/>
      <c r="H1376" s="1538">
        <f t="shared" si="385"/>
        <v>0</v>
      </c>
      <c r="I1376" s="1530"/>
      <c r="J1376" s="1526"/>
      <c r="K1376" s="1523"/>
      <c r="L1376" s="1523"/>
      <c r="M1376" s="1523"/>
      <c r="N1376" s="1523"/>
      <c r="O1376" s="1523"/>
      <c r="P1376" s="1527"/>
      <c r="Q1376" s="1528"/>
      <c r="R1376" s="1526">
        <v>100000</v>
      </c>
      <c r="S1376" s="1523"/>
      <c r="T1376" s="1523"/>
      <c r="U1376" s="1523"/>
      <c r="V1376" s="1523"/>
      <c r="W1376" s="1527">
        <f t="shared" si="404"/>
        <v>0</v>
      </c>
      <c r="X1376" s="1529"/>
      <c r="Y1376" s="1305"/>
    </row>
    <row r="1377" spans="1:25" s="618" customFormat="1" ht="13.5" customHeight="1">
      <c r="A1377" s="1521"/>
      <c r="B1377" s="1522" t="s">
        <v>1185</v>
      </c>
      <c r="C1377" s="1523">
        <v>1500000</v>
      </c>
      <c r="D1377" s="1523">
        <f t="shared" si="402"/>
        <v>1405900</v>
      </c>
      <c r="E1377" s="1543">
        <v>1523000</v>
      </c>
      <c r="F1377" s="1544">
        <f t="shared" si="403"/>
        <v>1427000</v>
      </c>
      <c r="G1377" s="1538">
        <f t="shared" si="381"/>
        <v>95.13333333333334</v>
      </c>
      <c r="H1377" s="1538">
        <f t="shared" si="385"/>
        <v>101.50081798136425</v>
      </c>
      <c r="I1377" s="1530"/>
      <c r="J1377" s="1526"/>
      <c r="K1377" s="1523"/>
      <c r="L1377" s="1523"/>
      <c r="M1377" s="1523"/>
      <c r="N1377" s="1523"/>
      <c r="O1377" s="1523"/>
      <c r="P1377" s="1527"/>
      <c r="Q1377" s="1528"/>
      <c r="R1377" s="1526">
        <f>1500000+5900-100000</f>
        <v>1405900</v>
      </c>
      <c r="S1377" s="1523">
        <v>1427000</v>
      </c>
      <c r="T1377" s="1523"/>
      <c r="U1377" s="1523"/>
      <c r="V1377" s="1523"/>
      <c r="W1377" s="1527">
        <f t="shared" si="404"/>
        <v>1427000</v>
      </c>
      <c r="X1377" s="1529"/>
      <c r="Y1377" s="1305"/>
    </row>
    <row r="1378" spans="1:25" s="618" customFormat="1" ht="12.75">
      <c r="A1378" s="1521"/>
      <c r="B1378" s="1522" t="s">
        <v>1186</v>
      </c>
      <c r="C1378" s="1523"/>
      <c r="D1378" s="1523">
        <f t="shared" si="402"/>
        <v>7000</v>
      </c>
      <c r="E1378" s="1543">
        <v>7000</v>
      </c>
      <c r="F1378" s="1544">
        <f t="shared" si="403"/>
        <v>0</v>
      </c>
      <c r="G1378" s="1538"/>
      <c r="H1378" s="1538">
        <f t="shared" si="385"/>
        <v>0</v>
      </c>
      <c r="I1378" s="1530"/>
      <c r="J1378" s="1526"/>
      <c r="K1378" s="1523"/>
      <c r="L1378" s="1523"/>
      <c r="M1378" s="1523"/>
      <c r="N1378" s="1523"/>
      <c r="O1378" s="1523"/>
      <c r="P1378" s="1527"/>
      <c r="Q1378" s="1528"/>
      <c r="R1378" s="1526">
        <v>7000</v>
      </c>
      <c r="S1378" s="1523"/>
      <c r="T1378" s="1523"/>
      <c r="U1378" s="1523"/>
      <c r="V1378" s="1523"/>
      <c r="W1378" s="1527">
        <f t="shared" si="404"/>
        <v>0</v>
      </c>
      <c r="X1378" s="1529"/>
      <c r="Y1378" s="1305"/>
    </row>
    <row r="1379" spans="1:25" s="618" customFormat="1" ht="24" hidden="1">
      <c r="A1379" s="1521"/>
      <c r="B1379" s="1522" t="s">
        <v>1187</v>
      </c>
      <c r="C1379" s="1523"/>
      <c r="D1379" s="1523"/>
      <c r="E1379" s="1543">
        <v>8000</v>
      </c>
      <c r="F1379" s="1544">
        <f t="shared" si="403"/>
        <v>0</v>
      </c>
      <c r="G1379" s="1538"/>
      <c r="H1379" s="1538"/>
      <c r="I1379" s="1530"/>
      <c r="J1379" s="1526"/>
      <c r="K1379" s="1523"/>
      <c r="L1379" s="1523"/>
      <c r="M1379" s="1523"/>
      <c r="N1379" s="1523"/>
      <c r="O1379" s="1523"/>
      <c r="P1379" s="1527"/>
      <c r="Q1379" s="1528"/>
      <c r="R1379" s="1526"/>
      <c r="S1379" s="1523"/>
      <c r="T1379" s="1523"/>
      <c r="U1379" s="1523"/>
      <c r="V1379" s="1523"/>
      <c r="W1379" s="1527">
        <f t="shared" si="404"/>
        <v>0</v>
      </c>
      <c r="X1379" s="1529"/>
      <c r="Y1379" s="1305"/>
    </row>
    <row r="1380" spans="1:25" s="618" customFormat="1" ht="24" hidden="1">
      <c r="A1380" s="1521"/>
      <c r="B1380" s="1522" t="s">
        <v>1188</v>
      </c>
      <c r="C1380" s="1523"/>
      <c r="D1380" s="1523"/>
      <c r="E1380" s="1543">
        <v>15000</v>
      </c>
      <c r="F1380" s="1544">
        <f t="shared" si="403"/>
        <v>0</v>
      </c>
      <c r="G1380" s="1538"/>
      <c r="H1380" s="1538"/>
      <c r="I1380" s="1530"/>
      <c r="J1380" s="1526"/>
      <c r="K1380" s="1523"/>
      <c r="L1380" s="1523"/>
      <c r="M1380" s="1523"/>
      <c r="N1380" s="1523"/>
      <c r="O1380" s="1523"/>
      <c r="P1380" s="1527"/>
      <c r="Q1380" s="1528"/>
      <c r="R1380" s="1526"/>
      <c r="S1380" s="1523"/>
      <c r="T1380" s="1523"/>
      <c r="U1380" s="1523"/>
      <c r="V1380" s="1523"/>
      <c r="W1380" s="1527">
        <f t="shared" si="404"/>
        <v>0</v>
      </c>
      <c r="X1380" s="1529"/>
      <c r="Y1380" s="1305"/>
    </row>
    <row r="1381" spans="1:25" s="618" customFormat="1" ht="24">
      <c r="A1381" s="1521"/>
      <c r="B1381" s="1522" t="s">
        <v>1189</v>
      </c>
      <c r="C1381" s="1523"/>
      <c r="D1381" s="1523"/>
      <c r="E1381" s="1543">
        <v>15000</v>
      </c>
      <c r="F1381" s="1544">
        <f t="shared" si="403"/>
        <v>15000</v>
      </c>
      <c r="G1381" s="1538"/>
      <c r="H1381" s="1538"/>
      <c r="I1381" s="1530"/>
      <c r="J1381" s="1526"/>
      <c r="K1381" s="1523"/>
      <c r="L1381" s="1523"/>
      <c r="M1381" s="1523"/>
      <c r="N1381" s="1523"/>
      <c r="O1381" s="1523"/>
      <c r="P1381" s="1527"/>
      <c r="Q1381" s="1528"/>
      <c r="R1381" s="1526"/>
      <c r="S1381" s="1523">
        <v>15000</v>
      </c>
      <c r="T1381" s="1523"/>
      <c r="U1381" s="1523"/>
      <c r="V1381" s="1523"/>
      <c r="W1381" s="1527">
        <f t="shared" si="404"/>
        <v>15000</v>
      </c>
      <c r="X1381" s="1529"/>
      <c r="Y1381" s="1305"/>
    </row>
    <row r="1382" spans="1:25" s="618" customFormat="1" ht="24">
      <c r="A1382" s="1521"/>
      <c r="B1382" s="1522" t="s">
        <v>1190</v>
      </c>
      <c r="C1382" s="1523"/>
      <c r="D1382" s="1523">
        <f t="shared" si="402"/>
        <v>15000</v>
      </c>
      <c r="E1382" s="1543">
        <v>15000</v>
      </c>
      <c r="F1382" s="1544">
        <f t="shared" si="403"/>
        <v>15000</v>
      </c>
      <c r="G1382" s="1538"/>
      <c r="H1382" s="1538">
        <f t="shared" si="385"/>
        <v>100</v>
      </c>
      <c r="I1382" s="1530"/>
      <c r="J1382" s="1526"/>
      <c r="K1382" s="1523"/>
      <c r="L1382" s="1523"/>
      <c r="M1382" s="1523"/>
      <c r="N1382" s="1523"/>
      <c r="O1382" s="1523"/>
      <c r="P1382" s="1527"/>
      <c r="Q1382" s="1528"/>
      <c r="R1382" s="1526">
        <v>15000</v>
      </c>
      <c r="S1382" s="1523">
        <v>15000</v>
      </c>
      <c r="T1382" s="1523"/>
      <c r="U1382" s="1523"/>
      <c r="V1382" s="1523"/>
      <c r="W1382" s="1527">
        <f t="shared" si="404"/>
        <v>15000</v>
      </c>
      <c r="X1382" s="1529"/>
      <c r="Y1382" s="1305"/>
    </row>
    <row r="1383" spans="1:25" s="618" customFormat="1" ht="24">
      <c r="A1383" s="1521"/>
      <c r="B1383" s="1522" t="s">
        <v>1191</v>
      </c>
      <c r="C1383" s="1523"/>
      <c r="D1383" s="1523">
        <f t="shared" si="402"/>
        <v>29000</v>
      </c>
      <c r="E1383" s="1543">
        <v>0</v>
      </c>
      <c r="F1383" s="1544">
        <f t="shared" si="403"/>
        <v>0</v>
      </c>
      <c r="G1383" s="1538"/>
      <c r="H1383" s="1538">
        <f aca="true" t="shared" si="405" ref="H1383:H1426">F1383/D1383*100</f>
        <v>0</v>
      </c>
      <c r="I1383" s="1530"/>
      <c r="J1383" s="1526"/>
      <c r="K1383" s="1523"/>
      <c r="L1383" s="1523"/>
      <c r="M1383" s="1523"/>
      <c r="N1383" s="1523"/>
      <c r="O1383" s="1523"/>
      <c r="P1383" s="1527"/>
      <c r="Q1383" s="1528"/>
      <c r="R1383" s="1526">
        <v>29000</v>
      </c>
      <c r="S1383" s="1523">
        <v>0</v>
      </c>
      <c r="T1383" s="1523"/>
      <c r="U1383" s="1523"/>
      <c r="V1383" s="1523"/>
      <c r="W1383" s="1527">
        <f t="shared" si="404"/>
        <v>0</v>
      </c>
      <c r="X1383" s="1529"/>
      <c r="Y1383" s="1305"/>
    </row>
    <row r="1384" spans="1:25" s="618" customFormat="1" ht="72">
      <c r="A1384" s="1497">
        <v>6058</v>
      </c>
      <c r="B1384" s="1513" t="s">
        <v>1192</v>
      </c>
      <c r="C1384" s="1523"/>
      <c r="D1384" s="1523"/>
      <c r="E1384" s="1458">
        <v>1126640</v>
      </c>
      <c r="F1384" s="1459">
        <f t="shared" si="403"/>
        <v>1126640</v>
      </c>
      <c r="G1384" s="1499"/>
      <c r="H1384" s="1499"/>
      <c r="I1384" s="1530"/>
      <c r="J1384" s="1526"/>
      <c r="K1384" s="1523"/>
      <c r="L1384" s="1523"/>
      <c r="M1384" s="1523"/>
      <c r="N1384" s="1523"/>
      <c r="O1384" s="1523"/>
      <c r="P1384" s="1527"/>
      <c r="Q1384" s="1528"/>
      <c r="R1384" s="1526"/>
      <c r="S1384" s="1523"/>
      <c r="T1384" s="1457">
        <v>1126640</v>
      </c>
      <c r="U1384" s="1457"/>
      <c r="V1384" s="1523"/>
      <c r="W1384" s="1527">
        <f t="shared" si="404"/>
        <v>1126640</v>
      </c>
      <c r="X1384" s="1529"/>
      <c r="Y1384" s="1305"/>
    </row>
    <row r="1385" spans="1:25" s="571" customFormat="1" ht="72">
      <c r="A1385" s="1497">
        <v>6059</v>
      </c>
      <c r="B1385" s="1513" t="s">
        <v>1192</v>
      </c>
      <c r="C1385" s="1457"/>
      <c r="D1385" s="1457">
        <f t="shared" si="402"/>
        <v>91500</v>
      </c>
      <c r="E1385" s="1458">
        <v>367391</v>
      </c>
      <c r="F1385" s="1459">
        <f t="shared" si="403"/>
        <v>367391</v>
      </c>
      <c r="G1385" s="1499"/>
      <c r="H1385" s="1499">
        <f t="shared" si="405"/>
        <v>401.520218579235</v>
      </c>
      <c r="I1385" s="1450"/>
      <c r="J1385" s="1461"/>
      <c r="K1385" s="1457"/>
      <c r="L1385" s="1457"/>
      <c r="M1385" s="1457"/>
      <c r="N1385" s="1457"/>
      <c r="O1385" s="1457"/>
      <c r="P1385" s="1462"/>
      <c r="Q1385" s="1495"/>
      <c r="R1385" s="1461">
        <v>91500</v>
      </c>
      <c r="S1385" s="1457"/>
      <c r="T1385" s="1457">
        <v>367391</v>
      </c>
      <c r="U1385" s="1457"/>
      <c r="V1385" s="1457"/>
      <c r="W1385" s="1527">
        <f t="shared" si="404"/>
        <v>367391</v>
      </c>
      <c r="X1385" s="1496"/>
      <c r="Y1385" s="1444"/>
    </row>
    <row r="1386" spans="1:25" s="618" customFormat="1" ht="64.5" customHeight="1">
      <c r="A1386" s="1497">
        <v>6220</v>
      </c>
      <c r="B1386" s="1513" t="s">
        <v>1192</v>
      </c>
      <c r="C1386" s="1457">
        <v>20000</v>
      </c>
      <c r="D1386" s="1457">
        <f t="shared" si="402"/>
        <v>20000</v>
      </c>
      <c r="E1386" s="1514"/>
      <c r="F1386" s="1457">
        <f t="shared" si="403"/>
        <v>400000</v>
      </c>
      <c r="G1386" s="1499">
        <f aca="true" t="shared" si="406" ref="G1386:G1426">F1386/C1386*100</f>
        <v>2000</v>
      </c>
      <c r="H1386" s="1499">
        <f t="shared" si="405"/>
        <v>2000</v>
      </c>
      <c r="I1386" s="1530"/>
      <c r="J1386" s="1526"/>
      <c r="K1386" s="1523"/>
      <c r="L1386" s="1523"/>
      <c r="M1386" s="1523"/>
      <c r="N1386" s="1523"/>
      <c r="O1386" s="1523"/>
      <c r="P1386" s="1527"/>
      <c r="Q1386" s="1528"/>
      <c r="R1386" s="1461">
        <v>20000</v>
      </c>
      <c r="S1386" s="1523"/>
      <c r="T1386" s="1523"/>
      <c r="U1386" s="1457"/>
      <c r="V1386" s="1523"/>
      <c r="W1386" s="1462">
        <v>400000</v>
      </c>
      <c r="X1386" s="1529"/>
      <c r="Y1386" s="1444"/>
    </row>
    <row r="1387" spans="1:25" s="581" customFormat="1" ht="24">
      <c r="A1387" s="1516">
        <v>92120</v>
      </c>
      <c r="B1387" s="1550" t="s">
        <v>1193</v>
      </c>
      <c r="C1387" s="1467">
        <f>SUM(C1388:C1392)</f>
        <v>118000</v>
      </c>
      <c r="D1387" s="1467">
        <f>SUM(D1388:D1392)</f>
        <v>243000</v>
      </c>
      <c r="E1387" s="1518">
        <f>SUM(E1388:E1392)</f>
        <v>305000</v>
      </c>
      <c r="F1387" s="1467">
        <f>SUM(F1388:F1392)</f>
        <v>200000</v>
      </c>
      <c r="G1387" s="1519">
        <f t="shared" si="406"/>
        <v>169.4915254237288</v>
      </c>
      <c r="H1387" s="1519">
        <f t="shared" si="405"/>
        <v>82.3045267489712</v>
      </c>
      <c r="I1387" s="1450"/>
      <c r="J1387" s="1470">
        <f>SUM(J1388:J1392)</f>
        <v>243000</v>
      </c>
      <c r="K1387" s="1467">
        <f aca="true" t="shared" si="407" ref="K1387:Q1387">K1391+K1388</f>
        <v>0</v>
      </c>
      <c r="L1387" s="1467">
        <f t="shared" si="407"/>
        <v>0</v>
      </c>
      <c r="M1387" s="1467">
        <f t="shared" si="407"/>
        <v>0</v>
      </c>
      <c r="N1387" s="1467">
        <f t="shared" si="407"/>
        <v>200000</v>
      </c>
      <c r="O1387" s="1467">
        <f t="shared" si="407"/>
        <v>0</v>
      </c>
      <c r="P1387" s="1471">
        <f t="shared" si="407"/>
        <v>200000</v>
      </c>
      <c r="Q1387" s="1469">
        <f t="shared" si="407"/>
        <v>125</v>
      </c>
      <c r="R1387" s="1467"/>
      <c r="S1387" s="1467"/>
      <c r="T1387" s="1467"/>
      <c r="U1387" s="1467"/>
      <c r="V1387" s="1467"/>
      <c r="W1387" s="1471"/>
      <c r="X1387" s="1454"/>
      <c r="Y1387" s="1444"/>
    </row>
    <row r="1388" spans="1:25" s="581" customFormat="1" ht="27" customHeight="1">
      <c r="A1388" s="1497">
        <v>6060</v>
      </c>
      <c r="B1388" s="1513" t="s">
        <v>870</v>
      </c>
      <c r="C1388" s="1457">
        <v>18000</v>
      </c>
      <c r="D1388" s="1457">
        <f>J1388+R1388</f>
        <v>18000</v>
      </c>
      <c r="E1388" s="1514"/>
      <c r="F1388" s="1457">
        <f>P1388+W1388</f>
        <v>0</v>
      </c>
      <c r="G1388" s="1499">
        <f t="shared" si="406"/>
        <v>0</v>
      </c>
      <c r="H1388" s="1499">
        <f t="shared" si="405"/>
        <v>0</v>
      </c>
      <c r="I1388" s="1450"/>
      <c r="J1388" s="1461">
        <v>18000</v>
      </c>
      <c r="K1388" s="1457"/>
      <c r="L1388" s="1467"/>
      <c r="M1388" s="1457"/>
      <c r="N1388" s="1467"/>
      <c r="O1388" s="1467"/>
      <c r="P1388" s="1462">
        <f>SUM(K1388:N1388)</f>
        <v>0</v>
      </c>
      <c r="Q1388" s="1453"/>
      <c r="R1388" s="1470"/>
      <c r="S1388" s="1467"/>
      <c r="T1388" s="1467"/>
      <c r="U1388" s="1467"/>
      <c r="V1388" s="1467"/>
      <c r="W1388" s="1471"/>
      <c r="X1388" s="1454"/>
      <c r="Y1388" s="1444"/>
    </row>
    <row r="1389" spans="1:25" s="581" customFormat="1" ht="48">
      <c r="A1389" s="1497">
        <v>2820</v>
      </c>
      <c r="B1389" s="1513" t="s">
        <v>867</v>
      </c>
      <c r="C1389" s="1457"/>
      <c r="D1389" s="1457">
        <f>J1389+R1389</f>
        <v>25000</v>
      </c>
      <c r="E1389" s="1458"/>
      <c r="F1389" s="1459">
        <f>P1389+W1389</f>
        <v>0</v>
      </c>
      <c r="G1389" s="1499"/>
      <c r="H1389" s="1499">
        <f t="shared" si="405"/>
        <v>0</v>
      </c>
      <c r="I1389" s="1450"/>
      <c r="J1389" s="1461">
        <v>25000</v>
      </c>
      <c r="K1389" s="1457"/>
      <c r="L1389" s="1467"/>
      <c r="M1389" s="1457"/>
      <c r="N1389" s="1467"/>
      <c r="O1389" s="1467"/>
      <c r="P1389" s="1462"/>
      <c r="Q1389" s="1453"/>
      <c r="R1389" s="1470"/>
      <c r="S1389" s="1467"/>
      <c r="T1389" s="1467"/>
      <c r="U1389" s="1467"/>
      <c r="V1389" s="1467"/>
      <c r="W1389" s="1471"/>
      <c r="X1389" s="1454"/>
      <c r="Y1389" s="1444"/>
    </row>
    <row r="1390" spans="1:25" s="581" customFormat="1" ht="12.75">
      <c r="A1390" s="1497">
        <v>4170</v>
      </c>
      <c r="B1390" s="1513" t="s">
        <v>1057</v>
      </c>
      <c r="C1390" s="1457"/>
      <c r="D1390" s="1457">
        <f>J1390+R1390</f>
        <v>5000</v>
      </c>
      <c r="E1390" s="1458"/>
      <c r="F1390" s="1459">
        <f>P1390+W1390</f>
        <v>0</v>
      </c>
      <c r="G1390" s="1499"/>
      <c r="H1390" s="1499">
        <f t="shared" si="405"/>
        <v>0</v>
      </c>
      <c r="I1390" s="1450"/>
      <c r="J1390" s="1461">
        <v>5000</v>
      </c>
      <c r="K1390" s="1457"/>
      <c r="L1390" s="1467"/>
      <c r="M1390" s="1457"/>
      <c r="N1390" s="1467"/>
      <c r="O1390" s="1467"/>
      <c r="P1390" s="1462"/>
      <c r="Q1390" s="1453"/>
      <c r="R1390" s="1470"/>
      <c r="S1390" s="1467"/>
      <c r="T1390" s="1467"/>
      <c r="U1390" s="1467"/>
      <c r="V1390" s="1467"/>
      <c r="W1390" s="1471"/>
      <c r="X1390" s="1454"/>
      <c r="Y1390" s="1444"/>
    </row>
    <row r="1391" spans="1:25" ht="27" customHeight="1">
      <c r="A1391" s="1497">
        <v>4270</v>
      </c>
      <c r="B1391" s="1513" t="s">
        <v>1194</v>
      </c>
      <c r="C1391" s="1457">
        <v>100000</v>
      </c>
      <c r="D1391" s="1457">
        <f>J1391+R1391</f>
        <v>160000</v>
      </c>
      <c r="E1391" s="1458">
        <v>305000</v>
      </c>
      <c r="F1391" s="1459">
        <f>P1391+W1391</f>
        <v>200000</v>
      </c>
      <c r="G1391" s="1499">
        <f t="shared" si="406"/>
        <v>200</v>
      </c>
      <c r="H1391" s="1499">
        <f t="shared" si="405"/>
        <v>125</v>
      </c>
      <c r="I1391" s="1460"/>
      <c r="J1391" s="1461">
        <v>160000</v>
      </c>
      <c r="K1391" s="1457"/>
      <c r="L1391" s="1457"/>
      <c r="M1391" s="1457"/>
      <c r="N1391" s="1457">
        <v>200000</v>
      </c>
      <c r="O1391" s="1457"/>
      <c r="P1391" s="1462">
        <f>SUM(K1391:N1391)</f>
        <v>200000</v>
      </c>
      <c r="Q1391" s="1463">
        <f>P1391/J1391*100</f>
        <v>125</v>
      </c>
      <c r="R1391" s="1461"/>
      <c r="S1391" s="1457"/>
      <c r="T1391" s="1457"/>
      <c r="U1391" s="1457"/>
      <c r="V1391" s="1457"/>
      <c r="W1391" s="1462"/>
      <c r="X1391" s="1496"/>
      <c r="Y1391" s="1444"/>
    </row>
    <row r="1392" spans="1:25" ht="12.75">
      <c r="A1392" s="1497">
        <v>4300</v>
      </c>
      <c r="B1392" s="1513" t="s">
        <v>564</v>
      </c>
      <c r="C1392" s="1457"/>
      <c r="D1392" s="1457">
        <f>J1392+R1392</f>
        <v>35000</v>
      </c>
      <c r="E1392" s="1458"/>
      <c r="F1392" s="1459">
        <f>P1392+W1392</f>
        <v>0</v>
      </c>
      <c r="G1392" s="1499"/>
      <c r="H1392" s="1499">
        <f t="shared" si="405"/>
        <v>0</v>
      </c>
      <c r="I1392" s="1450"/>
      <c r="J1392" s="1461">
        <v>35000</v>
      </c>
      <c r="K1392" s="1457"/>
      <c r="L1392" s="1457"/>
      <c r="M1392" s="1457"/>
      <c r="N1392" s="1457"/>
      <c r="O1392" s="1457"/>
      <c r="P1392" s="1462"/>
      <c r="Q1392" s="1495"/>
      <c r="R1392" s="1461"/>
      <c r="S1392" s="1457"/>
      <c r="T1392" s="1457"/>
      <c r="U1392" s="1457"/>
      <c r="V1392" s="1457"/>
      <c r="W1392" s="1462"/>
      <c r="X1392" s="1496"/>
      <c r="Y1392" s="1444"/>
    </row>
    <row r="1393" spans="1:25" s="581" customFormat="1" ht="12.75">
      <c r="A1393" s="1516">
        <v>92195</v>
      </c>
      <c r="B1393" s="1550" t="s">
        <v>209</v>
      </c>
      <c r="C1393" s="1467">
        <f>SUM(C1394:C1399)</f>
        <v>12840</v>
      </c>
      <c r="D1393" s="1467">
        <f>SUM(D1394:D1399)</f>
        <v>16090</v>
      </c>
      <c r="E1393" s="1468">
        <f>SUM(E1394:E1399)</f>
        <v>29970</v>
      </c>
      <c r="F1393" s="1469">
        <f>SUM(F1394:F1399)</f>
        <v>29970</v>
      </c>
      <c r="G1393" s="1519">
        <f t="shared" si="406"/>
        <v>233.41121495327104</v>
      </c>
      <c r="H1393" s="1519">
        <f t="shared" si="405"/>
        <v>186.26476072094468</v>
      </c>
      <c r="I1393" s="1450"/>
      <c r="J1393" s="1470">
        <f>SUM(J1394:J1399)</f>
        <v>16090</v>
      </c>
      <c r="K1393" s="1467">
        <f>SUM(K1394:K1399)</f>
        <v>29970</v>
      </c>
      <c r="L1393" s="1467">
        <f>SUM(L1394:L1399)</f>
        <v>0</v>
      </c>
      <c r="M1393" s="1467">
        <f>SUM(M1394:M1399)</f>
        <v>0</v>
      </c>
      <c r="N1393" s="1467">
        <f>SUM(N1394:N1399)</f>
        <v>0</v>
      </c>
      <c r="O1393" s="1467"/>
      <c r="P1393" s="1471">
        <f>SUM(P1394:P1399)</f>
        <v>29970</v>
      </c>
      <c r="Q1393" s="1453">
        <f aca="true" t="shared" si="408" ref="Q1393:Q1399">P1393/J1393*100</f>
        <v>186.26476072094468</v>
      </c>
      <c r="R1393" s="1470"/>
      <c r="S1393" s="1467"/>
      <c r="T1393" s="1467"/>
      <c r="U1393" s="1467"/>
      <c r="V1393" s="1467"/>
      <c r="W1393" s="1471"/>
      <c r="X1393" s="1454"/>
      <c r="Y1393" s="1444"/>
    </row>
    <row r="1394" spans="1:25" ht="48" hidden="1">
      <c r="A1394" s="1497">
        <v>2820</v>
      </c>
      <c r="B1394" s="1513" t="s">
        <v>734</v>
      </c>
      <c r="C1394" s="1457">
        <v>0</v>
      </c>
      <c r="D1394" s="1457">
        <f aca="true" t="shared" si="409" ref="D1394:D1399">J1394+R1394</f>
        <v>0</v>
      </c>
      <c r="E1394" s="1458"/>
      <c r="F1394" s="1459">
        <f>P1394+W1394</f>
        <v>0</v>
      </c>
      <c r="G1394" s="1519" t="e">
        <f t="shared" si="406"/>
        <v>#DIV/0!</v>
      </c>
      <c r="H1394" s="1519" t="e">
        <f t="shared" si="405"/>
        <v>#DIV/0!</v>
      </c>
      <c r="I1394" s="1450"/>
      <c r="J1394" s="1461">
        <v>0</v>
      </c>
      <c r="K1394" s="1457"/>
      <c r="L1394" s="1457"/>
      <c r="M1394" s="1457"/>
      <c r="N1394" s="1457"/>
      <c r="O1394" s="1457"/>
      <c r="P1394" s="1462">
        <f>SUM(K1394:N1394)</f>
        <v>0</v>
      </c>
      <c r="Q1394" s="1495" t="e">
        <f t="shared" si="408"/>
        <v>#DIV/0!</v>
      </c>
      <c r="R1394" s="1461"/>
      <c r="S1394" s="1457"/>
      <c r="T1394" s="1457"/>
      <c r="U1394" s="1457"/>
      <c r="V1394" s="1457"/>
      <c r="W1394" s="1462"/>
      <c r="X1394" s="1496"/>
      <c r="Y1394" s="1444"/>
    </row>
    <row r="1395" spans="1:25" ht="36" hidden="1">
      <c r="A1395" s="1497">
        <v>2480</v>
      </c>
      <c r="B1395" s="1513" t="s">
        <v>1195</v>
      </c>
      <c r="C1395" s="1457"/>
      <c r="D1395" s="1457">
        <f t="shared" si="409"/>
        <v>0</v>
      </c>
      <c r="E1395" s="1458"/>
      <c r="F1395" s="1459"/>
      <c r="G1395" s="1499" t="e">
        <f t="shared" si="406"/>
        <v>#DIV/0!</v>
      </c>
      <c r="H1395" s="1499" t="e">
        <f t="shared" si="405"/>
        <v>#DIV/0!</v>
      </c>
      <c r="I1395" s="1450"/>
      <c r="J1395" s="1461"/>
      <c r="K1395" s="1457"/>
      <c r="L1395" s="1457"/>
      <c r="M1395" s="1457"/>
      <c r="N1395" s="1457"/>
      <c r="O1395" s="1457"/>
      <c r="P1395" s="1462"/>
      <c r="Q1395" s="1495"/>
      <c r="R1395" s="1461"/>
      <c r="S1395" s="1457"/>
      <c r="T1395" s="1457"/>
      <c r="U1395" s="1457"/>
      <c r="V1395" s="1457"/>
      <c r="W1395" s="1462"/>
      <c r="X1395" s="1496"/>
      <c r="Y1395" s="1444"/>
    </row>
    <row r="1396" spans="1:25" ht="17.25" customHeight="1">
      <c r="A1396" s="1497">
        <v>4210</v>
      </c>
      <c r="B1396" s="1513" t="s">
        <v>1040</v>
      </c>
      <c r="C1396" s="1457">
        <v>9500</v>
      </c>
      <c r="D1396" s="1457">
        <f t="shared" si="409"/>
        <v>11908</v>
      </c>
      <c r="E1396" s="1458">
        <f>12770+9400</f>
        <v>22170</v>
      </c>
      <c r="F1396" s="1459">
        <f>P1396+W1396</f>
        <v>22170</v>
      </c>
      <c r="G1396" s="1499">
        <f t="shared" si="406"/>
        <v>233.3684210526316</v>
      </c>
      <c r="H1396" s="1499">
        <f t="shared" si="405"/>
        <v>186.17735975814577</v>
      </c>
      <c r="I1396" s="1450"/>
      <c r="J1396" s="1461">
        <v>11908</v>
      </c>
      <c r="K1396" s="1457">
        <f>12770+9400</f>
        <v>22170</v>
      </c>
      <c r="L1396" s="1457"/>
      <c r="M1396" s="1457"/>
      <c r="N1396" s="1457"/>
      <c r="O1396" s="1457"/>
      <c r="P1396" s="1462">
        <f>SUM(K1396:N1396)</f>
        <v>22170</v>
      </c>
      <c r="Q1396" s="1495">
        <f t="shared" si="408"/>
        <v>186.17735975814577</v>
      </c>
      <c r="R1396" s="1461"/>
      <c r="S1396" s="1457"/>
      <c r="T1396" s="1457"/>
      <c r="U1396" s="1457"/>
      <c r="V1396" s="1457"/>
      <c r="W1396" s="1462"/>
      <c r="X1396" s="1496"/>
      <c r="Y1396" s="1444"/>
    </row>
    <row r="1397" spans="1:25" ht="12.75">
      <c r="A1397" s="1497">
        <v>4210</v>
      </c>
      <c r="B1397" s="1513" t="s">
        <v>1196</v>
      </c>
      <c r="C1397" s="1457"/>
      <c r="D1397" s="1457">
        <f t="shared" si="409"/>
        <v>500</v>
      </c>
      <c r="E1397" s="1458"/>
      <c r="F1397" s="1459">
        <f>P1397+W1397</f>
        <v>0</v>
      </c>
      <c r="G1397" s="1499"/>
      <c r="H1397" s="1499">
        <f t="shared" si="405"/>
        <v>0</v>
      </c>
      <c r="I1397" s="1450"/>
      <c r="J1397" s="1461">
        <v>500</v>
      </c>
      <c r="K1397" s="1457"/>
      <c r="L1397" s="1457"/>
      <c r="M1397" s="1457"/>
      <c r="N1397" s="1457"/>
      <c r="O1397" s="1457"/>
      <c r="P1397" s="1462">
        <f>SUM(K1397:N1397)</f>
        <v>0</v>
      </c>
      <c r="Q1397" s="1495">
        <f t="shared" si="408"/>
        <v>0</v>
      </c>
      <c r="R1397" s="1461"/>
      <c r="S1397" s="1457"/>
      <c r="T1397" s="1457"/>
      <c r="U1397" s="1457"/>
      <c r="V1397" s="1457"/>
      <c r="W1397" s="1462"/>
      <c r="X1397" s="1496"/>
      <c r="Y1397" s="1444"/>
    </row>
    <row r="1398" spans="1:25" ht="12.75">
      <c r="A1398" s="1497">
        <v>4430</v>
      </c>
      <c r="B1398" s="1513" t="s">
        <v>1068</v>
      </c>
      <c r="C1398" s="1457">
        <v>0</v>
      </c>
      <c r="D1398" s="1457">
        <f t="shared" si="409"/>
        <v>42</v>
      </c>
      <c r="E1398" s="1458">
        <v>100</v>
      </c>
      <c r="F1398" s="1459">
        <f>P1398+W1398</f>
        <v>100</v>
      </c>
      <c r="G1398" s="1499"/>
      <c r="H1398" s="1499">
        <f t="shared" si="405"/>
        <v>238.0952380952381</v>
      </c>
      <c r="I1398" s="1450"/>
      <c r="J1398" s="1461">
        <v>42</v>
      </c>
      <c r="K1398" s="1457">
        <v>100</v>
      </c>
      <c r="L1398" s="1457"/>
      <c r="M1398" s="1457"/>
      <c r="N1398" s="1457"/>
      <c r="O1398" s="1457"/>
      <c r="P1398" s="1462">
        <f>SUM(K1398:N1398)</f>
        <v>100</v>
      </c>
      <c r="Q1398" s="1495">
        <f t="shared" si="408"/>
        <v>238.0952380952381</v>
      </c>
      <c r="R1398" s="1461"/>
      <c r="S1398" s="1457"/>
      <c r="T1398" s="1457"/>
      <c r="U1398" s="1457"/>
      <c r="V1398" s="1457"/>
      <c r="W1398" s="1462"/>
      <c r="X1398" s="1496"/>
      <c r="Y1398" s="1444"/>
    </row>
    <row r="1399" spans="1:25" ht="13.5" thickBot="1">
      <c r="A1399" s="1485">
        <v>4300</v>
      </c>
      <c r="B1399" s="1502" t="s">
        <v>1197</v>
      </c>
      <c r="C1399" s="1478">
        <v>3340</v>
      </c>
      <c r="D1399" s="1457">
        <f t="shared" si="409"/>
        <v>3640</v>
      </c>
      <c r="E1399" s="1479">
        <f>3300+4400</f>
        <v>7700</v>
      </c>
      <c r="F1399" s="1459">
        <f>P1399+W1399</f>
        <v>7700</v>
      </c>
      <c r="G1399" s="1716">
        <f t="shared" si="406"/>
        <v>230.5389221556886</v>
      </c>
      <c r="H1399" s="1717">
        <f t="shared" si="405"/>
        <v>211.53846153846155</v>
      </c>
      <c r="I1399" s="1486"/>
      <c r="J1399" s="1483">
        <v>3640</v>
      </c>
      <c r="K1399" s="1478">
        <f>3300+4400</f>
        <v>7700</v>
      </c>
      <c r="L1399" s="1478"/>
      <c r="M1399" s="1478"/>
      <c r="N1399" s="1478"/>
      <c r="O1399" s="1478"/>
      <c r="P1399" s="1462">
        <f>SUM(K1399:N1399)</f>
        <v>7700</v>
      </c>
      <c r="Q1399" s="1495">
        <f t="shared" si="408"/>
        <v>211.53846153846155</v>
      </c>
      <c r="R1399" s="1483"/>
      <c r="S1399" s="1478"/>
      <c r="T1399" s="1478"/>
      <c r="U1399" s="1478"/>
      <c r="V1399" s="1478"/>
      <c r="W1399" s="1462"/>
      <c r="X1399" s="1496"/>
      <c r="Y1399" s="1444"/>
    </row>
    <row r="1400" spans="1:25" s="581" customFormat="1" ht="16.5" customHeight="1" thickBot="1" thickTop="1">
      <c r="A1400" s="1489">
        <v>926</v>
      </c>
      <c r="B1400" s="1490" t="s">
        <v>263</v>
      </c>
      <c r="C1400" s="1434">
        <f>C1401+C1411+C1413</f>
        <v>8433720</v>
      </c>
      <c r="D1400" s="1434">
        <f>D1401+D1411+D1413</f>
        <v>10740688</v>
      </c>
      <c r="E1400" s="1435">
        <f>E1401+E1411+E1413</f>
        <v>11640620</v>
      </c>
      <c r="F1400" s="1436">
        <f>F1401+F1411+F1413</f>
        <v>11096220</v>
      </c>
      <c r="G1400" s="1437">
        <f t="shared" si="406"/>
        <v>131.56969878060926</v>
      </c>
      <c r="H1400" s="1438">
        <f t="shared" si="405"/>
        <v>103.3101417711789</v>
      </c>
      <c r="I1400" s="1439">
        <f>F1400/F$1426*100</f>
        <v>4.046990684603724</v>
      </c>
      <c r="J1400" s="1440">
        <f>J1401+J1411+J1413</f>
        <v>10740688</v>
      </c>
      <c r="K1400" s="1434">
        <f>K1401+K1411+K1413</f>
        <v>3596220</v>
      </c>
      <c r="L1400" s="1434">
        <f>L1401+L1411+L1413</f>
        <v>8500000</v>
      </c>
      <c r="M1400" s="1434">
        <f>M1401+M1411+M1413</f>
        <v>0</v>
      </c>
      <c r="N1400" s="1434">
        <f>N1401+N1411+N1413</f>
        <v>0</v>
      </c>
      <c r="O1400" s="1434"/>
      <c r="P1400" s="1441">
        <f>P1401+P1411+P1413</f>
        <v>11096220</v>
      </c>
      <c r="Q1400" s="1442">
        <f>P1400/J1400*100</f>
        <v>103.3101417711789</v>
      </c>
      <c r="R1400" s="1440"/>
      <c r="S1400" s="1434"/>
      <c r="T1400" s="1434"/>
      <c r="U1400" s="1434"/>
      <c r="V1400" s="1434"/>
      <c r="W1400" s="1441"/>
      <c r="X1400" s="1443"/>
      <c r="Y1400" s="1444"/>
    </row>
    <row r="1401" spans="1:25" s="581" customFormat="1" ht="13.5" thickTop="1">
      <c r="A1401" s="1493">
        <v>92601</v>
      </c>
      <c r="B1401" s="1506" t="s">
        <v>264</v>
      </c>
      <c r="C1401" s="1447">
        <f>SUM(C1402:C1402)+C1404+C1403</f>
        <v>4500000</v>
      </c>
      <c r="D1401" s="1447">
        <f>SUM(D1402:D1402)+D1404+D1403+D1410</f>
        <v>6774300</v>
      </c>
      <c r="E1401" s="1448">
        <f>SUM(E1402:E1402)+E1404+E1403+E1410</f>
        <v>8000000</v>
      </c>
      <c r="F1401" s="1449">
        <f>SUM(F1402:F1402)+F1404+F1403+F1410</f>
        <v>7500000</v>
      </c>
      <c r="G1401" s="1474">
        <f t="shared" si="406"/>
        <v>166.66666666666669</v>
      </c>
      <c r="H1401" s="1475">
        <f t="shared" si="405"/>
        <v>110.71254594570657</v>
      </c>
      <c r="I1401" s="1672"/>
      <c r="J1401" s="1451">
        <f>SUM(J1402:J1402)+J1404+J1403+J1410</f>
        <v>6774300</v>
      </c>
      <c r="K1401" s="1449">
        <f>SUM(K1402:K1402)+K1404+K1403+K1410</f>
        <v>0</v>
      </c>
      <c r="L1401" s="1449">
        <f>SUM(L1402:L1402)+L1404+L1403+L1410</f>
        <v>8500000</v>
      </c>
      <c r="M1401" s="1449">
        <f>SUM(M1402:M1402)+M1404+M1403+M1410</f>
        <v>0</v>
      </c>
      <c r="N1401" s="1449">
        <f>SUM(N1402:N1402)+N1404+N1403+N1410</f>
        <v>0</v>
      </c>
      <c r="O1401" s="1449"/>
      <c r="P1401" s="1448">
        <f>SUM(P1402:P1402)+P1404+P1403+P1410</f>
        <v>7500000</v>
      </c>
      <c r="Q1401" s="1744">
        <f>SUM(Q1402:Q1402)+Q1404+Q1403+Q1410</f>
        <v>115.38461538461537</v>
      </c>
      <c r="R1401" s="1449"/>
      <c r="S1401" s="1449"/>
      <c r="T1401" s="1449"/>
      <c r="U1401" s="1449"/>
      <c r="V1401" s="1449"/>
      <c r="W1401" s="1448"/>
      <c r="X1401" s="1454"/>
      <c r="Y1401" s="1444"/>
    </row>
    <row r="1402" spans="1:25" ht="12.75">
      <c r="A1402" s="1497">
        <v>4300</v>
      </c>
      <c r="B1402" s="1513" t="s">
        <v>564</v>
      </c>
      <c r="C1402" s="1457"/>
      <c r="D1402" s="1457">
        <f>J1402+R1402</f>
        <v>4300</v>
      </c>
      <c r="E1402" s="1458"/>
      <c r="F1402" s="1459">
        <f aca="true" t="shared" si="410" ref="F1402:F1410">P1402+W1402</f>
        <v>0</v>
      </c>
      <c r="G1402" s="1499"/>
      <c r="H1402" s="1499">
        <f t="shared" si="405"/>
        <v>0</v>
      </c>
      <c r="I1402" s="1501"/>
      <c r="J1402" s="1461">
        <v>4300</v>
      </c>
      <c r="K1402" s="1457"/>
      <c r="L1402" s="1457"/>
      <c r="M1402" s="1457"/>
      <c r="N1402" s="1457"/>
      <c r="O1402" s="1457"/>
      <c r="P1402" s="1462">
        <f aca="true" t="shared" si="411" ref="P1402:P1410">SUM(K1402:N1402)</f>
        <v>0</v>
      </c>
      <c r="Q1402" s="1495">
        <f aca="true" t="shared" si="412" ref="Q1402:Q1425">P1402/J1402*100</f>
        <v>0</v>
      </c>
      <c r="R1402" s="1461"/>
      <c r="S1402" s="1457"/>
      <c r="T1402" s="1457"/>
      <c r="U1402" s="1457"/>
      <c r="V1402" s="1457"/>
      <c r="W1402" s="1462"/>
      <c r="X1402" s="1496"/>
      <c r="Y1402" s="1444"/>
    </row>
    <row r="1403" spans="1:25" s="571" customFormat="1" ht="36">
      <c r="A1403" s="1497">
        <v>6010</v>
      </c>
      <c r="B1403" s="1513" t="s">
        <v>1198</v>
      </c>
      <c r="C1403" s="1457">
        <v>0</v>
      </c>
      <c r="D1403" s="1457">
        <f>J1403+R1403</f>
        <v>270000</v>
      </c>
      <c r="E1403" s="1458"/>
      <c r="F1403" s="1459">
        <f t="shared" si="410"/>
        <v>0</v>
      </c>
      <c r="G1403" s="1499"/>
      <c r="H1403" s="1499">
        <f t="shared" si="405"/>
        <v>0</v>
      </c>
      <c r="I1403" s="1501"/>
      <c r="J1403" s="1461">
        <v>270000</v>
      </c>
      <c r="K1403" s="1457"/>
      <c r="L1403" s="1457"/>
      <c r="M1403" s="1457"/>
      <c r="N1403" s="1457"/>
      <c r="O1403" s="1457"/>
      <c r="P1403" s="1462"/>
      <c r="Q1403" s="1495"/>
      <c r="R1403" s="1461"/>
      <c r="S1403" s="1457"/>
      <c r="T1403" s="1457"/>
      <c r="U1403" s="1457"/>
      <c r="V1403" s="1457"/>
      <c r="W1403" s="1462"/>
      <c r="X1403" s="1496"/>
      <c r="Y1403" s="1444"/>
    </row>
    <row r="1404" spans="1:25" ht="24">
      <c r="A1404" s="1497">
        <v>6050</v>
      </c>
      <c r="B1404" s="1513" t="s">
        <v>658</v>
      </c>
      <c r="C1404" s="1457">
        <v>4500000</v>
      </c>
      <c r="D1404" s="1457">
        <f>J1404+R1404</f>
        <v>6500000</v>
      </c>
      <c r="E1404" s="1458">
        <f>E1406+E1408+E1409+E1407</f>
        <v>8000000</v>
      </c>
      <c r="F1404" s="1459">
        <f t="shared" si="410"/>
        <v>7500000</v>
      </c>
      <c r="G1404" s="1499">
        <f t="shared" si="406"/>
        <v>166.66666666666669</v>
      </c>
      <c r="H1404" s="1499">
        <f t="shared" si="405"/>
        <v>115.38461538461537</v>
      </c>
      <c r="I1404" s="1501"/>
      <c r="J1404" s="1461">
        <f>SUM(J1406:J1409)</f>
        <v>6500000</v>
      </c>
      <c r="K1404" s="1457"/>
      <c r="L1404" s="1457">
        <f>SUM(L1406:L1409)</f>
        <v>8500000</v>
      </c>
      <c r="M1404" s="1457"/>
      <c r="N1404" s="1457"/>
      <c r="O1404" s="1457"/>
      <c r="P1404" s="1462">
        <f>SUM(P1406:P1409)</f>
        <v>7500000</v>
      </c>
      <c r="Q1404" s="1495">
        <f t="shared" si="412"/>
        <v>115.38461538461537</v>
      </c>
      <c r="R1404" s="1461"/>
      <c r="S1404" s="1457"/>
      <c r="T1404" s="1457"/>
      <c r="U1404" s="1457"/>
      <c r="V1404" s="1457"/>
      <c r="W1404" s="1462"/>
      <c r="X1404" s="1496"/>
      <c r="Y1404" s="1444"/>
    </row>
    <row r="1405" spans="1:25" ht="24" hidden="1">
      <c r="A1405" s="1497">
        <v>6060</v>
      </c>
      <c r="B1405" s="1513" t="s">
        <v>870</v>
      </c>
      <c r="C1405" s="1457"/>
      <c r="D1405" s="1457">
        <f aca="true" t="shared" si="413" ref="D1405:D1410">J1405+R1405</f>
        <v>0</v>
      </c>
      <c r="E1405" s="1458"/>
      <c r="F1405" s="1459">
        <f t="shared" si="410"/>
        <v>0</v>
      </c>
      <c r="G1405" s="1499" t="e">
        <f t="shared" si="406"/>
        <v>#DIV/0!</v>
      </c>
      <c r="H1405" s="1499" t="e">
        <f t="shared" si="405"/>
        <v>#DIV/0!</v>
      </c>
      <c r="I1405" s="1501"/>
      <c r="J1405" s="1461"/>
      <c r="K1405" s="1457"/>
      <c r="L1405" s="1457"/>
      <c r="M1405" s="1457"/>
      <c r="N1405" s="1457"/>
      <c r="O1405" s="1457"/>
      <c r="P1405" s="1462">
        <f t="shared" si="411"/>
        <v>0</v>
      </c>
      <c r="Q1405" s="1495" t="e">
        <f t="shared" si="412"/>
        <v>#DIV/0!</v>
      </c>
      <c r="R1405" s="1461"/>
      <c r="S1405" s="1457"/>
      <c r="T1405" s="1457"/>
      <c r="U1405" s="1457"/>
      <c r="V1405" s="1457"/>
      <c r="W1405" s="1462"/>
      <c r="X1405" s="1496"/>
      <c r="Y1405" s="1444"/>
    </row>
    <row r="1406" spans="1:25" ht="12.75">
      <c r="A1406" s="1497"/>
      <c r="B1406" s="1522" t="s">
        <v>1199</v>
      </c>
      <c r="C1406" s="1523">
        <v>1000000</v>
      </c>
      <c r="D1406" s="1457">
        <f t="shared" si="413"/>
        <v>1000000</v>
      </c>
      <c r="E1406" s="1543">
        <v>5000000</v>
      </c>
      <c r="F1406" s="1544">
        <f t="shared" si="410"/>
        <v>3500000</v>
      </c>
      <c r="G1406" s="1538">
        <f t="shared" si="406"/>
        <v>350</v>
      </c>
      <c r="H1406" s="1538">
        <f t="shared" si="405"/>
        <v>350</v>
      </c>
      <c r="I1406" s="1501"/>
      <c r="J1406" s="1526">
        <v>1000000</v>
      </c>
      <c r="K1406" s="1523"/>
      <c r="L1406" s="1523">
        <f>5000000-1500000</f>
        <v>3500000</v>
      </c>
      <c r="M1406" s="1457"/>
      <c r="N1406" s="1457"/>
      <c r="O1406" s="1457"/>
      <c r="P1406" s="1527">
        <f t="shared" si="411"/>
        <v>3500000</v>
      </c>
      <c r="Q1406" s="1495"/>
      <c r="R1406" s="1461"/>
      <c r="S1406" s="1457"/>
      <c r="T1406" s="1457"/>
      <c r="U1406" s="1457"/>
      <c r="V1406" s="1457"/>
      <c r="W1406" s="1462"/>
      <c r="X1406" s="1496"/>
      <c r="Y1406" s="1444"/>
    </row>
    <row r="1407" spans="1:25" ht="12.75" hidden="1">
      <c r="A1407" s="1497"/>
      <c r="B1407" s="1522" t="s">
        <v>1200</v>
      </c>
      <c r="C1407" s="1523"/>
      <c r="D1407" s="1457">
        <f t="shared" si="413"/>
        <v>0</v>
      </c>
      <c r="E1407" s="1543"/>
      <c r="F1407" s="1544">
        <f t="shared" si="410"/>
        <v>0</v>
      </c>
      <c r="G1407" s="1538"/>
      <c r="H1407" s="1538"/>
      <c r="I1407" s="1501"/>
      <c r="J1407" s="1526">
        <f>100000-100000</f>
        <v>0</v>
      </c>
      <c r="K1407" s="1523"/>
      <c r="L1407" s="1523"/>
      <c r="M1407" s="1457"/>
      <c r="N1407" s="1457"/>
      <c r="O1407" s="1457"/>
      <c r="P1407" s="1527">
        <f t="shared" si="411"/>
        <v>0</v>
      </c>
      <c r="Q1407" s="1495"/>
      <c r="R1407" s="1461"/>
      <c r="S1407" s="1457"/>
      <c r="T1407" s="1457"/>
      <c r="U1407" s="1457"/>
      <c r="V1407" s="1457"/>
      <c r="W1407" s="1462"/>
      <c r="X1407" s="1496"/>
      <c r="Y1407" s="1444"/>
    </row>
    <row r="1408" spans="1:25" ht="12.75">
      <c r="A1408" s="1497"/>
      <c r="B1408" s="1522" t="s">
        <v>1201</v>
      </c>
      <c r="C1408" s="1523">
        <v>3500000</v>
      </c>
      <c r="D1408" s="1457">
        <f t="shared" si="413"/>
        <v>5500000</v>
      </c>
      <c r="E1408" s="1543"/>
      <c r="F1408" s="1544">
        <f t="shared" si="410"/>
        <v>0</v>
      </c>
      <c r="G1408" s="1538">
        <f t="shared" si="406"/>
        <v>0</v>
      </c>
      <c r="H1408" s="1538">
        <f t="shared" si="405"/>
        <v>0</v>
      </c>
      <c r="I1408" s="1501"/>
      <c r="J1408" s="1526">
        <v>5500000</v>
      </c>
      <c r="K1408" s="1523"/>
      <c r="L1408" s="1523"/>
      <c r="M1408" s="1457"/>
      <c r="N1408" s="1457"/>
      <c r="O1408" s="1457"/>
      <c r="P1408" s="1527">
        <f t="shared" si="411"/>
        <v>0</v>
      </c>
      <c r="Q1408" s="1495"/>
      <c r="R1408" s="1461"/>
      <c r="S1408" s="1457"/>
      <c r="T1408" s="1457"/>
      <c r="U1408" s="1457"/>
      <c r="V1408" s="1457"/>
      <c r="W1408" s="1462"/>
      <c r="X1408" s="1496"/>
      <c r="Y1408" s="1444"/>
    </row>
    <row r="1409" spans="1:25" ht="12.75">
      <c r="A1409" s="1497"/>
      <c r="B1409" s="1522" t="s">
        <v>1202</v>
      </c>
      <c r="C1409" s="1523"/>
      <c r="D1409" s="1457">
        <f t="shared" si="413"/>
        <v>0</v>
      </c>
      <c r="E1409" s="1543">
        <v>3000000</v>
      </c>
      <c r="F1409" s="1544">
        <f t="shared" si="410"/>
        <v>4000000</v>
      </c>
      <c r="G1409" s="1538"/>
      <c r="H1409" s="1538"/>
      <c r="I1409" s="1501"/>
      <c r="J1409" s="1526"/>
      <c r="K1409" s="1523"/>
      <c r="L1409" s="1523">
        <f>500000-400000+4900000</f>
        <v>5000000</v>
      </c>
      <c r="M1409" s="1457"/>
      <c r="N1409" s="1457"/>
      <c r="O1409" s="1457"/>
      <c r="P1409" s="1527">
        <v>4000000</v>
      </c>
      <c r="Q1409" s="1495"/>
      <c r="R1409" s="1461"/>
      <c r="S1409" s="1457"/>
      <c r="T1409" s="1457"/>
      <c r="U1409" s="1457"/>
      <c r="V1409" s="1457"/>
      <c r="W1409" s="1462"/>
      <c r="X1409" s="1496"/>
      <c r="Y1409" s="1444"/>
    </row>
    <row r="1410" spans="1:25" s="571" customFormat="1" ht="24" hidden="1">
      <c r="A1410" s="1497">
        <v>6060</v>
      </c>
      <c r="B1410" s="1513" t="s">
        <v>1203</v>
      </c>
      <c r="C1410" s="1457"/>
      <c r="D1410" s="1457">
        <f t="shared" si="413"/>
        <v>0</v>
      </c>
      <c r="E1410" s="1458"/>
      <c r="F1410" s="1459">
        <f t="shared" si="410"/>
        <v>0</v>
      </c>
      <c r="G1410" s="1499"/>
      <c r="H1410" s="1499"/>
      <c r="I1410" s="1501"/>
      <c r="J1410" s="1461"/>
      <c r="K1410" s="1457"/>
      <c r="L1410" s="1457"/>
      <c r="M1410" s="1457"/>
      <c r="N1410" s="1457"/>
      <c r="O1410" s="1457"/>
      <c r="P1410" s="1462">
        <f t="shared" si="411"/>
        <v>0</v>
      </c>
      <c r="Q1410" s="1495"/>
      <c r="R1410" s="1461"/>
      <c r="S1410" s="1457"/>
      <c r="T1410" s="1457"/>
      <c r="U1410" s="1457"/>
      <c r="V1410" s="1457"/>
      <c r="W1410" s="1462"/>
      <c r="X1410" s="1496"/>
      <c r="Y1410" s="1444"/>
    </row>
    <row r="1411" spans="1:25" s="581" customFormat="1" ht="24">
      <c r="A1411" s="1516">
        <v>92605</v>
      </c>
      <c r="B1411" s="1550" t="s">
        <v>1204</v>
      </c>
      <c r="C1411" s="1467">
        <f>C1412</f>
        <v>3484000</v>
      </c>
      <c r="D1411" s="1467">
        <f>D1412</f>
        <v>3484000</v>
      </c>
      <c r="E1411" s="1468">
        <f>SUM(E1412:E1412)</f>
        <v>3536000</v>
      </c>
      <c r="F1411" s="1469">
        <f>SUM(F1412:F1412)</f>
        <v>3500000</v>
      </c>
      <c r="G1411" s="1531">
        <f t="shared" si="406"/>
        <v>100.45924225028702</v>
      </c>
      <c r="H1411" s="1532">
        <f t="shared" si="405"/>
        <v>100.45924225028702</v>
      </c>
      <c r="I1411" s="1501"/>
      <c r="J1411" s="1470">
        <f>SUM(J1412:J1412)</f>
        <v>3484000</v>
      </c>
      <c r="K1411" s="1467">
        <f>SUM(K1412:K1412)</f>
        <v>3500000</v>
      </c>
      <c r="L1411" s="1467">
        <f>SUM(L1412:L1412)</f>
        <v>0</v>
      </c>
      <c r="M1411" s="1467">
        <f>SUM(M1412:M1412)</f>
        <v>0</v>
      </c>
      <c r="N1411" s="1467">
        <f>SUM(N1412:N1412)</f>
        <v>0</v>
      </c>
      <c r="O1411" s="1467"/>
      <c r="P1411" s="1471">
        <f>SUM(P1412:P1412)</f>
        <v>3500000</v>
      </c>
      <c r="Q1411" s="1453">
        <f t="shared" si="412"/>
        <v>100.45924225028702</v>
      </c>
      <c r="R1411" s="1470"/>
      <c r="S1411" s="1467"/>
      <c r="T1411" s="1467"/>
      <c r="U1411" s="1467"/>
      <c r="V1411" s="1467"/>
      <c r="W1411" s="1471"/>
      <c r="X1411" s="1454"/>
      <c r="Y1411" s="1444"/>
    </row>
    <row r="1412" spans="1:25" ht="48">
      <c r="A1412" s="1497">
        <v>2820</v>
      </c>
      <c r="B1412" s="1513" t="s">
        <v>1148</v>
      </c>
      <c r="C1412" s="1457">
        <f>982000+202000+2300000</f>
        <v>3484000</v>
      </c>
      <c r="D1412" s="1457">
        <f>J1412+R1412</f>
        <v>3484000</v>
      </c>
      <c r="E1412" s="1458">
        <v>3536000</v>
      </c>
      <c r="F1412" s="1459">
        <f>P1412+W1412</f>
        <v>3500000</v>
      </c>
      <c r="G1412" s="1499">
        <f t="shared" si="406"/>
        <v>100.45924225028702</v>
      </c>
      <c r="H1412" s="1499">
        <f t="shared" si="405"/>
        <v>100.45924225028702</v>
      </c>
      <c r="I1412" s="1501"/>
      <c r="J1412" s="1461">
        <v>3484000</v>
      </c>
      <c r="K1412" s="1457">
        <v>3500000</v>
      </c>
      <c r="L1412" s="1457"/>
      <c r="M1412" s="1457"/>
      <c r="N1412" s="1457"/>
      <c r="O1412" s="1457"/>
      <c r="P1412" s="1462">
        <f>SUM(K1412:N1412)</f>
        <v>3500000</v>
      </c>
      <c r="Q1412" s="1495">
        <f t="shared" si="412"/>
        <v>100.45924225028702</v>
      </c>
      <c r="R1412" s="1461"/>
      <c r="S1412" s="1457"/>
      <c r="T1412" s="1457"/>
      <c r="U1412" s="1457"/>
      <c r="V1412" s="1457"/>
      <c r="W1412" s="1462"/>
      <c r="X1412" s="1496"/>
      <c r="Y1412" s="1444"/>
    </row>
    <row r="1413" spans="1:25" s="581" customFormat="1" ht="12.75">
      <c r="A1413" s="1516">
        <v>92695</v>
      </c>
      <c r="B1413" s="1550" t="s">
        <v>1205</v>
      </c>
      <c r="C1413" s="1467">
        <f>SUM(C1414:C1425)</f>
        <v>449720</v>
      </c>
      <c r="D1413" s="1467">
        <f>SUM(D1414:D1425)</f>
        <v>482388</v>
      </c>
      <c r="E1413" s="1468">
        <f>SUM(E1414:E1425)</f>
        <v>104620</v>
      </c>
      <c r="F1413" s="1469">
        <f>SUM(F1414:F1425)</f>
        <v>96220</v>
      </c>
      <c r="G1413" s="1531">
        <f t="shared" si="406"/>
        <v>21.39553499955528</v>
      </c>
      <c r="H1413" s="1532">
        <f t="shared" si="405"/>
        <v>19.946599003291958</v>
      </c>
      <c r="I1413" s="1501"/>
      <c r="J1413" s="1470">
        <f aca="true" t="shared" si="414" ref="J1413:P1413">SUM(J1414:J1425)</f>
        <v>482388</v>
      </c>
      <c r="K1413" s="1467">
        <f t="shared" si="414"/>
        <v>96220</v>
      </c>
      <c r="L1413" s="1467">
        <f t="shared" si="414"/>
        <v>0</v>
      </c>
      <c r="M1413" s="1467">
        <f t="shared" si="414"/>
        <v>0</v>
      </c>
      <c r="N1413" s="1467">
        <f t="shared" si="414"/>
        <v>0</v>
      </c>
      <c r="O1413" s="1467"/>
      <c r="P1413" s="1471">
        <f t="shared" si="414"/>
        <v>96220</v>
      </c>
      <c r="Q1413" s="1453">
        <f t="shared" si="412"/>
        <v>19.946599003291958</v>
      </c>
      <c r="R1413" s="1470"/>
      <c r="S1413" s="1467"/>
      <c r="T1413" s="1467"/>
      <c r="U1413" s="1467"/>
      <c r="V1413" s="1467"/>
      <c r="W1413" s="1471"/>
      <c r="X1413" s="1454"/>
      <c r="Y1413" s="1444"/>
    </row>
    <row r="1414" spans="1:25" ht="15" customHeight="1">
      <c r="A1414" s="1497">
        <v>4210</v>
      </c>
      <c r="B1414" s="1513" t="s">
        <v>1040</v>
      </c>
      <c r="C1414" s="1457">
        <v>16620</v>
      </c>
      <c r="D1414" s="1457">
        <f aca="true" t="shared" si="415" ref="D1414:D1425">J1414+R1414</f>
        <v>17980</v>
      </c>
      <c r="E1414" s="1458">
        <v>16220</v>
      </c>
      <c r="F1414" s="1459">
        <f aca="true" t="shared" si="416" ref="F1414:F1425">P1414+W1414</f>
        <v>16220</v>
      </c>
      <c r="G1414" s="1499">
        <f t="shared" si="406"/>
        <v>97.59326113116727</v>
      </c>
      <c r="H1414" s="1499">
        <f t="shared" si="405"/>
        <v>90.21134593993327</v>
      </c>
      <c r="I1414" s="1501"/>
      <c r="J1414" s="1461">
        <v>17980</v>
      </c>
      <c r="K1414" s="1457">
        <v>16220</v>
      </c>
      <c r="L1414" s="1457"/>
      <c r="M1414" s="1457"/>
      <c r="N1414" s="1457"/>
      <c r="O1414" s="1457"/>
      <c r="P1414" s="1462">
        <f aca="true" t="shared" si="417" ref="P1414:P1425">SUM(K1414:N1414)</f>
        <v>16220</v>
      </c>
      <c r="Q1414" s="1495">
        <f t="shared" si="412"/>
        <v>90.21134593993327</v>
      </c>
      <c r="R1414" s="1461"/>
      <c r="S1414" s="1457"/>
      <c r="T1414" s="1457"/>
      <c r="U1414" s="1457"/>
      <c r="V1414" s="1457"/>
      <c r="W1414" s="1462"/>
      <c r="X1414" s="1496"/>
      <c r="Y1414" s="1444"/>
    </row>
    <row r="1415" spans="1:25" ht="15" customHeight="1">
      <c r="A1415" s="1497">
        <v>4210</v>
      </c>
      <c r="B1415" s="1513" t="s">
        <v>1196</v>
      </c>
      <c r="C1415" s="1457">
        <v>25000</v>
      </c>
      <c r="D1415" s="1457">
        <f t="shared" si="415"/>
        <v>25000</v>
      </c>
      <c r="E1415" s="1458">
        <v>25400</v>
      </c>
      <c r="F1415" s="1459">
        <f t="shared" si="416"/>
        <v>25000</v>
      </c>
      <c r="G1415" s="1499">
        <f t="shared" si="406"/>
        <v>100</v>
      </c>
      <c r="H1415" s="1499">
        <f t="shared" si="405"/>
        <v>100</v>
      </c>
      <c r="I1415" s="1501"/>
      <c r="J1415" s="1461">
        <v>25000</v>
      </c>
      <c r="K1415" s="1457">
        <v>25000</v>
      </c>
      <c r="L1415" s="1457"/>
      <c r="M1415" s="1457"/>
      <c r="N1415" s="1457"/>
      <c r="O1415" s="1457"/>
      <c r="P1415" s="1462">
        <f t="shared" si="417"/>
        <v>25000</v>
      </c>
      <c r="Q1415" s="1495">
        <f t="shared" si="412"/>
        <v>100</v>
      </c>
      <c r="R1415" s="1461"/>
      <c r="S1415" s="1457"/>
      <c r="T1415" s="1457"/>
      <c r="U1415" s="1457"/>
      <c r="V1415" s="1457"/>
      <c r="W1415" s="1462"/>
      <c r="X1415" s="1496"/>
      <c r="Y1415" s="1444"/>
    </row>
    <row r="1416" spans="1:25" ht="24">
      <c r="A1416" s="1497">
        <v>4210</v>
      </c>
      <c r="B1416" s="1513" t="s">
        <v>1206</v>
      </c>
      <c r="C1416" s="1457"/>
      <c r="D1416" s="1457">
        <f t="shared" si="415"/>
        <v>6480</v>
      </c>
      <c r="E1416" s="1458"/>
      <c r="F1416" s="1459"/>
      <c r="G1416" s="1499"/>
      <c r="H1416" s="1499">
        <f t="shared" si="405"/>
        <v>0</v>
      </c>
      <c r="I1416" s="1501"/>
      <c r="J1416" s="1461">
        <v>6480</v>
      </c>
      <c r="K1416" s="1457"/>
      <c r="L1416" s="1457"/>
      <c r="M1416" s="1457"/>
      <c r="N1416" s="1457"/>
      <c r="O1416" s="1457"/>
      <c r="P1416" s="1462">
        <f t="shared" si="417"/>
        <v>0</v>
      </c>
      <c r="Q1416" s="1495"/>
      <c r="R1416" s="1461"/>
      <c r="S1416" s="1457"/>
      <c r="T1416" s="1457"/>
      <c r="U1416" s="1457"/>
      <c r="V1416" s="1457"/>
      <c r="W1416" s="1462"/>
      <c r="X1416" s="1496"/>
      <c r="Y1416" s="1444"/>
    </row>
    <row r="1417" spans="1:25" ht="12.75">
      <c r="A1417" s="1497">
        <v>4217</v>
      </c>
      <c r="B1417" s="1513" t="s">
        <v>1196</v>
      </c>
      <c r="C1417" s="1457"/>
      <c r="D1417" s="1457">
        <f t="shared" si="415"/>
        <v>2378</v>
      </c>
      <c r="E1417" s="1458"/>
      <c r="F1417" s="1459"/>
      <c r="G1417" s="1499"/>
      <c r="H1417" s="1499">
        <f t="shared" si="405"/>
        <v>0</v>
      </c>
      <c r="I1417" s="1501"/>
      <c r="J1417" s="1461">
        <v>2378</v>
      </c>
      <c r="K1417" s="1457"/>
      <c r="L1417" s="1457"/>
      <c r="M1417" s="1457"/>
      <c r="N1417" s="1457"/>
      <c r="O1417" s="1457"/>
      <c r="P1417" s="1462">
        <f t="shared" si="417"/>
        <v>0</v>
      </c>
      <c r="Q1417" s="1495"/>
      <c r="R1417" s="1461"/>
      <c r="S1417" s="1457"/>
      <c r="T1417" s="1457"/>
      <c r="U1417" s="1457"/>
      <c r="V1417" s="1457"/>
      <c r="W1417" s="1462"/>
      <c r="X1417" s="1496"/>
      <c r="Y1417" s="1444"/>
    </row>
    <row r="1418" spans="1:25" ht="15" customHeight="1">
      <c r="A1418" s="1497">
        <v>4300</v>
      </c>
      <c r="B1418" s="1513" t="s">
        <v>1197</v>
      </c>
      <c r="C1418" s="1457">
        <v>5600</v>
      </c>
      <c r="D1418" s="1457">
        <f t="shared" si="415"/>
        <v>4180</v>
      </c>
      <c r="E1418" s="1458">
        <v>4400</v>
      </c>
      <c r="F1418" s="1459">
        <f t="shared" si="416"/>
        <v>4400</v>
      </c>
      <c r="G1418" s="1499">
        <f t="shared" si="406"/>
        <v>78.57142857142857</v>
      </c>
      <c r="H1418" s="1499">
        <f t="shared" si="405"/>
        <v>105.26315789473684</v>
      </c>
      <c r="I1418" s="1501"/>
      <c r="J1418" s="1461">
        <v>4180</v>
      </c>
      <c r="K1418" s="1457">
        <v>4400</v>
      </c>
      <c r="L1418" s="1457"/>
      <c r="M1418" s="1457"/>
      <c r="N1418" s="1457"/>
      <c r="O1418" s="1457"/>
      <c r="P1418" s="1462">
        <f t="shared" si="417"/>
        <v>4400</v>
      </c>
      <c r="Q1418" s="1495">
        <f t="shared" si="412"/>
        <v>105.26315789473684</v>
      </c>
      <c r="R1418" s="1461"/>
      <c r="S1418" s="1457"/>
      <c r="T1418" s="1457"/>
      <c r="U1418" s="1457"/>
      <c r="V1418" s="1457"/>
      <c r="W1418" s="1462"/>
      <c r="X1418" s="1496"/>
      <c r="Y1418" s="1444"/>
    </row>
    <row r="1419" spans="1:25" ht="15" customHeight="1">
      <c r="A1419" s="1497">
        <v>4300</v>
      </c>
      <c r="B1419" s="1513" t="s">
        <v>1207</v>
      </c>
      <c r="C1419" s="1457"/>
      <c r="D1419" s="1457">
        <f t="shared" si="415"/>
        <v>21960</v>
      </c>
      <c r="E1419" s="1458"/>
      <c r="F1419" s="1459"/>
      <c r="G1419" s="1499"/>
      <c r="H1419" s="1499">
        <f t="shared" si="405"/>
        <v>0</v>
      </c>
      <c r="I1419" s="1501"/>
      <c r="J1419" s="1461">
        <v>21960</v>
      </c>
      <c r="K1419" s="1457"/>
      <c r="L1419" s="1457"/>
      <c r="M1419" s="1457"/>
      <c r="N1419" s="1457"/>
      <c r="O1419" s="1457"/>
      <c r="P1419" s="1462">
        <f t="shared" si="417"/>
        <v>0</v>
      </c>
      <c r="Q1419" s="1495"/>
      <c r="R1419" s="1461"/>
      <c r="S1419" s="1457"/>
      <c r="T1419" s="1457"/>
      <c r="U1419" s="1457"/>
      <c r="V1419" s="1457"/>
      <c r="W1419" s="1462"/>
      <c r="X1419" s="1496"/>
      <c r="Y1419" s="1444"/>
    </row>
    <row r="1420" spans="1:25" ht="15" customHeight="1">
      <c r="A1420" s="1497">
        <v>4307</v>
      </c>
      <c r="B1420" s="1513" t="s">
        <v>839</v>
      </c>
      <c r="C1420" s="1457"/>
      <c r="D1420" s="1457">
        <f t="shared" si="415"/>
        <v>1750</v>
      </c>
      <c r="E1420" s="1458"/>
      <c r="F1420" s="1459"/>
      <c r="G1420" s="1499"/>
      <c r="H1420" s="1499">
        <f t="shared" si="405"/>
        <v>0</v>
      </c>
      <c r="I1420" s="1501"/>
      <c r="J1420" s="1461">
        <v>1750</v>
      </c>
      <c r="K1420" s="1457"/>
      <c r="L1420" s="1457"/>
      <c r="M1420" s="1457"/>
      <c r="N1420" s="1457"/>
      <c r="O1420" s="1457"/>
      <c r="P1420" s="1462">
        <f t="shared" si="417"/>
        <v>0</v>
      </c>
      <c r="Q1420" s="1495"/>
      <c r="R1420" s="1461"/>
      <c r="S1420" s="1457"/>
      <c r="T1420" s="1457"/>
      <c r="U1420" s="1457"/>
      <c r="V1420" s="1457"/>
      <c r="W1420" s="1462"/>
      <c r="X1420" s="1496"/>
      <c r="Y1420" s="1444"/>
    </row>
    <row r="1421" spans="1:25" ht="12.75" customHeight="1">
      <c r="A1421" s="1497">
        <v>4430</v>
      </c>
      <c r="B1421" s="1513" t="s">
        <v>1068</v>
      </c>
      <c r="C1421" s="1457"/>
      <c r="D1421" s="1457">
        <f t="shared" si="415"/>
        <v>160</v>
      </c>
      <c r="E1421" s="1458">
        <v>100</v>
      </c>
      <c r="F1421" s="1459">
        <f t="shared" si="416"/>
        <v>100</v>
      </c>
      <c r="G1421" s="1499"/>
      <c r="H1421" s="1499">
        <f t="shared" si="405"/>
        <v>62.5</v>
      </c>
      <c r="I1421" s="1501"/>
      <c r="J1421" s="1461">
        <v>160</v>
      </c>
      <c r="K1421" s="1457">
        <v>100</v>
      </c>
      <c r="L1421" s="1457"/>
      <c r="M1421" s="1457"/>
      <c r="N1421" s="1457"/>
      <c r="O1421" s="1457"/>
      <c r="P1421" s="1462">
        <f t="shared" si="417"/>
        <v>100</v>
      </c>
      <c r="Q1421" s="1495"/>
      <c r="R1421" s="1461"/>
      <c r="S1421" s="1457"/>
      <c r="T1421" s="1457"/>
      <c r="U1421" s="1457"/>
      <c r="V1421" s="1457"/>
      <c r="W1421" s="1462"/>
      <c r="X1421" s="1496"/>
      <c r="Y1421" s="1444"/>
    </row>
    <row r="1422" spans="1:25" ht="23.25" customHeight="1">
      <c r="A1422" s="1497">
        <v>3020</v>
      </c>
      <c r="B1422" s="1513" t="s">
        <v>717</v>
      </c>
      <c r="C1422" s="1457">
        <v>35000</v>
      </c>
      <c r="D1422" s="1457">
        <f t="shared" si="415"/>
        <v>0</v>
      </c>
      <c r="E1422" s="1458"/>
      <c r="F1422" s="1459">
        <f t="shared" si="416"/>
        <v>0</v>
      </c>
      <c r="G1422" s="1499">
        <f t="shared" si="406"/>
        <v>0</v>
      </c>
      <c r="H1422" s="1499"/>
      <c r="I1422" s="1501"/>
      <c r="J1422" s="1461"/>
      <c r="K1422" s="1457"/>
      <c r="L1422" s="1457"/>
      <c r="M1422" s="1457"/>
      <c r="N1422" s="1457"/>
      <c r="O1422" s="1457"/>
      <c r="P1422" s="1462">
        <f t="shared" si="417"/>
        <v>0</v>
      </c>
      <c r="Q1422" s="1495" t="e">
        <f t="shared" si="412"/>
        <v>#DIV/0!</v>
      </c>
      <c r="R1422" s="1461"/>
      <c r="S1422" s="1457"/>
      <c r="T1422" s="1457"/>
      <c r="U1422" s="1457"/>
      <c r="V1422" s="1457"/>
      <c r="W1422" s="1462"/>
      <c r="X1422" s="1496"/>
      <c r="Y1422" s="1444"/>
    </row>
    <row r="1423" spans="1:25" ht="24" customHeight="1">
      <c r="A1423" s="1497">
        <v>3040</v>
      </c>
      <c r="B1423" s="1513" t="s">
        <v>791</v>
      </c>
      <c r="C1423" s="1457"/>
      <c r="D1423" s="1457">
        <f t="shared" si="415"/>
        <v>35000</v>
      </c>
      <c r="E1423" s="1458">
        <v>35500</v>
      </c>
      <c r="F1423" s="1459">
        <f t="shared" si="416"/>
        <v>35000</v>
      </c>
      <c r="G1423" s="1499"/>
      <c r="H1423" s="1499">
        <f t="shared" si="405"/>
        <v>100</v>
      </c>
      <c r="I1423" s="1501"/>
      <c r="J1423" s="1461">
        <v>35000</v>
      </c>
      <c r="K1423" s="1457">
        <v>35000</v>
      </c>
      <c r="L1423" s="1457"/>
      <c r="M1423" s="1457"/>
      <c r="N1423" s="1457"/>
      <c r="O1423" s="1457"/>
      <c r="P1423" s="1462">
        <f t="shared" si="417"/>
        <v>35000</v>
      </c>
      <c r="Q1423" s="1495"/>
      <c r="R1423" s="1461"/>
      <c r="S1423" s="1457"/>
      <c r="T1423" s="1457"/>
      <c r="U1423" s="1457"/>
      <c r="V1423" s="1457"/>
      <c r="W1423" s="1462"/>
      <c r="X1423" s="1496"/>
      <c r="Y1423" s="1444"/>
    </row>
    <row r="1424" spans="1:25" ht="15" customHeight="1">
      <c r="A1424" s="1497">
        <v>4300</v>
      </c>
      <c r="B1424" s="1513" t="s">
        <v>839</v>
      </c>
      <c r="C1424" s="1457">
        <v>360500</v>
      </c>
      <c r="D1424" s="1457">
        <f t="shared" si="415"/>
        <v>360500</v>
      </c>
      <c r="E1424" s="1514">
        <f>365900-350000</f>
        <v>15900</v>
      </c>
      <c r="F1424" s="1457">
        <f t="shared" si="416"/>
        <v>10500</v>
      </c>
      <c r="G1424" s="1499">
        <f t="shared" si="406"/>
        <v>2.912621359223301</v>
      </c>
      <c r="H1424" s="1499">
        <f t="shared" si="405"/>
        <v>2.912621359223301</v>
      </c>
      <c r="I1424" s="1501"/>
      <c r="J1424" s="1461">
        <v>360500</v>
      </c>
      <c r="K1424" s="1457">
        <f>360500-350000</f>
        <v>10500</v>
      </c>
      <c r="L1424" s="1457"/>
      <c r="M1424" s="1457"/>
      <c r="N1424" s="1457"/>
      <c r="O1424" s="1457"/>
      <c r="P1424" s="1462">
        <f t="shared" si="417"/>
        <v>10500</v>
      </c>
      <c r="Q1424" s="1495">
        <f t="shared" si="412"/>
        <v>2.912621359223301</v>
      </c>
      <c r="R1424" s="1461"/>
      <c r="S1424" s="1457"/>
      <c r="T1424" s="1457"/>
      <c r="U1424" s="1457"/>
      <c r="V1424" s="1457"/>
      <c r="W1424" s="1462"/>
      <c r="X1424" s="1496"/>
      <c r="Y1424" s="1444"/>
    </row>
    <row r="1425" spans="1:25" ht="24.75" thickBot="1">
      <c r="A1425" s="1485">
        <v>4280</v>
      </c>
      <c r="B1425" s="1502" t="s">
        <v>1208</v>
      </c>
      <c r="C1425" s="1478">
        <v>7000</v>
      </c>
      <c r="D1425" s="1457">
        <f t="shared" si="415"/>
        <v>7000</v>
      </c>
      <c r="E1425" s="1595">
        <v>7100</v>
      </c>
      <c r="F1425" s="1457">
        <f t="shared" si="416"/>
        <v>5000</v>
      </c>
      <c r="G1425" s="1716">
        <f t="shared" si="406"/>
        <v>71.42857142857143</v>
      </c>
      <c r="H1425" s="1717">
        <f t="shared" si="405"/>
        <v>71.42857142857143</v>
      </c>
      <c r="I1425" s="1679"/>
      <c r="J1425" s="1483">
        <v>7000</v>
      </c>
      <c r="K1425" s="1478">
        <v>5000</v>
      </c>
      <c r="L1425" s="1478"/>
      <c r="M1425" s="1478"/>
      <c r="N1425" s="1478"/>
      <c r="O1425" s="1478"/>
      <c r="P1425" s="1462">
        <f t="shared" si="417"/>
        <v>5000</v>
      </c>
      <c r="Q1425" s="1495">
        <f t="shared" si="412"/>
        <v>71.42857142857143</v>
      </c>
      <c r="R1425" s="1483"/>
      <c r="S1425" s="1478"/>
      <c r="T1425" s="1478"/>
      <c r="U1425" s="1478"/>
      <c r="V1425" s="1478"/>
      <c r="W1425" s="1462"/>
      <c r="X1425" s="1496"/>
      <c r="Y1425" s="1444"/>
    </row>
    <row r="1426" spans="1:28" s="580" customFormat="1" ht="23.25" customHeight="1" thickBot="1" thickTop="1">
      <c r="A1426" s="1745"/>
      <c r="B1426" s="1746" t="s">
        <v>1312</v>
      </c>
      <c r="C1426" s="1747">
        <f>C1400+C1307+C1202+C1047+C1031+C862+C827+C817+C461+C453+C450+C440+C421+C403+C244+C205+C170+C156+C40+C34+C31+C8</f>
        <v>246845928</v>
      </c>
      <c r="D1426" s="1747">
        <f>D1400+D1307+D1202+D1047+D1031+D862+D827+D817+D461+D453+D450+D440+D421+D403+D244+D205+D170+D156+D40+D34+D31+D8</f>
        <v>269397763</v>
      </c>
      <c r="E1426" s="1748">
        <f>E1400+E1307+E1202+E1047+E1031+E862+E827+E817+E461+E453+E450+E440+E421+E403+E244+E205+E170+E156+E40+E34+E31+E8</f>
        <v>360143386</v>
      </c>
      <c r="F1426" s="1747">
        <f>F1400+F1307+F1202+F1047+F1031+F862+F827+F817+F461+F453+F450+F440+F421+F403+F244+F205+F170+F156+F40+F34+F31+F8</f>
        <v>274184471</v>
      </c>
      <c r="G1426" s="1437">
        <f t="shared" si="406"/>
        <v>111.07514441153754</v>
      </c>
      <c r="H1426" s="1438">
        <f t="shared" si="405"/>
        <v>101.77681802057133</v>
      </c>
      <c r="I1426" s="1439">
        <f>F1426/F$1426*100</f>
        <v>100</v>
      </c>
      <c r="J1426" s="1749">
        <f aca="true" t="shared" si="418" ref="J1426:W1426">J1400+J1307+J1202+J1047+J1031+J862+J827+J817+J461+J453+J450+J440+J421+J403+J244+J205+J170+J156+J40+J34+J31+J8</f>
        <v>162214202</v>
      </c>
      <c r="K1426" s="1434">
        <f t="shared" si="418"/>
        <v>130111237</v>
      </c>
      <c r="L1426" s="1434">
        <f t="shared" si="418"/>
        <v>31005600</v>
      </c>
      <c r="M1426" s="1434">
        <f t="shared" si="418"/>
        <v>11313200</v>
      </c>
      <c r="N1426" s="1434">
        <f>N1400+N1307+N1202+N1047+N1031+N862+N827+N817+N461+N453+N450+N440+N421+N403+N244+N205+N170+N156+N40+N34+N31+N8</f>
        <v>5478100</v>
      </c>
      <c r="O1426" s="1747"/>
      <c r="P1426" s="1750">
        <f t="shared" si="418"/>
        <v>177458137</v>
      </c>
      <c r="Q1426" s="1751" t="e">
        <f t="shared" si="418"/>
        <v>#DIV/0!</v>
      </c>
      <c r="R1426" s="1749">
        <f t="shared" si="418"/>
        <v>107183561</v>
      </c>
      <c r="S1426" s="1747">
        <f t="shared" si="418"/>
        <v>67345403</v>
      </c>
      <c r="T1426" s="1747">
        <f t="shared" si="418"/>
        <v>26341531</v>
      </c>
      <c r="U1426" s="1434">
        <f t="shared" si="418"/>
        <v>20200</v>
      </c>
      <c r="V1426" s="1434">
        <f>V1400+V1307+V1202+V1047+V1031+V862+V827+V817+V461+V453+V450+V440+V421+V403+V244+V205+V170+V156+V40+V34+V31+V8</f>
        <v>2569200</v>
      </c>
      <c r="W1426" s="1750">
        <f t="shared" si="418"/>
        <v>96726334</v>
      </c>
      <c r="X1426" s="1443">
        <f>W1426/R1426*100</f>
        <v>90.24362793842985</v>
      </c>
      <c r="Y1426" s="1444"/>
      <c r="Z1426" s="1752" t="e">
        <f>Z40+Z156+Z170+Z205+AB421+Z440+Z450+Z453+Z461+Z817+Z827+Z862+Z1031+Z1047+Z1202+Z1307+Z1400</f>
        <v>#REF!</v>
      </c>
      <c r="AA1426" s="1752">
        <f>AA40+AA156+AA170+AA205+AC421+AA440+AA450+AA453+AA461+AA817+AA827+AA862+AA1031+AA1047+AA1202+AA1307+AA1400</f>
        <v>36197398</v>
      </c>
      <c r="AB1426" s="1752" t="e">
        <f>AB40+AB156+AB170+AB205+AD421+AB440+AB450+AB453+AB461+AB817+AB827+AB862+AB1031+AB1047+AB1202+AB1307+AB1400</f>
        <v>#REF!</v>
      </c>
    </row>
    <row r="1427" spans="1:24" s="4" customFormat="1" ht="14.25" thickTop="1">
      <c r="A1427" s="1753"/>
      <c r="B1427" s="1754"/>
      <c r="C1427" s="1755"/>
      <c r="D1427" s="1755"/>
      <c r="E1427" s="1755"/>
      <c r="F1427" s="1755"/>
      <c r="G1427" s="1756"/>
      <c r="H1427" s="1756"/>
      <c r="I1427" s="1756"/>
      <c r="J1427" s="1755"/>
      <c r="K1427" s="1755"/>
      <c r="L1427" s="1755"/>
      <c r="M1427" s="1755"/>
      <c r="N1427" s="1755"/>
      <c r="O1427" s="1755"/>
      <c r="P1427" s="1755"/>
      <c r="Q1427" s="1756"/>
      <c r="R1427" s="1755"/>
      <c r="S1427" s="1755"/>
      <c r="T1427" s="1755"/>
      <c r="U1427" s="1755"/>
      <c r="V1427" s="1755"/>
      <c r="W1427" s="1755"/>
      <c r="X1427" s="1757"/>
    </row>
    <row r="1428" spans="3:24" s="4" customFormat="1" ht="12.75">
      <c r="C1428" s="1392"/>
      <c r="D1428" s="1392"/>
      <c r="E1428" s="1392"/>
      <c r="F1428" s="1392"/>
      <c r="G1428" s="1393"/>
      <c r="H1428" s="1393"/>
      <c r="I1428" s="1393"/>
      <c r="J1428" s="1392"/>
      <c r="K1428" s="1392"/>
      <c r="L1428" s="1392"/>
      <c r="M1428" s="1392"/>
      <c r="N1428" s="1392"/>
      <c r="O1428" s="1392"/>
      <c r="P1428" s="1392"/>
      <c r="Q1428" s="1393"/>
      <c r="R1428" s="1392"/>
      <c r="S1428" s="1392"/>
      <c r="T1428" s="1392"/>
      <c r="U1428" s="1392"/>
      <c r="V1428" s="1392"/>
      <c r="W1428" s="1392"/>
      <c r="X1428" s="1394"/>
    </row>
    <row r="1429" spans="3:24" s="4" customFormat="1" ht="12.75">
      <c r="C1429" s="1392"/>
      <c r="D1429" s="1392"/>
      <c r="E1429" s="1392"/>
      <c r="F1429" s="1392"/>
      <c r="G1429" s="1393"/>
      <c r="H1429" s="1393"/>
      <c r="I1429" s="1393"/>
      <c r="J1429" s="1392"/>
      <c r="K1429" s="1392"/>
      <c r="L1429" s="1392"/>
      <c r="M1429" s="1392"/>
      <c r="N1429" s="1392"/>
      <c r="O1429" s="1392"/>
      <c r="P1429" s="1392"/>
      <c r="Q1429" s="1393"/>
      <c r="R1429" s="1392"/>
      <c r="S1429" s="1392"/>
      <c r="T1429" s="1392"/>
      <c r="U1429" s="1392"/>
      <c r="V1429" s="1392"/>
      <c r="W1429" s="1392"/>
      <c r="X1429" s="1394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D2" sqref="D2"/>
    </sheetView>
  </sheetViews>
  <sheetFormatPr defaultColWidth="9.00390625" defaultRowHeight="12.75"/>
  <cols>
    <col min="1" max="1" width="4.00390625" style="0" customWidth="1"/>
    <col min="2" max="2" width="28.00390625" style="0" customWidth="1"/>
    <col min="3" max="4" width="11.625" style="0" customWidth="1"/>
    <col min="5" max="5" width="11.25390625" style="0" customWidth="1"/>
    <col min="6" max="6" width="9.375" style="0" customWidth="1"/>
    <col min="7" max="7" width="12.75390625" style="0" customWidth="1"/>
    <col min="8" max="8" width="12.125" style="0" customWidth="1"/>
    <col min="9" max="9" width="13.00390625" style="0" customWidth="1"/>
    <col min="10" max="10" width="10.625" style="0" customWidth="1"/>
  </cols>
  <sheetData>
    <row r="1" spans="1:14" ht="12.75" customHeight="1">
      <c r="A1" s="4"/>
      <c r="B1" s="4"/>
      <c r="C1" s="4"/>
      <c r="D1" s="4"/>
      <c r="E1" s="4"/>
      <c r="F1" s="4"/>
      <c r="G1" s="4"/>
      <c r="H1" s="1713"/>
      <c r="I1" s="260"/>
      <c r="J1" s="1760"/>
      <c r="K1" s="1621"/>
      <c r="L1" s="1761"/>
      <c r="M1" s="234"/>
      <c r="N1" s="1762"/>
    </row>
    <row r="2" spans="1:10" ht="12.75" customHeight="1">
      <c r="A2" s="4"/>
      <c r="B2" s="4"/>
      <c r="C2" s="4"/>
      <c r="D2" s="4"/>
      <c r="E2" s="4"/>
      <c r="F2" s="4"/>
      <c r="G2" s="4"/>
      <c r="H2" s="4"/>
      <c r="J2" s="1763" t="s">
        <v>1209</v>
      </c>
    </row>
    <row r="3" spans="1:10" s="530" customFormat="1" ht="20.25" customHeight="1">
      <c r="A3" s="1764"/>
      <c r="B3" s="2111" t="s">
        <v>1210</v>
      </c>
      <c r="C3" s="2111"/>
      <c r="D3" s="2111"/>
      <c r="E3" s="2111"/>
      <c r="F3" s="2111"/>
      <c r="G3" s="2111"/>
      <c r="H3" s="2111"/>
      <c r="I3" s="2111"/>
      <c r="J3" s="1765"/>
    </row>
    <row r="4" spans="1:10" ht="15.75" customHeight="1" thickBot="1">
      <c r="A4" s="4"/>
      <c r="B4" s="1766"/>
      <c r="C4" s="1766"/>
      <c r="D4" s="1766"/>
      <c r="E4" s="1766"/>
      <c r="F4" s="1766"/>
      <c r="G4" s="1766"/>
      <c r="H4" s="1766"/>
      <c r="I4" s="1766"/>
      <c r="J4" s="529" t="s">
        <v>1420</v>
      </c>
    </row>
    <row r="5" spans="1:10" ht="30" customHeight="1" thickBot="1" thickTop="1">
      <c r="A5" s="1767"/>
      <c r="B5" s="1768"/>
      <c r="C5" s="2112" t="s">
        <v>1211</v>
      </c>
      <c r="D5" s="2112"/>
      <c r="E5" s="2112"/>
      <c r="F5" s="2113"/>
      <c r="G5" s="2114" t="s">
        <v>1212</v>
      </c>
      <c r="H5" s="2112"/>
      <c r="I5" s="2112"/>
      <c r="J5" s="2113"/>
    </row>
    <row r="6" spans="1:10" ht="50.25" customHeight="1" thickBot="1" thickTop="1">
      <c r="A6" s="1769" t="s">
        <v>1213</v>
      </c>
      <c r="B6" s="1770" t="s">
        <v>1316</v>
      </c>
      <c r="C6" s="1771" t="s">
        <v>1214</v>
      </c>
      <c r="D6" s="1772" t="s">
        <v>1215</v>
      </c>
      <c r="E6" s="1773" t="s">
        <v>1216</v>
      </c>
      <c r="F6" s="1774" t="s">
        <v>1217</v>
      </c>
      <c r="G6" s="1775" t="s">
        <v>1214</v>
      </c>
      <c r="H6" s="1772" t="s">
        <v>1218</v>
      </c>
      <c r="I6" s="1771" t="s">
        <v>1219</v>
      </c>
      <c r="J6" s="1776" t="s">
        <v>1217</v>
      </c>
    </row>
    <row r="7" spans="1:10" s="1621" customFormat="1" ht="9.75" customHeight="1" thickBot="1" thickTop="1">
      <c r="A7" s="1777">
        <v>1</v>
      </c>
      <c r="B7" s="1778">
        <v>2</v>
      </c>
      <c r="C7" s="1779">
        <v>4</v>
      </c>
      <c r="D7" s="1779">
        <v>5</v>
      </c>
      <c r="E7" s="1780">
        <v>6</v>
      </c>
      <c r="F7" s="1781">
        <v>7</v>
      </c>
      <c r="G7" s="1777">
        <v>8</v>
      </c>
      <c r="H7" s="1779">
        <v>9</v>
      </c>
      <c r="I7" s="1779">
        <v>10</v>
      </c>
      <c r="J7" s="1778">
        <v>11</v>
      </c>
    </row>
    <row r="8" spans="1:10" s="636" customFormat="1" ht="25.5" customHeight="1" thickTop="1">
      <c r="A8" s="1782">
        <v>1</v>
      </c>
      <c r="B8" s="1783" t="s">
        <v>1220</v>
      </c>
      <c r="C8" s="1784">
        <v>1833700</v>
      </c>
      <c r="D8" s="1785">
        <f>SUM(D9:D10)</f>
        <v>2281020</v>
      </c>
      <c r="E8" s="1784">
        <v>4114720</v>
      </c>
      <c r="F8" s="1786">
        <f>C8+D8-E8</f>
        <v>0</v>
      </c>
      <c r="G8" s="1787">
        <v>2027000</v>
      </c>
      <c r="H8" s="1785">
        <f>SUM(H9:H10)</f>
        <v>2161000</v>
      </c>
      <c r="I8" s="1784">
        <v>4188000</v>
      </c>
      <c r="J8" s="1788">
        <f>F8+G8+H8-I8</f>
        <v>0</v>
      </c>
    </row>
    <row r="9" spans="1:10" s="1796" customFormat="1" ht="12.75" customHeight="1">
      <c r="A9" s="1789"/>
      <c r="B9" s="1790" t="s">
        <v>1221</v>
      </c>
      <c r="C9" s="1793"/>
      <c r="D9" s="1793">
        <v>1450000</v>
      </c>
      <c r="E9" s="1793"/>
      <c r="F9" s="1794"/>
      <c r="G9" s="1795"/>
      <c r="H9" s="1793">
        <v>1475000</v>
      </c>
      <c r="I9" s="1793"/>
      <c r="J9" s="1794"/>
    </row>
    <row r="10" spans="1:10" s="1797" customFormat="1" ht="13.5" customHeight="1" thickBot="1">
      <c r="A10" s="1789"/>
      <c r="B10" s="1790" t="s">
        <v>1222</v>
      </c>
      <c r="C10" s="1793"/>
      <c r="D10" s="1793">
        <v>831020</v>
      </c>
      <c r="E10" s="1793"/>
      <c r="F10" s="1794"/>
      <c r="G10" s="1795"/>
      <c r="H10" s="1793">
        <v>686000</v>
      </c>
      <c r="I10" s="1793"/>
      <c r="J10" s="1794"/>
    </row>
    <row r="11" spans="1:10" ht="36" customHeight="1" thickTop="1">
      <c r="A11" s="1798">
        <v>2</v>
      </c>
      <c r="B11" s="1799" t="s">
        <v>1223</v>
      </c>
      <c r="C11" s="1800">
        <v>176400</v>
      </c>
      <c r="D11" s="1801">
        <f>SUM(D12:D13)</f>
        <v>3213890</v>
      </c>
      <c r="E11" s="1800">
        <v>3390290</v>
      </c>
      <c r="F11" s="1802">
        <f>C11+D11-E11</f>
        <v>0</v>
      </c>
      <c r="G11" s="1803">
        <v>177100</v>
      </c>
      <c r="H11" s="1801">
        <f>SUM(H12:H13)</f>
        <v>3127000</v>
      </c>
      <c r="I11" s="1800">
        <v>3304100</v>
      </c>
      <c r="J11" s="1802">
        <f>F11+G11+H11-I11</f>
        <v>0</v>
      </c>
    </row>
    <row r="12" spans="1:10" s="1796" customFormat="1" ht="14.25" customHeight="1">
      <c r="A12" s="1789"/>
      <c r="B12" s="1790" t="s">
        <v>1221</v>
      </c>
      <c r="C12" s="1793"/>
      <c r="D12" s="1793">
        <v>3066000</v>
      </c>
      <c r="E12" s="1793"/>
      <c r="F12" s="1794"/>
      <c r="G12" s="1795"/>
      <c r="H12" s="1793">
        <v>3112000</v>
      </c>
      <c r="I12" s="1793"/>
      <c r="J12" s="1794"/>
    </row>
    <row r="13" spans="1:10" s="1797" customFormat="1" ht="15.75" customHeight="1" thickBot="1">
      <c r="A13" s="1789"/>
      <c r="B13" s="1790" t="s">
        <v>1222</v>
      </c>
      <c r="C13" s="1793"/>
      <c r="D13" s="1793">
        <v>147890</v>
      </c>
      <c r="E13" s="1793"/>
      <c r="F13" s="1794"/>
      <c r="G13" s="1795"/>
      <c r="H13" s="1793">
        <v>15000</v>
      </c>
      <c r="I13" s="1793"/>
      <c r="J13" s="1794"/>
    </row>
    <row r="14" spans="1:10" ht="24" customHeight="1" thickTop="1">
      <c r="A14" s="1798">
        <v>3</v>
      </c>
      <c r="B14" s="1804" t="s">
        <v>1224</v>
      </c>
      <c r="C14" s="1800">
        <v>1410000</v>
      </c>
      <c r="D14" s="1801">
        <f>SUM(D15:D16)</f>
        <v>2390530</v>
      </c>
      <c r="E14" s="1800">
        <v>3800530</v>
      </c>
      <c r="F14" s="1802">
        <f>C14+D14-E14</f>
        <v>0</v>
      </c>
      <c r="G14" s="1803">
        <v>1265000</v>
      </c>
      <c r="H14" s="1801">
        <f>SUM(H15:H16)</f>
        <v>2335000</v>
      </c>
      <c r="I14" s="1800">
        <v>3600000</v>
      </c>
      <c r="J14" s="1802">
        <f>F14+G14+H14-I14</f>
        <v>0</v>
      </c>
    </row>
    <row r="15" spans="1:10" s="1796" customFormat="1" ht="12.75" customHeight="1">
      <c r="A15" s="1789"/>
      <c r="B15" s="1790" t="s">
        <v>1221</v>
      </c>
      <c r="C15" s="1793"/>
      <c r="D15" s="1793">
        <v>2300000</v>
      </c>
      <c r="E15" s="1793"/>
      <c r="F15" s="1794"/>
      <c r="G15" s="1795"/>
      <c r="H15" s="1793">
        <v>2335000</v>
      </c>
      <c r="I15" s="1793"/>
      <c r="J15" s="1794"/>
    </row>
    <row r="16" spans="1:10" s="1797" customFormat="1" ht="15" customHeight="1" thickBot="1">
      <c r="A16" s="1789"/>
      <c r="B16" s="1790" t="s">
        <v>1222</v>
      </c>
      <c r="C16" s="1793"/>
      <c r="D16" s="1793">
        <v>90530</v>
      </c>
      <c r="E16" s="1793"/>
      <c r="F16" s="1794"/>
      <c r="G16" s="1795"/>
      <c r="H16" s="1805">
        <v>0</v>
      </c>
      <c r="I16" s="1793"/>
      <c r="J16" s="1794"/>
    </row>
    <row r="17" spans="1:10" ht="26.25" customHeight="1" thickTop="1">
      <c r="A17" s="1798">
        <v>4</v>
      </c>
      <c r="B17" s="1804" t="s">
        <v>1225</v>
      </c>
      <c r="C17" s="1800">
        <v>379200</v>
      </c>
      <c r="D17" s="1801">
        <f>SUM(D18:D19)</f>
        <v>2447250</v>
      </c>
      <c r="E17" s="1800">
        <v>2826450</v>
      </c>
      <c r="F17" s="1802">
        <f>C17+D17-E17</f>
        <v>0</v>
      </c>
      <c r="G17" s="1803">
        <v>390000</v>
      </c>
      <c r="H17" s="1801">
        <f>SUM(H18:H19)</f>
        <v>2634000</v>
      </c>
      <c r="I17" s="1800">
        <v>3024000</v>
      </c>
      <c r="J17" s="1802">
        <f>F17+G17+H17-I17</f>
        <v>0</v>
      </c>
    </row>
    <row r="18" spans="1:10" s="1796" customFormat="1" ht="13.5" customHeight="1">
      <c r="A18" s="1789"/>
      <c r="B18" s="1790" t="s">
        <v>1221</v>
      </c>
      <c r="C18" s="1793"/>
      <c r="D18" s="1793">
        <v>2359250</v>
      </c>
      <c r="E18" s="1793"/>
      <c r="F18" s="1794"/>
      <c r="G18" s="1795"/>
      <c r="H18" s="1793">
        <v>2545000</v>
      </c>
      <c r="I18" s="1793"/>
      <c r="J18" s="1794"/>
    </row>
    <row r="19" spans="1:10" s="1797" customFormat="1" ht="13.5" customHeight="1" thickBot="1">
      <c r="A19" s="1789"/>
      <c r="B19" s="1790" t="s">
        <v>1222</v>
      </c>
      <c r="C19" s="1793"/>
      <c r="D19" s="1793">
        <v>88000</v>
      </c>
      <c r="E19" s="1793"/>
      <c r="F19" s="1794"/>
      <c r="G19" s="1795"/>
      <c r="H19" s="1805">
        <v>89000</v>
      </c>
      <c r="I19" s="1793"/>
      <c r="J19" s="1794"/>
    </row>
    <row r="20" spans="1:10" ht="22.5" customHeight="1" thickTop="1">
      <c r="A20" s="1798">
        <v>5</v>
      </c>
      <c r="B20" s="1804" t="s">
        <v>1226</v>
      </c>
      <c r="C20" s="1800">
        <v>82000</v>
      </c>
      <c r="D20" s="1801">
        <f>SUM(D21:D22)</f>
        <v>1676900</v>
      </c>
      <c r="E20" s="1800">
        <v>1758900</v>
      </c>
      <c r="F20" s="1802">
        <f>C20+D20-E20</f>
        <v>0</v>
      </c>
      <c r="G20" s="1803">
        <v>83000</v>
      </c>
      <c r="H20" s="1801">
        <f>SUM(H21:H22)</f>
        <v>1457000</v>
      </c>
      <c r="I20" s="1800">
        <v>1540000</v>
      </c>
      <c r="J20" s="1802">
        <f>F20+G20+H20-I20</f>
        <v>0</v>
      </c>
    </row>
    <row r="21" spans="1:10" s="1796" customFormat="1" ht="13.5" customHeight="1">
      <c r="A21" s="1789"/>
      <c r="B21" s="1790" t="s">
        <v>1221</v>
      </c>
      <c r="C21" s="1793"/>
      <c r="D21" s="1793">
        <v>1405900</v>
      </c>
      <c r="E21" s="1793"/>
      <c r="F21" s="1794"/>
      <c r="G21" s="1795"/>
      <c r="H21" s="1793">
        <v>1427000</v>
      </c>
      <c r="I21" s="1793"/>
      <c r="J21" s="1794"/>
    </row>
    <row r="22" spans="1:10" s="1797" customFormat="1" ht="18" customHeight="1" thickBot="1">
      <c r="A22" s="1806"/>
      <c r="B22" s="1807" t="s">
        <v>1222</v>
      </c>
      <c r="C22" s="1808"/>
      <c r="D22" s="1808">
        <v>271000</v>
      </c>
      <c r="E22" s="1808"/>
      <c r="F22" s="1794"/>
      <c r="G22" s="1809"/>
      <c r="H22" s="1810">
        <v>30000</v>
      </c>
      <c r="I22" s="1808"/>
      <c r="J22" s="1811"/>
    </row>
    <row r="23" spans="1:10" ht="30.75" customHeight="1" thickBot="1" thickTop="1">
      <c r="A23" s="1812"/>
      <c r="B23" s="1813" t="s">
        <v>1227</v>
      </c>
      <c r="C23" s="1747">
        <f>SUM(C8:C20)</f>
        <v>3881300</v>
      </c>
      <c r="D23" s="1747">
        <f>D20+D17+D14+D11+D8</f>
        <v>12009590</v>
      </c>
      <c r="E23" s="1747">
        <f>SUM(E8:E20)</f>
        <v>15890890</v>
      </c>
      <c r="F23" s="1814">
        <f>C20+D20-E20</f>
        <v>0</v>
      </c>
      <c r="G23" s="1747">
        <f>SUM(G8:G20)</f>
        <v>3942100</v>
      </c>
      <c r="H23" s="1747">
        <f>H20+H17+H14+H11+H8</f>
        <v>11714000</v>
      </c>
      <c r="I23" s="1747">
        <f>SUM(I8:I20)</f>
        <v>15656100</v>
      </c>
      <c r="J23" s="1815">
        <f>F23+G23+H23-I23</f>
        <v>0</v>
      </c>
    </row>
    <row r="24" ht="13.5" thickTop="1">
      <c r="A24" s="152"/>
    </row>
    <row r="25" spans="1:6" ht="12.75">
      <c r="A25" s="152"/>
      <c r="F25" s="1816"/>
    </row>
  </sheetData>
  <mergeCells count="3">
    <mergeCell ref="B3:I3"/>
    <mergeCell ref="C5:F5"/>
    <mergeCell ref="G5:J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V87"/>
  <sheetViews>
    <sheetView workbookViewId="0" topLeftCell="A1">
      <selection activeCell="F3" sqref="F3"/>
    </sheetView>
  </sheetViews>
  <sheetFormatPr defaultColWidth="9.00390625" defaultRowHeight="12.75"/>
  <cols>
    <col min="1" max="1" width="4.00390625" style="1817" customWidth="1"/>
    <col min="2" max="2" width="34.125" style="1818" customWidth="1"/>
    <col min="3" max="3" width="9.375" style="1819" customWidth="1"/>
    <col min="4" max="10" width="9.75390625" style="1819" customWidth="1"/>
    <col min="11" max="12" width="9.75390625" style="1817" customWidth="1"/>
    <col min="13" max="13" width="0.12890625" style="1819" hidden="1" customWidth="1"/>
    <col min="14" max="14" width="6.75390625" style="1819" customWidth="1"/>
    <col min="15" max="15" width="7.375" style="1819" hidden="1" customWidth="1"/>
    <col min="16" max="16" width="7.25390625" style="1819" customWidth="1"/>
    <col min="17" max="16384" width="10.00390625" style="1819" customWidth="1"/>
  </cols>
  <sheetData>
    <row r="1" ht="13.5" customHeight="1">
      <c r="J1" s="1820" t="s">
        <v>1228</v>
      </c>
    </row>
    <row r="2" spans="1:12" s="1825" customFormat="1" ht="19.5" customHeight="1">
      <c r="A2" s="1821"/>
      <c r="B2" s="1822" t="s">
        <v>1229</v>
      </c>
      <c r="C2" s="1823"/>
      <c r="D2" s="1823"/>
      <c r="E2" s="1823"/>
      <c r="F2" s="1823"/>
      <c r="G2" s="1823"/>
      <c r="H2" s="1823"/>
      <c r="I2" s="1823"/>
      <c r="J2" s="1823"/>
      <c r="K2" s="1824"/>
      <c r="L2" s="1824"/>
    </row>
    <row r="3" spans="1:12" s="1825" customFormat="1" ht="13.5" customHeight="1">
      <c r="A3" s="1826"/>
      <c r="B3" s="1827" t="s">
        <v>1230</v>
      </c>
      <c r="C3" s="1823"/>
      <c r="D3" s="1823"/>
      <c r="E3" s="1823"/>
      <c r="F3" s="1823"/>
      <c r="G3" s="1823"/>
      <c r="H3" s="1823"/>
      <c r="I3" s="1823"/>
      <c r="J3" s="1823"/>
      <c r="K3" s="1824"/>
      <c r="L3" s="1824"/>
    </row>
    <row r="4" spans="1:12" s="1820" customFormat="1" ht="11.25" customHeight="1" thickBot="1">
      <c r="A4" s="1828"/>
      <c r="B4" s="1828"/>
      <c r="C4" s="1829"/>
      <c r="D4" s="1829"/>
      <c r="E4" s="1829"/>
      <c r="F4" s="1829"/>
      <c r="G4" s="1829"/>
      <c r="H4" s="1829"/>
      <c r="I4" s="1829"/>
      <c r="J4" s="1830"/>
      <c r="L4" s="1820" t="s">
        <v>1231</v>
      </c>
    </row>
    <row r="5" spans="1:12" s="1838" customFormat="1" ht="24.75" customHeight="1">
      <c r="A5" s="1831" t="s">
        <v>1232</v>
      </c>
      <c r="B5" s="1832" t="s">
        <v>460</v>
      </c>
      <c r="C5" s="1833" t="s">
        <v>1233</v>
      </c>
      <c r="D5" s="1834">
        <v>2005</v>
      </c>
      <c r="E5" s="1835">
        <v>2006</v>
      </c>
      <c r="F5" s="1836">
        <v>2007</v>
      </c>
      <c r="G5" s="1834">
        <v>2008</v>
      </c>
      <c r="H5" s="1834">
        <v>2009</v>
      </c>
      <c r="I5" s="1834">
        <v>2010</v>
      </c>
      <c r="J5" s="1834">
        <v>2011</v>
      </c>
      <c r="K5" s="1835">
        <v>2012</v>
      </c>
      <c r="L5" s="1837">
        <v>2013</v>
      </c>
    </row>
    <row r="6" spans="1:12" s="1844" customFormat="1" ht="10.5" customHeight="1" thickBot="1">
      <c r="A6" s="1839">
        <v>1</v>
      </c>
      <c r="B6" s="1840">
        <v>2</v>
      </c>
      <c r="C6" s="1841">
        <v>3</v>
      </c>
      <c r="D6" s="1841">
        <v>4</v>
      </c>
      <c r="E6" s="1841">
        <v>5</v>
      </c>
      <c r="F6" s="1841">
        <v>6</v>
      </c>
      <c r="G6" s="1841">
        <v>7</v>
      </c>
      <c r="H6" s="1841">
        <v>8</v>
      </c>
      <c r="I6" s="1841">
        <v>9</v>
      </c>
      <c r="J6" s="1841">
        <v>10</v>
      </c>
      <c r="K6" s="1842">
        <v>11</v>
      </c>
      <c r="L6" s="1843">
        <v>12</v>
      </c>
    </row>
    <row r="7" spans="1:12" s="1820" customFormat="1" ht="16.5" customHeight="1">
      <c r="A7" s="1845">
        <v>1</v>
      </c>
      <c r="B7" s="1846" t="s">
        <v>1234</v>
      </c>
      <c r="C7" s="1847"/>
      <c r="D7" s="1847"/>
      <c r="E7" s="1847"/>
      <c r="F7" s="1847"/>
      <c r="G7" s="1847"/>
      <c r="H7" s="1847"/>
      <c r="I7" s="1848"/>
      <c r="J7" s="1848"/>
      <c r="K7" s="1849"/>
      <c r="L7" s="1850"/>
    </row>
    <row r="8" spans="1:12" s="1858" customFormat="1" ht="21" customHeight="1">
      <c r="A8" s="1851" t="s">
        <v>1323</v>
      </c>
      <c r="B8" s="1852" t="s">
        <v>1235</v>
      </c>
      <c r="C8" s="1853">
        <v>1767.7</v>
      </c>
      <c r="D8" s="1853">
        <v>200</v>
      </c>
      <c r="E8" s="1853">
        <v>200</v>
      </c>
      <c r="F8" s="1853">
        <v>200</v>
      </c>
      <c r="G8" s="1854">
        <v>200</v>
      </c>
      <c r="H8" s="1855">
        <v>200</v>
      </c>
      <c r="I8" s="1855">
        <v>200</v>
      </c>
      <c r="J8" s="1855">
        <v>200</v>
      </c>
      <c r="K8" s="1856">
        <v>367.7</v>
      </c>
      <c r="L8" s="1857"/>
    </row>
    <row r="9" spans="1:12" s="1866" customFormat="1" ht="10.5" customHeight="1">
      <c r="A9" s="1859"/>
      <c r="B9" s="1860" t="s">
        <v>1236</v>
      </c>
      <c r="C9" s="1861"/>
      <c r="D9" s="1862">
        <v>41.4</v>
      </c>
      <c r="E9" s="1862">
        <v>37.9</v>
      </c>
      <c r="F9" s="1862">
        <v>33.2</v>
      </c>
      <c r="G9" s="1862">
        <v>28.5</v>
      </c>
      <c r="H9" s="1863">
        <v>23.8</v>
      </c>
      <c r="I9" s="1863">
        <v>19.2</v>
      </c>
      <c r="J9" s="1863">
        <v>14.5</v>
      </c>
      <c r="K9" s="1864">
        <v>9.8</v>
      </c>
      <c r="L9" s="1865"/>
    </row>
    <row r="10" spans="1:12" s="1858" customFormat="1" ht="21" customHeight="1">
      <c r="A10" s="1851" t="s">
        <v>1389</v>
      </c>
      <c r="B10" s="1852" t="s">
        <v>1237</v>
      </c>
      <c r="C10" s="1853">
        <v>1100</v>
      </c>
      <c r="D10" s="1853">
        <v>700</v>
      </c>
      <c r="E10" s="1853">
        <v>400</v>
      </c>
      <c r="F10" s="1853"/>
      <c r="H10" s="1853"/>
      <c r="I10" s="1867"/>
      <c r="J10" s="1867"/>
      <c r="K10" s="1868"/>
      <c r="L10" s="1869"/>
    </row>
    <row r="11" spans="1:12" s="1866" customFormat="1" ht="12" customHeight="1">
      <c r="A11" s="1870"/>
      <c r="B11" s="1871" t="s">
        <v>1236</v>
      </c>
      <c r="C11" s="1872"/>
      <c r="D11" s="1872">
        <v>25.8</v>
      </c>
      <c r="E11" s="1872">
        <v>8.8</v>
      </c>
      <c r="F11" s="1872"/>
      <c r="G11" s="1872"/>
      <c r="H11" s="1872"/>
      <c r="I11" s="1873"/>
      <c r="J11" s="1873"/>
      <c r="K11" s="1874"/>
      <c r="L11" s="1875"/>
    </row>
    <row r="12" spans="1:12" s="1882" customFormat="1" ht="15.75" customHeight="1">
      <c r="A12" s="1876">
        <v>2</v>
      </c>
      <c r="B12" s="1877" t="s">
        <v>1238</v>
      </c>
      <c r="C12" s="1878"/>
      <c r="D12" s="1878"/>
      <c r="E12" s="1878"/>
      <c r="F12" s="1878"/>
      <c r="G12" s="1878"/>
      <c r="H12" s="1878"/>
      <c r="I12" s="1879"/>
      <c r="J12" s="1879"/>
      <c r="K12" s="1880"/>
      <c r="L12" s="1881"/>
    </row>
    <row r="13" spans="1:230" s="87" customFormat="1" ht="21" customHeight="1">
      <c r="A13" s="1851" t="s">
        <v>1323</v>
      </c>
      <c r="B13" s="1852" t="s">
        <v>1239</v>
      </c>
      <c r="C13" s="1853">
        <v>1600</v>
      </c>
      <c r="D13" s="1853">
        <v>320</v>
      </c>
      <c r="E13" s="1853">
        <v>320</v>
      </c>
      <c r="F13" s="1853">
        <v>320</v>
      </c>
      <c r="G13" s="1853">
        <v>320</v>
      </c>
      <c r="H13" s="1854">
        <v>320</v>
      </c>
      <c r="I13" s="1854"/>
      <c r="J13" s="1854"/>
      <c r="K13" s="1883"/>
      <c r="L13" s="1884"/>
      <c r="M13" s="1858"/>
      <c r="N13" s="1858"/>
      <c r="O13" s="1858"/>
      <c r="P13" s="1858"/>
      <c r="Q13" s="1858"/>
      <c r="R13" s="1858"/>
      <c r="S13" s="1858"/>
      <c r="T13" s="1858"/>
      <c r="U13" s="1858"/>
      <c r="V13" s="1858"/>
      <c r="W13" s="1858"/>
      <c r="X13" s="1858"/>
      <c r="Y13" s="1858"/>
      <c r="Z13" s="1858"/>
      <c r="AA13" s="1858"/>
      <c r="AB13" s="1858"/>
      <c r="AC13" s="1858"/>
      <c r="AD13" s="1858"/>
      <c r="AE13" s="1858"/>
      <c r="AF13" s="1858"/>
      <c r="AG13" s="1858"/>
      <c r="AH13" s="1858"/>
      <c r="AI13" s="1858"/>
      <c r="AJ13" s="1858"/>
      <c r="AK13" s="1858"/>
      <c r="AL13" s="1858"/>
      <c r="AM13" s="1858"/>
      <c r="AN13" s="1858"/>
      <c r="AO13" s="1858"/>
      <c r="AP13" s="1858"/>
      <c r="AQ13" s="1858"/>
      <c r="AR13" s="1858"/>
      <c r="AS13" s="1858"/>
      <c r="AT13" s="1858"/>
      <c r="AU13" s="1858"/>
      <c r="AV13" s="1858"/>
      <c r="AW13" s="1858"/>
      <c r="AX13" s="1858"/>
      <c r="AY13" s="1858"/>
      <c r="AZ13" s="1858"/>
      <c r="BA13" s="1858"/>
      <c r="BB13" s="1858"/>
      <c r="BC13" s="1858"/>
      <c r="BD13" s="1858"/>
      <c r="BE13" s="1858"/>
      <c r="BF13" s="1858"/>
      <c r="BG13" s="1858"/>
      <c r="BH13" s="1858"/>
      <c r="BI13" s="1858"/>
      <c r="BJ13" s="1858"/>
      <c r="BK13" s="1858"/>
      <c r="BL13" s="1858"/>
      <c r="BM13" s="1858"/>
      <c r="BN13" s="1858"/>
      <c r="BO13" s="1858"/>
      <c r="BP13" s="1858"/>
      <c r="BQ13" s="1858"/>
      <c r="BR13" s="1858"/>
      <c r="BS13" s="1858"/>
      <c r="BT13" s="1858"/>
      <c r="BU13" s="1858"/>
      <c r="BV13" s="1858"/>
      <c r="BW13" s="1858"/>
      <c r="BX13" s="1858"/>
      <c r="BY13" s="1858"/>
      <c r="BZ13" s="1858"/>
      <c r="CA13" s="1858"/>
      <c r="CB13" s="1858"/>
      <c r="CC13" s="1858"/>
      <c r="CD13" s="1858"/>
      <c r="CE13" s="1858"/>
      <c r="CF13" s="1858"/>
      <c r="CG13" s="1858"/>
      <c r="CH13" s="1858"/>
      <c r="CI13" s="1858"/>
      <c r="CJ13" s="1858"/>
      <c r="CK13" s="1858"/>
      <c r="CL13" s="1858"/>
      <c r="CM13" s="1858"/>
      <c r="CN13" s="1858"/>
      <c r="CO13" s="1858"/>
      <c r="CP13" s="1858"/>
      <c r="CQ13" s="1858"/>
      <c r="CR13" s="1858"/>
      <c r="CS13" s="1858"/>
      <c r="CT13" s="1858"/>
      <c r="CU13" s="1858"/>
      <c r="CV13" s="1858"/>
      <c r="CW13" s="1858"/>
      <c r="CX13" s="1858"/>
      <c r="CY13" s="1858"/>
      <c r="CZ13" s="1858"/>
      <c r="DA13" s="1858"/>
      <c r="DB13" s="1858"/>
      <c r="DC13" s="1858"/>
      <c r="DD13" s="1858"/>
      <c r="DE13" s="1858"/>
      <c r="DF13" s="1858"/>
      <c r="DG13" s="1858"/>
      <c r="DH13" s="1858"/>
      <c r="DI13" s="1858"/>
      <c r="DJ13" s="1858"/>
      <c r="DK13" s="1858"/>
      <c r="DL13" s="1858"/>
      <c r="DM13" s="1858"/>
      <c r="DN13" s="1858"/>
      <c r="DO13" s="1858"/>
      <c r="DP13" s="1858"/>
      <c r="DQ13" s="1858"/>
      <c r="DR13" s="1858"/>
      <c r="DS13" s="1858"/>
      <c r="DT13" s="1858"/>
      <c r="DU13" s="1858"/>
      <c r="DV13" s="1858"/>
      <c r="DW13" s="1858"/>
      <c r="DX13" s="1858"/>
      <c r="DY13" s="1858"/>
      <c r="DZ13" s="1858"/>
      <c r="EA13" s="1858"/>
      <c r="EB13" s="1858"/>
      <c r="EC13" s="1858"/>
      <c r="ED13" s="1858"/>
      <c r="EE13" s="1858"/>
      <c r="EF13" s="1858"/>
      <c r="EG13" s="1858"/>
      <c r="EH13" s="1858"/>
      <c r="EI13" s="1858"/>
      <c r="EJ13" s="1858"/>
      <c r="EK13" s="1858"/>
      <c r="EL13" s="1858"/>
      <c r="EM13" s="1858"/>
      <c r="EN13" s="1858"/>
      <c r="EO13" s="1858"/>
      <c r="EP13" s="1858"/>
      <c r="EQ13" s="1858"/>
      <c r="ER13" s="1858"/>
      <c r="ES13" s="1858"/>
      <c r="ET13" s="1858"/>
      <c r="EU13" s="1858"/>
      <c r="EV13" s="1858"/>
      <c r="EW13" s="1858"/>
      <c r="EX13" s="1858"/>
      <c r="EY13" s="1858"/>
      <c r="EZ13" s="1858"/>
      <c r="FA13" s="1858"/>
      <c r="FB13" s="1858"/>
      <c r="FC13" s="1858"/>
      <c r="FD13" s="1858"/>
      <c r="FE13" s="1858"/>
      <c r="FF13" s="1858"/>
      <c r="FG13" s="1858"/>
      <c r="FH13" s="1858"/>
      <c r="FI13" s="1858"/>
      <c r="FJ13" s="1858"/>
      <c r="FK13" s="1858"/>
      <c r="FL13" s="1858"/>
      <c r="FM13" s="1858"/>
      <c r="FN13" s="1858"/>
      <c r="FO13" s="1858"/>
      <c r="FP13" s="1858"/>
      <c r="FQ13" s="1858"/>
      <c r="FR13" s="1858"/>
      <c r="FS13" s="1858"/>
      <c r="FT13" s="1858"/>
      <c r="FU13" s="1858"/>
      <c r="FV13" s="1858"/>
      <c r="FW13" s="1858"/>
      <c r="FX13" s="1858"/>
      <c r="FY13" s="1858"/>
      <c r="FZ13" s="1858"/>
      <c r="GA13" s="1858"/>
      <c r="GB13" s="1858"/>
      <c r="GC13" s="1858"/>
      <c r="GD13" s="1858"/>
      <c r="GE13" s="1858"/>
      <c r="GF13" s="1858"/>
      <c r="GG13" s="1858"/>
      <c r="GH13" s="1858"/>
      <c r="GI13" s="1858"/>
      <c r="GJ13" s="1858"/>
      <c r="GK13" s="1858"/>
      <c r="GL13" s="1858"/>
      <c r="GM13" s="1858"/>
      <c r="GN13" s="1858"/>
      <c r="GO13" s="1858"/>
      <c r="GP13" s="1858"/>
      <c r="GQ13" s="1858"/>
      <c r="GR13" s="1858"/>
      <c r="GS13" s="1858"/>
      <c r="GT13" s="1858"/>
      <c r="GU13" s="1858"/>
      <c r="GV13" s="1858"/>
      <c r="GW13" s="1858"/>
      <c r="GX13" s="1858"/>
      <c r="GY13" s="1858"/>
      <c r="GZ13" s="1858"/>
      <c r="HA13" s="1858"/>
      <c r="HB13" s="1858"/>
      <c r="HC13" s="1858"/>
      <c r="HD13" s="1858"/>
      <c r="HE13" s="1858"/>
      <c r="HF13" s="1858"/>
      <c r="HG13" s="1858"/>
      <c r="HH13" s="1858"/>
      <c r="HI13" s="1858"/>
      <c r="HJ13" s="1858"/>
      <c r="HK13" s="1858"/>
      <c r="HL13" s="1858"/>
      <c r="HM13" s="1858"/>
      <c r="HN13" s="1858"/>
      <c r="HO13" s="1858"/>
      <c r="HP13" s="1858"/>
      <c r="HQ13" s="1858"/>
      <c r="HR13" s="1858"/>
      <c r="HS13" s="1858"/>
      <c r="HT13" s="1858"/>
      <c r="HU13" s="1858"/>
      <c r="HV13" s="1858"/>
    </row>
    <row r="14" spans="1:230" s="1887" customFormat="1" ht="11.25" customHeight="1">
      <c r="A14" s="1870"/>
      <c r="B14" s="1871" t="s">
        <v>1236</v>
      </c>
      <c r="C14" s="1872"/>
      <c r="D14" s="1872">
        <v>110.5</v>
      </c>
      <c r="E14" s="1872">
        <v>93.9</v>
      </c>
      <c r="F14" s="1872">
        <v>71.8</v>
      </c>
      <c r="G14" s="1872">
        <v>49.7</v>
      </c>
      <c r="H14" s="1872">
        <v>27.6</v>
      </c>
      <c r="I14" s="1872"/>
      <c r="J14" s="1872"/>
      <c r="K14" s="1885"/>
      <c r="L14" s="1886"/>
      <c r="M14" s="1866"/>
      <c r="N14" s="1866"/>
      <c r="O14" s="1866"/>
      <c r="P14" s="1866"/>
      <c r="Q14" s="1866"/>
      <c r="R14" s="1866"/>
      <c r="S14" s="1866"/>
      <c r="T14" s="1866"/>
      <c r="U14" s="1866"/>
      <c r="V14" s="1866"/>
      <c r="W14" s="1866"/>
      <c r="X14" s="1866"/>
      <c r="Y14" s="1866"/>
      <c r="Z14" s="1866"/>
      <c r="AA14" s="1866"/>
      <c r="AB14" s="1866"/>
      <c r="AC14" s="1866"/>
      <c r="AD14" s="1866"/>
      <c r="AE14" s="1866"/>
      <c r="AF14" s="1866"/>
      <c r="AG14" s="1866"/>
      <c r="AH14" s="1866"/>
      <c r="AI14" s="1866"/>
      <c r="AJ14" s="1866"/>
      <c r="AK14" s="1866"/>
      <c r="AL14" s="1866"/>
      <c r="AM14" s="1866"/>
      <c r="AN14" s="1866"/>
      <c r="AO14" s="1866"/>
      <c r="AP14" s="1866"/>
      <c r="AQ14" s="1866"/>
      <c r="AR14" s="1866"/>
      <c r="AS14" s="1866"/>
      <c r="AT14" s="1866"/>
      <c r="AU14" s="1866"/>
      <c r="AV14" s="1866"/>
      <c r="AW14" s="1866"/>
      <c r="AX14" s="1866"/>
      <c r="AY14" s="1866"/>
      <c r="AZ14" s="1866"/>
      <c r="BA14" s="1866"/>
      <c r="BB14" s="1866"/>
      <c r="BC14" s="1866"/>
      <c r="BD14" s="1866"/>
      <c r="BE14" s="1866"/>
      <c r="BF14" s="1866"/>
      <c r="BG14" s="1866"/>
      <c r="BH14" s="1866"/>
      <c r="BI14" s="1866"/>
      <c r="BJ14" s="1866"/>
      <c r="BK14" s="1866"/>
      <c r="BL14" s="1866"/>
      <c r="BM14" s="1866"/>
      <c r="BN14" s="1866"/>
      <c r="BO14" s="1866"/>
      <c r="BP14" s="1866"/>
      <c r="BQ14" s="1866"/>
      <c r="BR14" s="1866"/>
      <c r="BS14" s="1866"/>
      <c r="BT14" s="1866"/>
      <c r="BU14" s="1866"/>
      <c r="BV14" s="1866"/>
      <c r="BW14" s="1866"/>
      <c r="BX14" s="1866"/>
      <c r="BY14" s="1866"/>
      <c r="BZ14" s="1866"/>
      <c r="CA14" s="1866"/>
      <c r="CB14" s="1866"/>
      <c r="CC14" s="1866"/>
      <c r="CD14" s="1866"/>
      <c r="CE14" s="1866"/>
      <c r="CF14" s="1866"/>
      <c r="CG14" s="1866"/>
      <c r="CH14" s="1866"/>
      <c r="CI14" s="1866"/>
      <c r="CJ14" s="1866"/>
      <c r="CK14" s="1866"/>
      <c r="CL14" s="1866"/>
      <c r="CM14" s="1866"/>
      <c r="CN14" s="1866"/>
      <c r="CO14" s="1866"/>
      <c r="CP14" s="1866"/>
      <c r="CQ14" s="1866"/>
      <c r="CR14" s="1866"/>
      <c r="CS14" s="1866"/>
      <c r="CT14" s="1866"/>
      <c r="CU14" s="1866"/>
      <c r="CV14" s="1866"/>
      <c r="CW14" s="1866"/>
      <c r="CX14" s="1866"/>
      <c r="CY14" s="1866"/>
      <c r="CZ14" s="1866"/>
      <c r="DA14" s="1866"/>
      <c r="DB14" s="1866"/>
      <c r="DC14" s="1866"/>
      <c r="DD14" s="1866"/>
      <c r="DE14" s="1866"/>
      <c r="DF14" s="1866"/>
      <c r="DG14" s="1866"/>
      <c r="DH14" s="1866"/>
      <c r="DI14" s="1866"/>
      <c r="DJ14" s="1866"/>
      <c r="DK14" s="1866"/>
      <c r="DL14" s="1866"/>
      <c r="DM14" s="1866"/>
      <c r="DN14" s="1866"/>
      <c r="DO14" s="1866"/>
      <c r="DP14" s="1866"/>
      <c r="DQ14" s="1866"/>
      <c r="DR14" s="1866"/>
      <c r="DS14" s="1866"/>
      <c r="DT14" s="1866"/>
      <c r="DU14" s="1866"/>
      <c r="DV14" s="1866"/>
      <c r="DW14" s="1866"/>
      <c r="DX14" s="1866"/>
      <c r="DY14" s="1866"/>
      <c r="DZ14" s="1866"/>
      <c r="EA14" s="1866"/>
      <c r="EB14" s="1866"/>
      <c r="EC14" s="1866"/>
      <c r="ED14" s="1866"/>
      <c r="EE14" s="1866"/>
      <c r="EF14" s="1866"/>
      <c r="EG14" s="1866"/>
      <c r="EH14" s="1866"/>
      <c r="EI14" s="1866"/>
      <c r="EJ14" s="1866"/>
      <c r="EK14" s="1866"/>
      <c r="EL14" s="1866"/>
      <c r="EM14" s="1866"/>
      <c r="EN14" s="1866"/>
      <c r="EO14" s="1866"/>
      <c r="EP14" s="1866"/>
      <c r="EQ14" s="1866"/>
      <c r="ER14" s="1866"/>
      <c r="ES14" s="1866"/>
      <c r="ET14" s="1866"/>
      <c r="EU14" s="1866"/>
      <c r="EV14" s="1866"/>
      <c r="EW14" s="1866"/>
      <c r="EX14" s="1866"/>
      <c r="EY14" s="1866"/>
      <c r="EZ14" s="1866"/>
      <c r="FA14" s="1866"/>
      <c r="FB14" s="1866"/>
      <c r="FC14" s="1866"/>
      <c r="FD14" s="1866"/>
      <c r="FE14" s="1866"/>
      <c r="FF14" s="1866"/>
      <c r="FG14" s="1866"/>
      <c r="FH14" s="1866"/>
      <c r="FI14" s="1866"/>
      <c r="FJ14" s="1866"/>
      <c r="FK14" s="1866"/>
      <c r="FL14" s="1866"/>
      <c r="FM14" s="1866"/>
      <c r="FN14" s="1866"/>
      <c r="FO14" s="1866"/>
      <c r="FP14" s="1866"/>
      <c r="FQ14" s="1866"/>
      <c r="FR14" s="1866"/>
      <c r="FS14" s="1866"/>
      <c r="FT14" s="1866"/>
      <c r="FU14" s="1866"/>
      <c r="FV14" s="1866"/>
      <c r="FW14" s="1866"/>
      <c r="FX14" s="1866"/>
      <c r="FY14" s="1866"/>
      <c r="FZ14" s="1866"/>
      <c r="GA14" s="1866"/>
      <c r="GB14" s="1866"/>
      <c r="GC14" s="1866"/>
      <c r="GD14" s="1866"/>
      <c r="GE14" s="1866"/>
      <c r="GF14" s="1866"/>
      <c r="GG14" s="1866"/>
      <c r="GH14" s="1866"/>
      <c r="GI14" s="1866"/>
      <c r="GJ14" s="1866"/>
      <c r="GK14" s="1866"/>
      <c r="GL14" s="1866"/>
      <c r="GM14" s="1866"/>
      <c r="GN14" s="1866"/>
      <c r="GO14" s="1866"/>
      <c r="GP14" s="1866"/>
      <c r="GQ14" s="1866"/>
      <c r="GR14" s="1866"/>
      <c r="GS14" s="1866"/>
      <c r="GT14" s="1866"/>
      <c r="GU14" s="1866"/>
      <c r="GV14" s="1866"/>
      <c r="GW14" s="1866"/>
      <c r="GX14" s="1866"/>
      <c r="GY14" s="1866"/>
      <c r="GZ14" s="1866"/>
      <c r="HA14" s="1866"/>
      <c r="HB14" s="1866"/>
      <c r="HC14" s="1866"/>
      <c r="HD14" s="1866"/>
      <c r="HE14" s="1866"/>
      <c r="HF14" s="1866"/>
      <c r="HG14" s="1866"/>
      <c r="HH14" s="1866"/>
      <c r="HI14" s="1866"/>
      <c r="HJ14" s="1866"/>
      <c r="HK14" s="1866"/>
      <c r="HL14" s="1866"/>
      <c r="HM14" s="1866"/>
      <c r="HN14" s="1866"/>
      <c r="HO14" s="1866"/>
      <c r="HP14" s="1866"/>
      <c r="HQ14" s="1866"/>
      <c r="HR14" s="1866"/>
      <c r="HS14" s="1866"/>
      <c r="HT14" s="1866"/>
      <c r="HU14" s="1866"/>
      <c r="HV14" s="1866"/>
    </row>
    <row r="15" spans="1:230" s="1893" customFormat="1" ht="24.75" customHeight="1">
      <c r="A15" s="1888" t="s">
        <v>1389</v>
      </c>
      <c r="B15" s="1889" t="s">
        <v>1240</v>
      </c>
      <c r="C15" s="1854">
        <v>250</v>
      </c>
      <c r="D15" s="1854">
        <v>100</v>
      </c>
      <c r="E15" s="1854"/>
      <c r="F15" s="1854"/>
      <c r="G15" s="1854"/>
      <c r="H15" s="1854"/>
      <c r="I15" s="1890"/>
      <c r="J15" s="1890"/>
      <c r="K15" s="1891"/>
      <c r="L15" s="1892"/>
      <c r="M15" s="1858"/>
      <c r="N15" s="1858"/>
      <c r="O15" s="1858"/>
      <c r="P15" s="1858"/>
      <c r="Q15" s="1858"/>
      <c r="R15" s="1858"/>
      <c r="S15" s="1858"/>
      <c r="T15" s="1858"/>
      <c r="U15" s="1858"/>
      <c r="V15" s="1858"/>
      <c r="W15" s="1858"/>
      <c r="X15" s="1858"/>
      <c r="Y15" s="1858"/>
      <c r="Z15" s="1858"/>
      <c r="AA15" s="1858"/>
      <c r="AB15" s="1858"/>
      <c r="AC15" s="1858"/>
      <c r="AD15" s="1858"/>
      <c r="AE15" s="1858"/>
      <c r="AF15" s="1858"/>
      <c r="AG15" s="1858"/>
      <c r="AH15" s="1858"/>
      <c r="AI15" s="1858"/>
      <c r="AJ15" s="1858"/>
      <c r="AK15" s="1858"/>
      <c r="AL15" s="1858"/>
      <c r="AM15" s="1858"/>
      <c r="AN15" s="1858"/>
      <c r="AO15" s="1858"/>
      <c r="AP15" s="1858"/>
      <c r="AQ15" s="1858"/>
      <c r="AR15" s="1858"/>
      <c r="AS15" s="1858"/>
      <c r="AT15" s="1858"/>
      <c r="AU15" s="1858"/>
      <c r="AV15" s="1858"/>
      <c r="AW15" s="1858"/>
      <c r="AX15" s="1858"/>
      <c r="AY15" s="1858"/>
      <c r="AZ15" s="1858"/>
      <c r="BA15" s="1858"/>
      <c r="BB15" s="1858"/>
      <c r="BC15" s="1858"/>
      <c r="BD15" s="1858"/>
      <c r="BE15" s="1858"/>
      <c r="BF15" s="1858"/>
      <c r="BG15" s="1858"/>
      <c r="BH15" s="1858"/>
      <c r="BI15" s="1858"/>
      <c r="BJ15" s="1858"/>
      <c r="BK15" s="1858"/>
      <c r="BL15" s="1858"/>
      <c r="BM15" s="1858"/>
      <c r="BN15" s="1858"/>
      <c r="BO15" s="1858"/>
      <c r="BP15" s="1858"/>
      <c r="BQ15" s="1858"/>
      <c r="BR15" s="1858"/>
      <c r="BS15" s="1858"/>
      <c r="BT15" s="1858"/>
      <c r="BU15" s="1858"/>
      <c r="BV15" s="1858"/>
      <c r="BW15" s="1858"/>
      <c r="BX15" s="1858"/>
      <c r="BY15" s="1858"/>
      <c r="BZ15" s="1858"/>
      <c r="CA15" s="1858"/>
      <c r="CB15" s="1858"/>
      <c r="CC15" s="1858"/>
      <c r="CD15" s="1858"/>
      <c r="CE15" s="1858"/>
      <c r="CF15" s="1858"/>
      <c r="CG15" s="1858"/>
      <c r="CH15" s="1858"/>
      <c r="CI15" s="1858"/>
      <c r="CJ15" s="1858"/>
      <c r="CK15" s="1858"/>
      <c r="CL15" s="1858"/>
      <c r="CM15" s="1858"/>
      <c r="CN15" s="1858"/>
      <c r="CO15" s="1858"/>
      <c r="CP15" s="1858"/>
      <c r="CQ15" s="1858"/>
      <c r="CR15" s="1858"/>
      <c r="CS15" s="1858"/>
      <c r="CT15" s="1858"/>
      <c r="CU15" s="1858"/>
      <c r="CV15" s="1858"/>
      <c r="CW15" s="1858"/>
      <c r="CX15" s="1858"/>
      <c r="CY15" s="1858"/>
      <c r="CZ15" s="1858"/>
      <c r="DA15" s="1858"/>
      <c r="DB15" s="1858"/>
      <c r="DC15" s="1858"/>
      <c r="DD15" s="1858"/>
      <c r="DE15" s="1858"/>
      <c r="DF15" s="1858"/>
      <c r="DG15" s="1858"/>
      <c r="DH15" s="1858"/>
      <c r="DI15" s="1858"/>
      <c r="DJ15" s="1858"/>
      <c r="DK15" s="1858"/>
      <c r="DL15" s="1858"/>
      <c r="DM15" s="1858"/>
      <c r="DN15" s="1858"/>
      <c r="DO15" s="1858"/>
      <c r="DP15" s="1858"/>
      <c r="DQ15" s="1858"/>
      <c r="DR15" s="1858"/>
      <c r="DS15" s="1858"/>
      <c r="DT15" s="1858"/>
      <c r="DU15" s="1858"/>
      <c r="DV15" s="1858"/>
      <c r="DW15" s="1858"/>
      <c r="DX15" s="1858"/>
      <c r="DY15" s="1858"/>
      <c r="DZ15" s="1858"/>
      <c r="EA15" s="1858"/>
      <c r="EB15" s="1858"/>
      <c r="EC15" s="1858"/>
      <c r="ED15" s="1858"/>
      <c r="EE15" s="1858"/>
      <c r="EF15" s="1858"/>
      <c r="EG15" s="1858"/>
      <c r="EH15" s="1858"/>
      <c r="EI15" s="1858"/>
      <c r="EJ15" s="1858"/>
      <c r="EK15" s="1858"/>
      <c r="EL15" s="1858"/>
      <c r="EM15" s="1858"/>
      <c r="EN15" s="1858"/>
      <c r="EO15" s="1858"/>
      <c r="EP15" s="1858"/>
      <c r="EQ15" s="1858"/>
      <c r="ER15" s="1858"/>
      <c r="ES15" s="1858"/>
      <c r="ET15" s="1858"/>
      <c r="EU15" s="1858"/>
      <c r="EV15" s="1858"/>
      <c r="EW15" s="1858"/>
      <c r="EX15" s="1858"/>
      <c r="EY15" s="1858"/>
      <c r="EZ15" s="1858"/>
      <c r="FA15" s="1858"/>
      <c r="FB15" s="1858"/>
      <c r="FC15" s="1858"/>
      <c r="FD15" s="1858"/>
      <c r="FE15" s="1858"/>
      <c r="FF15" s="1858"/>
      <c r="FG15" s="1858"/>
      <c r="FH15" s="1858"/>
      <c r="FI15" s="1858"/>
      <c r="FJ15" s="1858"/>
      <c r="FK15" s="1858"/>
      <c r="FL15" s="1858"/>
      <c r="FM15" s="1858"/>
      <c r="FN15" s="1858"/>
      <c r="FO15" s="1858"/>
      <c r="FP15" s="1858"/>
      <c r="FQ15" s="1858"/>
      <c r="FR15" s="1858"/>
      <c r="FS15" s="1858"/>
      <c r="FT15" s="1858"/>
      <c r="FU15" s="1858"/>
      <c r="FV15" s="1858"/>
      <c r="FW15" s="1858"/>
      <c r="FX15" s="1858"/>
      <c r="FY15" s="1858"/>
      <c r="FZ15" s="1858"/>
      <c r="GA15" s="1858"/>
      <c r="GB15" s="1858"/>
      <c r="GC15" s="1858"/>
      <c r="GD15" s="1858"/>
      <c r="GE15" s="1858"/>
      <c r="GF15" s="1858"/>
      <c r="GG15" s="1858"/>
      <c r="GH15" s="1858"/>
      <c r="GI15" s="1858"/>
      <c r="GJ15" s="1858"/>
      <c r="GK15" s="1858"/>
      <c r="GL15" s="1858"/>
      <c r="GM15" s="1858"/>
      <c r="GN15" s="1858"/>
      <c r="GO15" s="1858"/>
      <c r="GP15" s="1858"/>
      <c r="GQ15" s="1858"/>
      <c r="GR15" s="1858"/>
      <c r="GS15" s="1858"/>
      <c r="GT15" s="1858"/>
      <c r="GU15" s="1858"/>
      <c r="GV15" s="1858"/>
      <c r="GW15" s="1858"/>
      <c r="GX15" s="1858"/>
      <c r="GY15" s="1858"/>
      <c r="GZ15" s="1858"/>
      <c r="HA15" s="1858"/>
      <c r="HB15" s="1858"/>
      <c r="HC15" s="1858"/>
      <c r="HD15" s="1858"/>
      <c r="HE15" s="1858"/>
      <c r="HF15" s="1858"/>
      <c r="HG15" s="1858"/>
      <c r="HH15" s="1858"/>
      <c r="HI15" s="1858"/>
      <c r="HJ15" s="1858"/>
      <c r="HK15" s="1858"/>
      <c r="HL15" s="1858"/>
      <c r="HM15" s="1858"/>
      <c r="HN15" s="1858"/>
      <c r="HO15" s="1858"/>
      <c r="HP15" s="1858"/>
      <c r="HQ15" s="1858"/>
      <c r="HR15" s="1858"/>
      <c r="HS15" s="1858"/>
      <c r="HT15" s="1858"/>
      <c r="HU15" s="1858"/>
      <c r="HV15" s="1858"/>
    </row>
    <row r="16" spans="1:230" s="1887" customFormat="1" ht="11.25" customHeight="1">
      <c r="A16" s="1859"/>
      <c r="B16" s="1860" t="s">
        <v>1236</v>
      </c>
      <c r="C16" s="1862"/>
      <c r="D16" s="1862">
        <v>2.4</v>
      </c>
      <c r="E16" s="1862"/>
      <c r="F16" s="1862"/>
      <c r="G16" s="1862"/>
      <c r="H16" s="1862"/>
      <c r="I16" s="1894"/>
      <c r="J16" s="1894"/>
      <c r="K16" s="1895"/>
      <c r="L16" s="1896"/>
      <c r="M16" s="1866"/>
      <c r="N16" s="1866"/>
      <c r="O16" s="1866"/>
      <c r="P16" s="1866"/>
      <c r="Q16" s="1866"/>
      <c r="R16" s="1866"/>
      <c r="S16" s="1866"/>
      <c r="T16" s="1866"/>
      <c r="U16" s="1866"/>
      <c r="V16" s="1866"/>
      <c r="W16" s="1866"/>
      <c r="X16" s="1866"/>
      <c r="Y16" s="1866"/>
      <c r="Z16" s="1866"/>
      <c r="AA16" s="1866"/>
      <c r="AB16" s="1866"/>
      <c r="AC16" s="1866"/>
      <c r="AD16" s="1866"/>
      <c r="AE16" s="1866"/>
      <c r="AF16" s="1866"/>
      <c r="AG16" s="1866"/>
      <c r="AH16" s="1866"/>
      <c r="AI16" s="1866"/>
      <c r="AJ16" s="1866"/>
      <c r="AK16" s="1866"/>
      <c r="AL16" s="1866"/>
      <c r="AM16" s="1866"/>
      <c r="AN16" s="1866"/>
      <c r="AO16" s="1866"/>
      <c r="AP16" s="1866"/>
      <c r="AQ16" s="1866"/>
      <c r="AR16" s="1866"/>
      <c r="AS16" s="1866"/>
      <c r="AT16" s="1866"/>
      <c r="AU16" s="1866"/>
      <c r="AV16" s="1866"/>
      <c r="AW16" s="1866"/>
      <c r="AX16" s="1866"/>
      <c r="AY16" s="1866"/>
      <c r="AZ16" s="1866"/>
      <c r="BA16" s="1866"/>
      <c r="BB16" s="1866"/>
      <c r="BC16" s="1866"/>
      <c r="BD16" s="1866"/>
      <c r="BE16" s="1866"/>
      <c r="BF16" s="1866"/>
      <c r="BG16" s="1866"/>
      <c r="BH16" s="1866"/>
      <c r="BI16" s="1866"/>
      <c r="BJ16" s="1866"/>
      <c r="BK16" s="1866"/>
      <c r="BL16" s="1866"/>
      <c r="BM16" s="1866"/>
      <c r="BN16" s="1866"/>
      <c r="BO16" s="1866"/>
      <c r="BP16" s="1866"/>
      <c r="BQ16" s="1866"/>
      <c r="BR16" s="1866"/>
      <c r="BS16" s="1866"/>
      <c r="BT16" s="1866"/>
      <c r="BU16" s="1866"/>
      <c r="BV16" s="1866"/>
      <c r="BW16" s="1866"/>
      <c r="BX16" s="1866"/>
      <c r="BY16" s="1866"/>
      <c r="BZ16" s="1866"/>
      <c r="CA16" s="1866"/>
      <c r="CB16" s="1866"/>
      <c r="CC16" s="1866"/>
      <c r="CD16" s="1866"/>
      <c r="CE16" s="1866"/>
      <c r="CF16" s="1866"/>
      <c r="CG16" s="1866"/>
      <c r="CH16" s="1866"/>
      <c r="CI16" s="1866"/>
      <c r="CJ16" s="1866"/>
      <c r="CK16" s="1866"/>
      <c r="CL16" s="1866"/>
      <c r="CM16" s="1866"/>
      <c r="CN16" s="1866"/>
      <c r="CO16" s="1866"/>
      <c r="CP16" s="1866"/>
      <c r="CQ16" s="1866"/>
      <c r="CR16" s="1866"/>
      <c r="CS16" s="1866"/>
      <c r="CT16" s="1866"/>
      <c r="CU16" s="1866"/>
      <c r="CV16" s="1866"/>
      <c r="CW16" s="1866"/>
      <c r="CX16" s="1866"/>
      <c r="CY16" s="1866"/>
      <c r="CZ16" s="1866"/>
      <c r="DA16" s="1866"/>
      <c r="DB16" s="1866"/>
      <c r="DC16" s="1866"/>
      <c r="DD16" s="1866"/>
      <c r="DE16" s="1866"/>
      <c r="DF16" s="1866"/>
      <c r="DG16" s="1866"/>
      <c r="DH16" s="1866"/>
      <c r="DI16" s="1866"/>
      <c r="DJ16" s="1866"/>
      <c r="DK16" s="1866"/>
      <c r="DL16" s="1866"/>
      <c r="DM16" s="1866"/>
      <c r="DN16" s="1866"/>
      <c r="DO16" s="1866"/>
      <c r="DP16" s="1866"/>
      <c r="DQ16" s="1866"/>
      <c r="DR16" s="1866"/>
      <c r="DS16" s="1866"/>
      <c r="DT16" s="1866"/>
      <c r="DU16" s="1866"/>
      <c r="DV16" s="1866"/>
      <c r="DW16" s="1866"/>
      <c r="DX16" s="1866"/>
      <c r="DY16" s="1866"/>
      <c r="DZ16" s="1866"/>
      <c r="EA16" s="1866"/>
      <c r="EB16" s="1866"/>
      <c r="EC16" s="1866"/>
      <c r="ED16" s="1866"/>
      <c r="EE16" s="1866"/>
      <c r="EF16" s="1866"/>
      <c r="EG16" s="1866"/>
      <c r="EH16" s="1866"/>
      <c r="EI16" s="1866"/>
      <c r="EJ16" s="1866"/>
      <c r="EK16" s="1866"/>
      <c r="EL16" s="1866"/>
      <c r="EM16" s="1866"/>
      <c r="EN16" s="1866"/>
      <c r="EO16" s="1866"/>
      <c r="EP16" s="1866"/>
      <c r="EQ16" s="1866"/>
      <c r="ER16" s="1866"/>
      <c r="ES16" s="1866"/>
      <c r="ET16" s="1866"/>
      <c r="EU16" s="1866"/>
      <c r="EV16" s="1866"/>
      <c r="EW16" s="1866"/>
      <c r="EX16" s="1866"/>
      <c r="EY16" s="1866"/>
      <c r="EZ16" s="1866"/>
      <c r="FA16" s="1866"/>
      <c r="FB16" s="1866"/>
      <c r="FC16" s="1866"/>
      <c r="FD16" s="1866"/>
      <c r="FE16" s="1866"/>
      <c r="FF16" s="1866"/>
      <c r="FG16" s="1866"/>
      <c r="FH16" s="1866"/>
      <c r="FI16" s="1866"/>
      <c r="FJ16" s="1866"/>
      <c r="FK16" s="1866"/>
      <c r="FL16" s="1866"/>
      <c r="FM16" s="1866"/>
      <c r="FN16" s="1866"/>
      <c r="FO16" s="1866"/>
      <c r="FP16" s="1866"/>
      <c r="FQ16" s="1866"/>
      <c r="FR16" s="1866"/>
      <c r="FS16" s="1866"/>
      <c r="FT16" s="1866"/>
      <c r="FU16" s="1866"/>
      <c r="FV16" s="1866"/>
      <c r="FW16" s="1866"/>
      <c r="FX16" s="1866"/>
      <c r="FY16" s="1866"/>
      <c r="FZ16" s="1866"/>
      <c r="GA16" s="1866"/>
      <c r="GB16" s="1866"/>
      <c r="GC16" s="1866"/>
      <c r="GD16" s="1866"/>
      <c r="GE16" s="1866"/>
      <c r="GF16" s="1866"/>
      <c r="GG16" s="1866"/>
      <c r="GH16" s="1866"/>
      <c r="GI16" s="1866"/>
      <c r="GJ16" s="1866"/>
      <c r="GK16" s="1866"/>
      <c r="GL16" s="1866"/>
      <c r="GM16" s="1866"/>
      <c r="GN16" s="1866"/>
      <c r="GO16" s="1866"/>
      <c r="GP16" s="1866"/>
      <c r="GQ16" s="1866"/>
      <c r="GR16" s="1866"/>
      <c r="GS16" s="1866"/>
      <c r="GT16" s="1866"/>
      <c r="GU16" s="1866"/>
      <c r="GV16" s="1866"/>
      <c r="GW16" s="1866"/>
      <c r="GX16" s="1866"/>
      <c r="GY16" s="1866"/>
      <c r="GZ16" s="1866"/>
      <c r="HA16" s="1866"/>
      <c r="HB16" s="1866"/>
      <c r="HC16" s="1866"/>
      <c r="HD16" s="1866"/>
      <c r="HE16" s="1866"/>
      <c r="HF16" s="1866"/>
      <c r="HG16" s="1866"/>
      <c r="HH16" s="1866"/>
      <c r="HI16" s="1866"/>
      <c r="HJ16" s="1866"/>
      <c r="HK16" s="1866"/>
      <c r="HL16" s="1866"/>
      <c r="HM16" s="1866"/>
      <c r="HN16" s="1866"/>
      <c r="HO16" s="1866"/>
      <c r="HP16" s="1866"/>
      <c r="HQ16" s="1866"/>
      <c r="HR16" s="1866"/>
      <c r="HS16" s="1866"/>
      <c r="HT16" s="1866"/>
      <c r="HU16" s="1866"/>
      <c r="HV16" s="1866"/>
    </row>
    <row r="17" spans="1:230" s="1893" customFormat="1" ht="36" customHeight="1">
      <c r="A17" s="1888" t="s">
        <v>1395</v>
      </c>
      <c r="B17" s="1889" t="s">
        <v>1241</v>
      </c>
      <c r="C17" s="1854">
        <v>520</v>
      </c>
      <c r="D17" s="1854">
        <v>280</v>
      </c>
      <c r="E17" s="1854">
        <v>240</v>
      </c>
      <c r="F17" s="1854"/>
      <c r="G17" s="1854"/>
      <c r="H17" s="1854"/>
      <c r="I17" s="1890"/>
      <c r="J17" s="1890"/>
      <c r="K17" s="1891"/>
      <c r="L17" s="1892"/>
      <c r="M17" s="1858"/>
      <c r="N17" s="1858"/>
      <c r="O17" s="1858"/>
      <c r="P17" s="1858"/>
      <c r="Q17" s="1858"/>
      <c r="R17" s="1858"/>
      <c r="S17" s="1858"/>
      <c r="T17" s="1858"/>
      <c r="U17" s="1858"/>
      <c r="V17" s="1858"/>
      <c r="W17" s="1858"/>
      <c r="X17" s="1858"/>
      <c r="Y17" s="1858"/>
      <c r="Z17" s="1858"/>
      <c r="AA17" s="1858"/>
      <c r="AB17" s="1858"/>
      <c r="AC17" s="1858"/>
      <c r="AD17" s="1858"/>
      <c r="AE17" s="1858"/>
      <c r="AF17" s="1858"/>
      <c r="AG17" s="1858"/>
      <c r="AH17" s="1858"/>
      <c r="AI17" s="1858"/>
      <c r="AJ17" s="1858"/>
      <c r="AK17" s="1858"/>
      <c r="AL17" s="1858"/>
      <c r="AM17" s="1858"/>
      <c r="AN17" s="1858"/>
      <c r="AO17" s="1858"/>
      <c r="AP17" s="1858"/>
      <c r="AQ17" s="1858"/>
      <c r="AR17" s="1858"/>
      <c r="AS17" s="1858"/>
      <c r="AT17" s="1858"/>
      <c r="AU17" s="1858"/>
      <c r="AV17" s="1858"/>
      <c r="AW17" s="1858"/>
      <c r="AX17" s="1858"/>
      <c r="AY17" s="1858"/>
      <c r="AZ17" s="1858"/>
      <c r="BA17" s="1858"/>
      <c r="BB17" s="1858"/>
      <c r="BC17" s="1858"/>
      <c r="BD17" s="1858"/>
      <c r="BE17" s="1858"/>
      <c r="BF17" s="1858"/>
      <c r="BG17" s="1858"/>
      <c r="BH17" s="1858"/>
      <c r="BI17" s="1858"/>
      <c r="BJ17" s="1858"/>
      <c r="BK17" s="1858"/>
      <c r="BL17" s="1858"/>
      <c r="BM17" s="1858"/>
      <c r="BN17" s="1858"/>
      <c r="BO17" s="1858"/>
      <c r="BP17" s="1858"/>
      <c r="BQ17" s="1858"/>
      <c r="BR17" s="1858"/>
      <c r="BS17" s="1858"/>
      <c r="BT17" s="1858"/>
      <c r="BU17" s="1858"/>
      <c r="BV17" s="1858"/>
      <c r="BW17" s="1858"/>
      <c r="BX17" s="1858"/>
      <c r="BY17" s="1858"/>
      <c r="BZ17" s="1858"/>
      <c r="CA17" s="1858"/>
      <c r="CB17" s="1858"/>
      <c r="CC17" s="1858"/>
      <c r="CD17" s="1858"/>
      <c r="CE17" s="1858"/>
      <c r="CF17" s="1858"/>
      <c r="CG17" s="1858"/>
      <c r="CH17" s="1858"/>
      <c r="CI17" s="1858"/>
      <c r="CJ17" s="1858"/>
      <c r="CK17" s="1858"/>
      <c r="CL17" s="1858"/>
      <c r="CM17" s="1858"/>
      <c r="CN17" s="1858"/>
      <c r="CO17" s="1858"/>
      <c r="CP17" s="1858"/>
      <c r="CQ17" s="1858"/>
      <c r="CR17" s="1858"/>
      <c r="CS17" s="1858"/>
      <c r="CT17" s="1858"/>
      <c r="CU17" s="1858"/>
      <c r="CV17" s="1858"/>
      <c r="CW17" s="1858"/>
      <c r="CX17" s="1858"/>
      <c r="CY17" s="1858"/>
      <c r="CZ17" s="1858"/>
      <c r="DA17" s="1858"/>
      <c r="DB17" s="1858"/>
      <c r="DC17" s="1858"/>
      <c r="DD17" s="1858"/>
      <c r="DE17" s="1858"/>
      <c r="DF17" s="1858"/>
      <c r="DG17" s="1858"/>
      <c r="DH17" s="1858"/>
      <c r="DI17" s="1858"/>
      <c r="DJ17" s="1858"/>
      <c r="DK17" s="1858"/>
      <c r="DL17" s="1858"/>
      <c r="DM17" s="1858"/>
      <c r="DN17" s="1858"/>
      <c r="DO17" s="1858"/>
      <c r="DP17" s="1858"/>
      <c r="DQ17" s="1858"/>
      <c r="DR17" s="1858"/>
      <c r="DS17" s="1858"/>
      <c r="DT17" s="1858"/>
      <c r="DU17" s="1858"/>
      <c r="DV17" s="1858"/>
      <c r="DW17" s="1858"/>
      <c r="DX17" s="1858"/>
      <c r="DY17" s="1858"/>
      <c r="DZ17" s="1858"/>
      <c r="EA17" s="1858"/>
      <c r="EB17" s="1858"/>
      <c r="EC17" s="1858"/>
      <c r="ED17" s="1858"/>
      <c r="EE17" s="1858"/>
      <c r="EF17" s="1858"/>
      <c r="EG17" s="1858"/>
      <c r="EH17" s="1858"/>
      <c r="EI17" s="1858"/>
      <c r="EJ17" s="1858"/>
      <c r="EK17" s="1858"/>
      <c r="EL17" s="1858"/>
      <c r="EM17" s="1858"/>
      <c r="EN17" s="1858"/>
      <c r="EO17" s="1858"/>
      <c r="EP17" s="1858"/>
      <c r="EQ17" s="1858"/>
      <c r="ER17" s="1858"/>
      <c r="ES17" s="1858"/>
      <c r="ET17" s="1858"/>
      <c r="EU17" s="1858"/>
      <c r="EV17" s="1858"/>
      <c r="EW17" s="1858"/>
      <c r="EX17" s="1858"/>
      <c r="EY17" s="1858"/>
      <c r="EZ17" s="1858"/>
      <c r="FA17" s="1858"/>
      <c r="FB17" s="1858"/>
      <c r="FC17" s="1858"/>
      <c r="FD17" s="1858"/>
      <c r="FE17" s="1858"/>
      <c r="FF17" s="1858"/>
      <c r="FG17" s="1858"/>
      <c r="FH17" s="1858"/>
      <c r="FI17" s="1858"/>
      <c r="FJ17" s="1858"/>
      <c r="FK17" s="1858"/>
      <c r="FL17" s="1858"/>
      <c r="FM17" s="1858"/>
      <c r="FN17" s="1858"/>
      <c r="FO17" s="1858"/>
      <c r="FP17" s="1858"/>
      <c r="FQ17" s="1858"/>
      <c r="FR17" s="1858"/>
      <c r="FS17" s="1858"/>
      <c r="FT17" s="1858"/>
      <c r="FU17" s="1858"/>
      <c r="FV17" s="1858"/>
      <c r="FW17" s="1858"/>
      <c r="FX17" s="1858"/>
      <c r="FY17" s="1858"/>
      <c r="FZ17" s="1858"/>
      <c r="GA17" s="1858"/>
      <c r="GB17" s="1858"/>
      <c r="GC17" s="1858"/>
      <c r="GD17" s="1858"/>
      <c r="GE17" s="1858"/>
      <c r="GF17" s="1858"/>
      <c r="GG17" s="1858"/>
      <c r="GH17" s="1858"/>
      <c r="GI17" s="1858"/>
      <c r="GJ17" s="1858"/>
      <c r="GK17" s="1858"/>
      <c r="GL17" s="1858"/>
      <c r="GM17" s="1858"/>
      <c r="GN17" s="1858"/>
      <c r="GO17" s="1858"/>
      <c r="GP17" s="1858"/>
      <c r="GQ17" s="1858"/>
      <c r="GR17" s="1858"/>
      <c r="GS17" s="1858"/>
      <c r="GT17" s="1858"/>
      <c r="GU17" s="1858"/>
      <c r="GV17" s="1858"/>
      <c r="GW17" s="1858"/>
      <c r="GX17" s="1858"/>
      <c r="GY17" s="1858"/>
      <c r="GZ17" s="1858"/>
      <c r="HA17" s="1858"/>
      <c r="HB17" s="1858"/>
      <c r="HC17" s="1858"/>
      <c r="HD17" s="1858"/>
      <c r="HE17" s="1858"/>
      <c r="HF17" s="1858"/>
      <c r="HG17" s="1858"/>
      <c r="HH17" s="1858"/>
      <c r="HI17" s="1858"/>
      <c r="HJ17" s="1858"/>
      <c r="HK17" s="1858"/>
      <c r="HL17" s="1858"/>
      <c r="HM17" s="1858"/>
      <c r="HN17" s="1858"/>
      <c r="HO17" s="1858"/>
      <c r="HP17" s="1858"/>
      <c r="HQ17" s="1858"/>
      <c r="HR17" s="1858"/>
      <c r="HS17" s="1858"/>
      <c r="HT17" s="1858"/>
      <c r="HU17" s="1858"/>
      <c r="HV17" s="1858"/>
    </row>
    <row r="18" spans="1:230" s="1887" customFormat="1" ht="11.25" customHeight="1">
      <c r="A18" s="1859"/>
      <c r="B18" s="1860" t="s">
        <v>1236</v>
      </c>
      <c r="C18" s="1862"/>
      <c r="D18" s="1862">
        <v>6.6</v>
      </c>
      <c r="E18" s="1862">
        <v>2.9</v>
      </c>
      <c r="F18" s="1862"/>
      <c r="G18" s="1862"/>
      <c r="H18" s="1862"/>
      <c r="I18" s="1894"/>
      <c r="J18" s="1894"/>
      <c r="K18" s="1895"/>
      <c r="L18" s="1896"/>
      <c r="M18" s="1866"/>
      <c r="N18" s="1866"/>
      <c r="O18" s="1866"/>
      <c r="P18" s="1866"/>
      <c r="Q18" s="1866"/>
      <c r="R18" s="1866"/>
      <c r="S18" s="1866"/>
      <c r="T18" s="1866"/>
      <c r="U18" s="1866"/>
      <c r="V18" s="1866"/>
      <c r="W18" s="1866"/>
      <c r="X18" s="1866"/>
      <c r="Y18" s="1866"/>
      <c r="Z18" s="1866"/>
      <c r="AA18" s="1866"/>
      <c r="AB18" s="1866"/>
      <c r="AC18" s="1866"/>
      <c r="AD18" s="1866"/>
      <c r="AE18" s="1866"/>
      <c r="AF18" s="1866"/>
      <c r="AG18" s="1866"/>
      <c r="AH18" s="1866"/>
      <c r="AI18" s="1866"/>
      <c r="AJ18" s="1866"/>
      <c r="AK18" s="1866"/>
      <c r="AL18" s="1866"/>
      <c r="AM18" s="1866"/>
      <c r="AN18" s="1866"/>
      <c r="AO18" s="1866"/>
      <c r="AP18" s="1866"/>
      <c r="AQ18" s="1866"/>
      <c r="AR18" s="1866"/>
      <c r="AS18" s="1866"/>
      <c r="AT18" s="1866"/>
      <c r="AU18" s="1866"/>
      <c r="AV18" s="1866"/>
      <c r="AW18" s="1866"/>
      <c r="AX18" s="1866"/>
      <c r="AY18" s="1866"/>
      <c r="AZ18" s="1866"/>
      <c r="BA18" s="1866"/>
      <c r="BB18" s="1866"/>
      <c r="BC18" s="1866"/>
      <c r="BD18" s="1866"/>
      <c r="BE18" s="1866"/>
      <c r="BF18" s="1866"/>
      <c r="BG18" s="1866"/>
      <c r="BH18" s="1866"/>
      <c r="BI18" s="1866"/>
      <c r="BJ18" s="1866"/>
      <c r="BK18" s="1866"/>
      <c r="BL18" s="1866"/>
      <c r="BM18" s="1866"/>
      <c r="BN18" s="1866"/>
      <c r="BO18" s="1866"/>
      <c r="BP18" s="1866"/>
      <c r="BQ18" s="1866"/>
      <c r="BR18" s="1866"/>
      <c r="BS18" s="1866"/>
      <c r="BT18" s="1866"/>
      <c r="BU18" s="1866"/>
      <c r="BV18" s="1866"/>
      <c r="BW18" s="1866"/>
      <c r="BX18" s="1866"/>
      <c r="BY18" s="1866"/>
      <c r="BZ18" s="1866"/>
      <c r="CA18" s="1866"/>
      <c r="CB18" s="1866"/>
      <c r="CC18" s="1866"/>
      <c r="CD18" s="1866"/>
      <c r="CE18" s="1866"/>
      <c r="CF18" s="1866"/>
      <c r="CG18" s="1866"/>
      <c r="CH18" s="1866"/>
      <c r="CI18" s="1866"/>
      <c r="CJ18" s="1866"/>
      <c r="CK18" s="1866"/>
      <c r="CL18" s="1866"/>
      <c r="CM18" s="1866"/>
      <c r="CN18" s="1866"/>
      <c r="CO18" s="1866"/>
      <c r="CP18" s="1866"/>
      <c r="CQ18" s="1866"/>
      <c r="CR18" s="1866"/>
      <c r="CS18" s="1866"/>
      <c r="CT18" s="1866"/>
      <c r="CU18" s="1866"/>
      <c r="CV18" s="1866"/>
      <c r="CW18" s="1866"/>
      <c r="CX18" s="1866"/>
      <c r="CY18" s="1866"/>
      <c r="CZ18" s="1866"/>
      <c r="DA18" s="1866"/>
      <c r="DB18" s="1866"/>
      <c r="DC18" s="1866"/>
      <c r="DD18" s="1866"/>
      <c r="DE18" s="1866"/>
      <c r="DF18" s="1866"/>
      <c r="DG18" s="1866"/>
      <c r="DH18" s="1866"/>
      <c r="DI18" s="1866"/>
      <c r="DJ18" s="1866"/>
      <c r="DK18" s="1866"/>
      <c r="DL18" s="1866"/>
      <c r="DM18" s="1866"/>
      <c r="DN18" s="1866"/>
      <c r="DO18" s="1866"/>
      <c r="DP18" s="1866"/>
      <c r="DQ18" s="1866"/>
      <c r="DR18" s="1866"/>
      <c r="DS18" s="1866"/>
      <c r="DT18" s="1866"/>
      <c r="DU18" s="1866"/>
      <c r="DV18" s="1866"/>
      <c r="DW18" s="1866"/>
      <c r="DX18" s="1866"/>
      <c r="DY18" s="1866"/>
      <c r="DZ18" s="1866"/>
      <c r="EA18" s="1866"/>
      <c r="EB18" s="1866"/>
      <c r="EC18" s="1866"/>
      <c r="ED18" s="1866"/>
      <c r="EE18" s="1866"/>
      <c r="EF18" s="1866"/>
      <c r="EG18" s="1866"/>
      <c r="EH18" s="1866"/>
      <c r="EI18" s="1866"/>
      <c r="EJ18" s="1866"/>
      <c r="EK18" s="1866"/>
      <c r="EL18" s="1866"/>
      <c r="EM18" s="1866"/>
      <c r="EN18" s="1866"/>
      <c r="EO18" s="1866"/>
      <c r="EP18" s="1866"/>
      <c r="EQ18" s="1866"/>
      <c r="ER18" s="1866"/>
      <c r="ES18" s="1866"/>
      <c r="ET18" s="1866"/>
      <c r="EU18" s="1866"/>
      <c r="EV18" s="1866"/>
      <c r="EW18" s="1866"/>
      <c r="EX18" s="1866"/>
      <c r="EY18" s="1866"/>
      <c r="EZ18" s="1866"/>
      <c r="FA18" s="1866"/>
      <c r="FB18" s="1866"/>
      <c r="FC18" s="1866"/>
      <c r="FD18" s="1866"/>
      <c r="FE18" s="1866"/>
      <c r="FF18" s="1866"/>
      <c r="FG18" s="1866"/>
      <c r="FH18" s="1866"/>
      <c r="FI18" s="1866"/>
      <c r="FJ18" s="1866"/>
      <c r="FK18" s="1866"/>
      <c r="FL18" s="1866"/>
      <c r="FM18" s="1866"/>
      <c r="FN18" s="1866"/>
      <c r="FO18" s="1866"/>
      <c r="FP18" s="1866"/>
      <c r="FQ18" s="1866"/>
      <c r="FR18" s="1866"/>
      <c r="FS18" s="1866"/>
      <c r="FT18" s="1866"/>
      <c r="FU18" s="1866"/>
      <c r="FV18" s="1866"/>
      <c r="FW18" s="1866"/>
      <c r="FX18" s="1866"/>
      <c r="FY18" s="1866"/>
      <c r="FZ18" s="1866"/>
      <c r="GA18" s="1866"/>
      <c r="GB18" s="1866"/>
      <c r="GC18" s="1866"/>
      <c r="GD18" s="1866"/>
      <c r="GE18" s="1866"/>
      <c r="GF18" s="1866"/>
      <c r="GG18" s="1866"/>
      <c r="GH18" s="1866"/>
      <c r="GI18" s="1866"/>
      <c r="GJ18" s="1866"/>
      <c r="GK18" s="1866"/>
      <c r="GL18" s="1866"/>
      <c r="GM18" s="1866"/>
      <c r="GN18" s="1866"/>
      <c r="GO18" s="1866"/>
      <c r="GP18" s="1866"/>
      <c r="GQ18" s="1866"/>
      <c r="GR18" s="1866"/>
      <c r="GS18" s="1866"/>
      <c r="GT18" s="1866"/>
      <c r="GU18" s="1866"/>
      <c r="GV18" s="1866"/>
      <c r="GW18" s="1866"/>
      <c r="GX18" s="1866"/>
      <c r="GY18" s="1866"/>
      <c r="GZ18" s="1866"/>
      <c r="HA18" s="1866"/>
      <c r="HB18" s="1866"/>
      <c r="HC18" s="1866"/>
      <c r="HD18" s="1866"/>
      <c r="HE18" s="1866"/>
      <c r="HF18" s="1866"/>
      <c r="HG18" s="1866"/>
      <c r="HH18" s="1866"/>
      <c r="HI18" s="1866"/>
      <c r="HJ18" s="1866"/>
      <c r="HK18" s="1866"/>
      <c r="HL18" s="1866"/>
      <c r="HM18" s="1866"/>
      <c r="HN18" s="1866"/>
      <c r="HO18" s="1866"/>
      <c r="HP18" s="1866"/>
      <c r="HQ18" s="1866"/>
      <c r="HR18" s="1866"/>
      <c r="HS18" s="1866"/>
      <c r="HT18" s="1866"/>
      <c r="HU18" s="1866"/>
      <c r="HV18" s="1866"/>
    </row>
    <row r="19" spans="1:230" s="1902" customFormat="1" ht="24" customHeight="1">
      <c r="A19" s="1851" t="s">
        <v>1407</v>
      </c>
      <c r="B19" s="1852" t="s">
        <v>1242</v>
      </c>
      <c r="C19" s="1853">
        <v>933.4</v>
      </c>
      <c r="D19" s="1853">
        <v>233.2</v>
      </c>
      <c r="E19" s="1853">
        <v>233.2</v>
      </c>
      <c r="F19" s="1853">
        <v>233.2</v>
      </c>
      <c r="G19" s="1853">
        <v>233.8</v>
      </c>
      <c r="H19" s="1897"/>
      <c r="I19" s="1898"/>
      <c r="J19" s="1898"/>
      <c r="K19" s="1899"/>
      <c r="L19" s="1900"/>
      <c r="M19" s="1901"/>
      <c r="N19" s="1901"/>
      <c r="O19" s="1901"/>
      <c r="P19" s="1901"/>
      <c r="Q19" s="1901"/>
      <c r="R19" s="1901"/>
      <c r="S19" s="1901"/>
      <c r="T19" s="1901"/>
      <c r="U19" s="1901"/>
      <c r="V19" s="1901"/>
      <c r="W19" s="1901"/>
      <c r="X19" s="1901"/>
      <c r="Y19" s="1901"/>
      <c r="Z19" s="1901"/>
      <c r="AA19" s="1901"/>
      <c r="AB19" s="1901"/>
      <c r="AC19" s="1901"/>
      <c r="AD19" s="1901"/>
      <c r="AE19" s="1901"/>
      <c r="AF19" s="1901"/>
      <c r="AG19" s="1901"/>
      <c r="AH19" s="1901"/>
      <c r="AI19" s="1901"/>
      <c r="AJ19" s="1901"/>
      <c r="AK19" s="1901"/>
      <c r="AL19" s="1901"/>
      <c r="AM19" s="1901"/>
      <c r="AN19" s="1901"/>
      <c r="AO19" s="1901"/>
      <c r="AP19" s="1901"/>
      <c r="AQ19" s="1901"/>
      <c r="AR19" s="1901"/>
      <c r="AS19" s="1901"/>
      <c r="AT19" s="1901"/>
      <c r="AU19" s="1901"/>
      <c r="AV19" s="1901"/>
      <c r="AW19" s="1901"/>
      <c r="AX19" s="1901"/>
      <c r="AY19" s="1901"/>
      <c r="AZ19" s="1901"/>
      <c r="BA19" s="1901"/>
      <c r="BB19" s="1901"/>
      <c r="BC19" s="1901"/>
      <c r="BD19" s="1901"/>
      <c r="BE19" s="1901"/>
      <c r="BF19" s="1901"/>
      <c r="BG19" s="1901"/>
      <c r="BH19" s="1901"/>
      <c r="BI19" s="1901"/>
      <c r="BJ19" s="1901"/>
      <c r="BK19" s="1901"/>
      <c r="BL19" s="1901"/>
      <c r="BM19" s="1901"/>
      <c r="BN19" s="1901"/>
      <c r="BO19" s="1901"/>
      <c r="BP19" s="1901"/>
      <c r="BQ19" s="1901"/>
      <c r="BR19" s="1901"/>
      <c r="BS19" s="1901"/>
      <c r="BT19" s="1901"/>
      <c r="BU19" s="1901"/>
      <c r="BV19" s="1901"/>
      <c r="BW19" s="1901"/>
      <c r="BX19" s="1901"/>
      <c r="BY19" s="1901"/>
      <c r="BZ19" s="1901"/>
      <c r="CA19" s="1901"/>
      <c r="CB19" s="1901"/>
      <c r="CC19" s="1901"/>
      <c r="CD19" s="1901"/>
      <c r="CE19" s="1901"/>
      <c r="CF19" s="1901"/>
      <c r="CG19" s="1901"/>
      <c r="CH19" s="1901"/>
      <c r="CI19" s="1901"/>
      <c r="CJ19" s="1901"/>
      <c r="CK19" s="1901"/>
      <c r="CL19" s="1901"/>
      <c r="CM19" s="1901"/>
      <c r="CN19" s="1901"/>
      <c r="CO19" s="1901"/>
      <c r="CP19" s="1901"/>
      <c r="CQ19" s="1901"/>
      <c r="CR19" s="1901"/>
      <c r="CS19" s="1901"/>
      <c r="CT19" s="1901"/>
      <c r="CU19" s="1901"/>
      <c r="CV19" s="1901"/>
      <c r="CW19" s="1901"/>
      <c r="CX19" s="1901"/>
      <c r="CY19" s="1901"/>
      <c r="CZ19" s="1901"/>
      <c r="DA19" s="1901"/>
      <c r="DB19" s="1901"/>
      <c r="DC19" s="1901"/>
      <c r="DD19" s="1901"/>
      <c r="DE19" s="1901"/>
      <c r="DF19" s="1901"/>
      <c r="DG19" s="1901"/>
      <c r="DH19" s="1901"/>
      <c r="DI19" s="1901"/>
      <c r="DJ19" s="1901"/>
      <c r="DK19" s="1901"/>
      <c r="DL19" s="1901"/>
      <c r="DM19" s="1901"/>
      <c r="DN19" s="1901"/>
      <c r="DO19" s="1901"/>
      <c r="DP19" s="1901"/>
      <c r="DQ19" s="1901"/>
      <c r="DR19" s="1901"/>
      <c r="DS19" s="1901"/>
      <c r="DT19" s="1901"/>
      <c r="DU19" s="1901"/>
      <c r="DV19" s="1901"/>
      <c r="DW19" s="1901"/>
      <c r="DX19" s="1901"/>
      <c r="DY19" s="1901"/>
      <c r="DZ19" s="1901"/>
      <c r="EA19" s="1901"/>
      <c r="EB19" s="1901"/>
      <c r="EC19" s="1901"/>
      <c r="ED19" s="1901"/>
      <c r="EE19" s="1901"/>
      <c r="EF19" s="1901"/>
      <c r="EG19" s="1901"/>
      <c r="EH19" s="1901"/>
      <c r="EI19" s="1901"/>
      <c r="EJ19" s="1901"/>
      <c r="EK19" s="1901"/>
      <c r="EL19" s="1901"/>
      <c r="EM19" s="1901"/>
      <c r="EN19" s="1901"/>
      <c r="EO19" s="1901"/>
      <c r="EP19" s="1901"/>
      <c r="EQ19" s="1901"/>
      <c r="ER19" s="1901"/>
      <c r="ES19" s="1901"/>
      <c r="ET19" s="1901"/>
      <c r="EU19" s="1901"/>
      <c r="EV19" s="1901"/>
      <c r="EW19" s="1901"/>
      <c r="EX19" s="1901"/>
      <c r="EY19" s="1901"/>
      <c r="EZ19" s="1901"/>
      <c r="FA19" s="1901"/>
      <c r="FB19" s="1901"/>
      <c r="FC19" s="1901"/>
      <c r="FD19" s="1901"/>
      <c r="FE19" s="1901"/>
      <c r="FF19" s="1901"/>
      <c r="FG19" s="1901"/>
      <c r="FH19" s="1901"/>
      <c r="FI19" s="1901"/>
      <c r="FJ19" s="1901"/>
      <c r="FK19" s="1901"/>
      <c r="FL19" s="1901"/>
      <c r="FM19" s="1901"/>
      <c r="FN19" s="1901"/>
      <c r="FO19" s="1901"/>
      <c r="FP19" s="1901"/>
      <c r="FQ19" s="1901"/>
      <c r="FR19" s="1901"/>
      <c r="FS19" s="1901"/>
      <c r="FT19" s="1901"/>
      <c r="FU19" s="1901"/>
      <c r="FV19" s="1901"/>
      <c r="FW19" s="1901"/>
      <c r="FX19" s="1901"/>
      <c r="FY19" s="1901"/>
      <c r="FZ19" s="1901"/>
      <c r="GA19" s="1901"/>
      <c r="GB19" s="1901"/>
      <c r="GC19" s="1901"/>
      <c r="GD19" s="1901"/>
      <c r="GE19" s="1901"/>
      <c r="GF19" s="1901"/>
      <c r="GG19" s="1901"/>
      <c r="GH19" s="1901"/>
      <c r="GI19" s="1901"/>
      <c r="GJ19" s="1901"/>
      <c r="GK19" s="1901"/>
      <c r="GL19" s="1901"/>
      <c r="GM19" s="1901"/>
      <c r="GN19" s="1901"/>
      <c r="GO19" s="1901"/>
      <c r="GP19" s="1901"/>
      <c r="GQ19" s="1901"/>
      <c r="GR19" s="1901"/>
      <c r="GS19" s="1901"/>
      <c r="GT19" s="1901"/>
      <c r="GU19" s="1901"/>
      <c r="GV19" s="1901"/>
      <c r="GW19" s="1901"/>
      <c r="GX19" s="1901"/>
      <c r="GY19" s="1901"/>
      <c r="GZ19" s="1901"/>
      <c r="HA19" s="1901"/>
      <c r="HB19" s="1901"/>
      <c r="HC19" s="1901"/>
      <c r="HD19" s="1901"/>
      <c r="HE19" s="1901"/>
      <c r="HF19" s="1901"/>
      <c r="HG19" s="1901"/>
      <c r="HH19" s="1901"/>
      <c r="HI19" s="1901"/>
      <c r="HJ19" s="1901"/>
      <c r="HK19" s="1901"/>
      <c r="HL19" s="1901"/>
      <c r="HM19" s="1901"/>
      <c r="HN19" s="1901"/>
      <c r="HO19" s="1901"/>
      <c r="HP19" s="1901"/>
      <c r="HQ19" s="1901"/>
      <c r="HR19" s="1901"/>
      <c r="HS19" s="1901"/>
      <c r="HT19" s="1901"/>
      <c r="HU19" s="1901"/>
      <c r="HV19" s="1901"/>
    </row>
    <row r="20" spans="1:230" s="1887" customFormat="1" ht="10.5" customHeight="1">
      <c r="A20" s="1903"/>
      <c r="B20" s="1860" t="s">
        <v>1236</v>
      </c>
      <c r="C20" s="1862"/>
      <c r="D20" s="1862">
        <v>17.6</v>
      </c>
      <c r="E20" s="1862">
        <v>13.2</v>
      </c>
      <c r="F20" s="1862">
        <v>8.6</v>
      </c>
      <c r="G20" s="1862">
        <v>4</v>
      </c>
      <c r="H20" s="1862"/>
      <c r="I20" s="1894"/>
      <c r="J20" s="1894"/>
      <c r="K20" s="1895"/>
      <c r="L20" s="1896"/>
      <c r="M20" s="1866"/>
      <c r="N20" s="1866"/>
      <c r="O20" s="1866"/>
      <c r="P20" s="1866"/>
      <c r="Q20" s="1866"/>
      <c r="R20" s="1866"/>
      <c r="S20" s="1866"/>
      <c r="T20" s="1866"/>
      <c r="U20" s="1866"/>
      <c r="V20" s="1866"/>
      <c r="W20" s="1866"/>
      <c r="X20" s="1866"/>
      <c r="Y20" s="1866"/>
      <c r="Z20" s="1866"/>
      <c r="AA20" s="1866"/>
      <c r="AB20" s="1866"/>
      <c r="AC20" s="1866"/>
      <c r="AD20" s="1866"/>
      <c r="AE20" s="1866"/>
      <c r="AF20" s="1866"/>
      <c r="AG20" s="1866"/>
      <c r="AH20" s="1866"/>
      <c r="AI20" s="1866"/>
      <c r="AJ20" s="1866"/>
      <c r="AK20" s="1866"/>
      <c r="AL20" s="1866"/>
      <c r="AM20" s="1866"/>
      <c r="AN20" s="1866"/>
      <c r="AO20" s="1866"/>
      <c r="AP20" s="1866"/>
      <c r="AQ20" s="1866"/>
      <c r="AR20" s="1866"/>
      <c r="AS20" s="1866"/>
      <c r="AT20" s="1866"/>
      <c r="AU20" s="1866"/>
      <c r="AV20" s="1866"/>
      <c r="AW20" s="1866"/>
      <c r="AX20" s="1866"/>
      <c r="AY20" s="1866"/>
      <c r="AZ20" s="1866"/>
      <c r="BA20" s="1866"/>
      <c r="BB20" s="1866"/>
      <c r="BC20" s="1866"/>
      <c r="BD20" s="1866"/>
      <c r="BE20" s="1866"/>
      <c r="BF20" s="1866"/>
      <c r="BG20" s="1866"/>
      <c r="BH20" s="1866"/>
      <c r="BI20" s="1866"/>
      <c r="BJ20" s="1866"/>
      <c r="BK20" s="1866"/>
      <c r="BL20" s="1866"/>
      <c r="BM20" s="1866"/>
      <c r="BN20" s="1866"/>
      <c r="BO20" s="1866"/>
      <c r="BP20" s="1866"/>
      <c r="BQ20" s="1866"/>
      <c r="BR20" s="1866"/>
      <c r="BS20" s="1866"/>
      <c r="BT20" s="1866"/>
      <c r="BU20" s="1866"/>
      <c r="BV20" s="1866"/>
      <c r="BW20" s="1866"/>
      <c r="BX20" s="1866"/>
      <c r="BY20" s="1866"/>
      <c r="BZ20" s="1866"/>
      <c r="CA20" s="1866"/>
      <c r="CB20" s="1866"/>
      <c r="CC20" s="1866"/>
      <c r="CD20" s="1866"/>
      <c r="CE20" s="1866"/>
      <c r="CF20" s="1866"/>
      <c r="CG20" s="1866"/>
      <c r="CH20" s="1866"/>
      <c r="CI20" s="1866"/>
      <c r="CJ20" s="1866"/>
      <c r="CK20" s="1866"/>
      <c r="CL20" s="1866"/>
      <c r="CM20" s="1866"/>
      <c r="CN20" s="1866"/>
      <c r="CO20" s="1866"/>
      <c r="CP20" s="1866"/>
      <c r="CQ20" s="1866"/>
      <c r="CR20" s="1866"/>
      <c r="CS20" s="1866"/>
      <c r="CT20" s="1866"/>
      <c r="CU20" s="1866"/>
      <c r="CV20" s="1866"/>
      <c r="CW20" s="1866"/>
      <c r="CX20" s="1866"/>
      <c r="CY20" s="1866"/>
      <c r="CZ20" s="1866"/>
      <c r="DA20" s="1866"/>
      <c r="DB20" s="1866"/>
      <c r="DC20" s="1866"/>
      <c r="DD20" s="1866"/>
      <c r="DE20" s="1866"/>
      <c r="DF20" s="1866"/>
      <c r="DG20" s="1866"/>
      <c r="DH20" s="1866"/>
      <c r="DI20" s="1866"/>
      <c r="DJ20" s="1866"/>
      <c r="DK20" s="1866"/>
      <c r="DL20" s="1866"/>
      <c r="DM20" s="1866"/>
      <c r="DN20" s="1866"/>
      <c r="DO20" s="1866"/>
      <c r="DP20" s="1866"/>
      <c r="DQ20" s="1866"/>
      <c r="DR20" s="1866"/>
      <c r="DS20" s="1866"/>
      <c r="DT20" s="1866"/>
      <c r="DU20" s="1866"/>
      <c r="DV20" s="1866"/>
      <c r="DW20" s="1866"/>
      <c r="DX20" s="1866"/>
      <c r="DY20" s="1866"/>
      <c r="DZ20" s="1866"/>
      <c r="EA20" s="1866"/>
      <c r="EB20" s="1866"/>
      <c r="EC20" s="1866"/>
      <c r="ED20" s="1866"/>
      <c r="EE20" s="1866"/>
      <c r="EF20" s="1866"/>
      <c r="EG20" s="1866"/>
      <c r="EH20" s="1866"/>
      <c r="EI20" s="1866"/>
      <c r="EJ20" s="1866"/>
      <c r="EK20" s="1866"/>
      <c r="EL20" s="1866"/>
      <c r="EM20" s="1866"/>
      <c r="EN20" s="1866"/>
      <c r="EO20" s="1866"/>
      <c r="EP20" s="1866"/>
      <c r="EQ20" s="1866"/>
      <c r="ER20" s="1866"/>
      <c r="ES20" s="1866"/>
      <c r="ET20" s="1866"/>
      <c r="EU20" s="1866"/>
      <c r="EV20" s="1866"/>
      <c r="EW20" s="1866"/>
      <c r="EX20" s="1866"/>
      <c r="EY20" s="1866"/>
      <c r="EZ20" s="1866"/>
      <c r="FA20" s="1866"/>
      <c r="FB20" s="1866"/>
      <c r="FC20" s="1866"/>
      <c r="FD20" s="1866"/>
      <c r="FE20" s="1866"/>
      <c r="FF20" s="1866"/>
      <c r="FG20" s="1866"/>
      <c r="FH20" s="1866"/>
      <c r="FI20" s="1866"/>
      <c r="FJ20" s="1866"/>
      <c r="FK20" s="1866"/>
      <c r="FL20" s="1866"/>
      <c r="FM20" s="1866"/>
      <c r="FN20" s="1866"/>
      <c r="FO20" s="1866"/>
      <c r="FP20" s="1866"/>
      <c r="FQ20" s="1866"/>
      <c r="FR20" s="1866"/>
      <c r="FS20" s="1866"/>
      <c r="FT20" s="1866"/>
      <c r="FU20" s="1866"/>
      <c r="FV20" s="1866"/>
      <c r="FW20" s="1866"/>
      <c r="FX20" s="1866"/>
      <c r="FY20" s="1866"/>
      <c r="FZ20" s="1866"/>
      <c r="GA20" s="1866"/>
      <c r="GB20" s="1866"/>
      <c r="GC20" s="1866"/>
      <c r="GD20" s="1866"/>
      <c r="GE20" s="1866"/>
      <c r="GF20" s="1866"/>
      <c r="GG20" s="1866"/>
      <c r="GH20" s="1866"/>
      <c r="GI20" s="1866"/>
      <c r="GJ20" s="1866"/>
      <c r="GK20" s="1866"/>
      <c r="GL20" s="1866"/>
      <c r="GM20" s="1866"/>
      <c r="GN20" s="1866"/>
      <c r="GO20" s="1866"/>
      <c r="GP20" s="1866"/>
      <c r="GQ20" s="1866"/>
      <c r="GR20" s="1866"/>
      <c r="GS20" s="1866"/>
      <c r="GT20" s="1866"/>
      <c r="GU20" s="1866"/>
      <c r="GV20" s="1866"/>
      <c r="GW20" s="1866"/>
      <c r="GX20" s="1866"/>
      <c r="GY20" s="1866"/>
      <c r="GZ20" s="1866"/>
      <c r="HA20" s="1866"/>
      <c r="HB20" s="1866"/>
      <c r="HC20" s="1866"/>
      <c r="HD20" s="1866"/>
      <c r="HE20" s="1866"/>
      <c r="HF20" s="1866"/>
      <c r="HG20" s="1866"/>
      <c r="HH20" s="1866"/>
      <c r="HI20" s="1866"/>
      <c r="HJ20" s="1866"/>
      <c r="HK20" s="1866"/>
      <c r="HL20" s="1866"/>
      <c r="HM20" s="1866"/>
      <c r="HN20" s="1866"/>
      <c r="HO20" s="1866"/>
      <c r="HP20" s="1866"/>
      <c r="HQ20" s="1866"/>
      <c r="HR20" s="1866"/>
      <c r="HS20" s="1866"/>
      <c r="HT20" s="1866"/>
      <c r="HU20" s="1866"/>
      <c r="HV20" s="1866"/>
    </row>
    <row r="21" spans="1:230" s="1905" customFormat="1" ht="31.5" customHeight="1">
      <c r="A21" s="1904" t="s">
        <v>1413</v>
      </c>
      <c r="B21" s="1852" t="s">
        <v>1243</v>
      </c>
      <c r="C21" s="1853">
        <v>180</v>
      </c>
      <c r="D21" s="1853">
        <v>90</v>
      </c>
      <c r="E21" s="1853">
        <v>90</v>
      </c>
      <c r="F21" s="1887"/>
      <c r="G21" s="1872"/>
      <c r="H21" s="1872"/>
      <c r="I21" s="1873"/>
      <c r="J21" s="1873"/>
      <c r="K21" s="1874"/>
      <c r="L21" s="1875"/>
      <c r="M21" s="1866"/>
      <c r="N21" s="1866"/>
      <c r="O21" s="1866"/>
      <c r="P21" s="1866"/>
      <c r="Q21" s="1866"/>
      <c r="R21" s="1866"/>
      <c r="S21" s="1866"/>
      <c r="T21" s="1866"/>
      <c r="U21" s="1866"/>
      <c r="V21" s="1866"/>
      <c r="W21" s="1866"/>
      <c r="X21" s="1866"/>
      <c r="Y21" s="1866"/>
      <c r="Z21" s="1866"/>
      <c r="AA21" s="1866"/>
      <c r="AB21" s="1866"/>
      <c r="AC21" s="1866"/>
      <c r="AD21" s="1866"/>
      <c r="AE21" s="1866"/>
      <c r="AF21" s="1866"/>
      <c r="AG21" s="1866"/>
      <c r="AH21" s="1866"/>
      <c r="AI21" s="1866"/>
      <c r="AJ21" s="1866"/>
      <c r="AK21" s="1866"/>
      <c r="AL21" s="1866"/>
      <c r="AM21" s="1866"/>
      <c r="AN21" s="1866"/>
      <c r="AO21" s="1866"/>
      <c r="AP21" s="1866"/>
      <c r="AQ21" s="1866"/>
      <c r="AR21" s="1866"/>
      <c r="AS21" s="1866"/>
      <c r="AT21" s="1866"/>
      <c r="AU21" s="1866"/>
      <c r="AV21" s="1866"/>
      <c r="AW21" s="1866"/>
      <c r="AX21" s="1866"/>
      <c r="AY21" s="1866"/>
      <c r="AZ21" s="1866"/>
      <c r="BA21" s="1866"/>
      <c r="BB21" s="1866"/>
      <c r="BC21" s="1866"/>
      <c r="BD21" s="1866"/>
      <c r="BE21" s="1866"/>
      <c r="BF21" s="1866"/>
      <c r="BG21" s="1866"/>
      <c r="BH21" s="1866"/>
      <c r="BI21" s="1866"/>
      <c r="BJ21" s="1866"/>
      <c r="BK21" s="1866"/>
      <c r="BL21" s="1866"/>
      <c r="BM21" s="1866"/>
      <c r="BN21" s="1866"/>
      <c r="BO21" s="1866"/>
      <c r="BP21" s="1866"/>
      <c r="BQ21" s="1866"/>
      <c r="BR21" s="1866"/>
      <c r="BS21" s="1866"/>
      <c r="BT21" s="1866"/>
      <c r="BU21" s="1866"/>
      <c r="BV21" s="1866"/>
      <c r="BW21" s="1866"/>
      <c r="BX21" s="1866"/>
      <c r="BY21" s="1866"/>
      <c r="BZ21" s="1866"/>
      <c r="CA21" s="1866"/>
      <c r="CB21" s="1866"/>
      <c r="CC21" s="1866"/>
      <c r="CD21" s="1866"/>
      <c r="CE21" s="1866"/>
      <c r="CF21" s="1866"/>
      <c r="CG21" s="1866"/>
      <c r="CH21" s="1866"/>
      <c r="CI21" s="1866"/>
      <c r="CJ21" s="1866"/>
      <c r="CK21" s="1866"/>
      <c r="CL21" s="1866"/>
      <c r="CM21" s="1866"/>
      <c r="CN21" s="1866"/>
      <c r="CO21" s="1866"/>
      <c r="CP21" s="1866"/>
      <c r="CQ21" s="1866"/>
      <c r="CR21" s="1866"/>
      <c r="CS21" s="1866"/>
      <c r="CT21" s="1866"/>
      <c r="CU21" s="1866"/>
      <c r="CV21" s="1866"/>
      <c r="CW21" s="1866"/>
      <c r="CX21" s="1866"/>
      <c r="CY21" s="1866"/>
      <c r="CZ21" s="1866"/>
      <c r="DA21" s="1866"/>
      <c r="DB21" s="1866"/>
      <c r="DC21" s="1866"/>
      <c r="DD21" s="1866"/>
      <c r="DE21" s="1866"/>
      <c r="DF21" s="1866"/>
      <c r="DG21" s="1866"/>
      <c r="DH21" s="1866"/>
      <c r="DI21" s="1866"/>
      <c r="DJ21" s="1866"/>
      <c r="DK21" s="1866"/>
      <c r="DL21" s="1866"/>
      <c r="DM21" s="1866"/>
      <c r="DN21" s="1866"/>
      <c r="DO21" s="1866"/>
      <c r="DP21" s="1866"/>
      <c r="DQ21" s="1866"/>
      <c r="DR21" s="1866"/>
      <c r="DS21" s="1866"/>
      <c r="DT21" s="1866"/>
      <c r="DU21" s="1866"/>
      <c r="DV21" s="1866"/>
      <c r="DW21" s="1866"/>
      <c r="DX21" s="1866"/>
      <c r="DY21" s="1866"/>
      <c r="DZ21" s="1866"/>
      <c r="EA21" s="1866"/>
      <c r="EB21" s="1866"/>
      <c r="EC21" s="1866"/>
      <c r="ED21" s="1866"/>
      <c r="EE21" s="1866"/>
      <c r="EF21" s="1866"/>
      <c r="EG21" s="1866"/>
      <c r="EH21" s="1866"/>
      <c r="EI21" s="1866"/>
      <c r="EJ21" s="1866"/>
      <c r="EK21" s="1866"/>
      <c r="EL21" s="1866"/>
      <c r="EM21" s="1866"/>
      <c r="EN21" s="1866"/>
      <c r="EO21" s="1866"/>
      <c r="EP21" s="1866"/>
      <c r="EQ21" s="1866"/>
      <c r="ER21" s="1866"/>
      <c r="ES21" s="1866"/>
      <c r="ET21" s="1866"/>
      <c r="EU21" s="1866"/>
      <c r="EV21" s="1866"/>
      <c r="EW21" s="1866"/>
      <c r="EX21" s="1866"/>
      <c r="EY21" s="1866"/>
      <c r="EZ21" s="1866"/>
      <c r="FA21" s="1866"/>
      <c r="FB21" s="1866"/>
      <c r="FC21" s="1866"/>
      <c r="FD21" s="1866"/>
      <c r="FE21" s="1866"/>
      <c r="FF21" s="1866"/>
      <c r="FG21" s="1866"/>
      <c r="FH21" s="1866"/>
      <c r="FI21" s="1866"/>
      <c r="FJ21" s="1866"/>
      <c r="FK21" s="1866"/>
      <c r="FL21" s="1866"/>
      <c r="FM21" s="1866"/>
      <c r="FN21" s="1866"/>
      <c r="FO21" s="1866"/>
      <c r="FP21" s="1866"/>
      <c r="FQ21" s="1866"/>
      <c r="FR21" s="1866"/>
      <c r="FS21" s="1866"/>
      <c r="FT21" s="1866"/>
      <c r="FU21" s="1866"/>
      <c r="FV21" s="1866"/>
      <c r="FW21" s="1866"/>
      <c r="FX21" s="1866"/>
      <c r="FY21" s="1866"/>
      <c r="FZ21" s="1866"/>
      <c r="GA21" s="1866"/>
      <c r="GB21" s="1866"/>
      <c r="GC21" s="1866"/>
      <c r="GD21" s="1866"/>
      <c r="GE21" s="1866"/>
      <c r="GF21" s="1866"/>
      <c r="GG21" s="1866"/>
      <c r="GH21" s="1866"/>
      <c r="GI21" s="1866"/>
      <c r="GJ21" s="1866"/>
      <c r="GK21" s="1866"/>
      <c r="GL21" s="1866"/>
      <c r="GM21" s="1866"/>
      <c r="GN21" s="1866"/>
      <c r="GO21" s="1866"/>
      <c r="GP21" s="1866"/>
      <c r="GQ21" s="1866"/>
      <c r="GR21" s="1866"/>
      <c r="GS21" s="1866"/>
      <c r="GT21" s="1866"/>
      <c r="GU21" s="1866"/>
      <c r="GV21" s="1866"/>
      <c r="GW21" s="1866"/>
      <c r="GX21" s="1866"/>
      <c r="GY21" s="1866"/>
      <c r="GZ21" s="1866"/>
      <c r="HA21" s="1866"/>
      <c r="HB21" s="1866"/>
      <c r="HC21" s="1866"/>
      <c r="HD21" s="1866"/>
      <c r="HE21" s="1866"/>
      <c r="HF21" s="1866"/>
      <c r="HG21" s="1866"/>
      <c r="HH21" s="1866"/>
      <c r="HI21" s="1866"/>
      <c r="HJ21" s="1866"/>
      <c r="HK21" s="1866"/>
      <c r="HL21" s="1866"/>
      <c r="HM21" s="1866"/>
      <c r="HN21" s="1866"/>
      <c r="HO21" s="1866"/>
      <c r="HP21" s="1866"/>
      <c r="HQ21" s="1866"/>
      <c r="HR21" s="1866"/>
      <c r="HS21" s="1866"/>
      <c r="HT21" s="1866"/>
      <c r="HU21" s="1866"/>
      <c r="HV21" s="1866"/>
    </row>
    <row r="22" spans="1:230" s="1887" customFormat="1" ht="9" customHeight="1">
      <c r="A22" s="1859"/>
      <c r="B22" s="1860" t="s">
        <v>1236</v>
      </c>
      <c r="C22" s="1862"/>
      <c r="D22" s="1862">
        <v>3.2</v>
      </c>
      <c r="E22" s="1862">
        <v>1.6</v>
      </c>
      <c r="F22" s="1862"/>
      <c r="G22" s="1862"/>
      <c r="H22" s="1862"/>
      <c r="I22" s="1894"/>
      <c r="J22" s="1894"/>
      <c r="K22" s="1895"/>
      <c r="L22" s="1896"/>
      <c r="M22" s="1866"/>
      <c r="N22" s="1866"/>
      <c r="O22" s="1866"/>
      <c r="P22" s="1866"/>
      <c r="Q22" s="1866"/>
      <c r="R22" s="1866"/>
      <c r="S22" s="1866"/>
      <c r="T22" s="1866"/>
      <c r="U22" s="1866"/>
      <c r="V22" s="1866"/>
      <c r="W22" s="1866"/>
      <c r="X22" s="1866"/>
      <c r="Y22" s="1866"/>
      <c r="Z22" s="1866"/>
      <c r="AA22" s="1866"/>
      <c r="AB22" s="1866"/>
      <c r="AC22" s="1866"/>
      <c r="AD22" s="1866"/>
      <c r="AE22" s="1866"/>
      <c r="AF22" s="1866"/>
      <c r="AG22" s="1866"/>
      <c r="AH22" s="1866"/>
      <c r="AI22" s="1866"/>
      <c r="AJ22" s="1866"/>
      <c r="AK22" s="1866"/>
      <c r="AL22" s="1866"/>
      <c r="AM22" s="1866"/>
      <c r="AN22" s="1866"/>
      <c r="AO22" s="1866"/>
      <c r="AP22" s="1866"/>
      <c r="AQ22" s="1866"/>
      <c r="AR22" s="1866"/>
      <c r="AS22" s="1866"/>
      <c r="AT22" s="1866"/>
      <c r="AU22" s="1866"/>
      <c r="AV22" s="1866"/>
      <c r="AW22" s="1866"/>
      <c r="AX22" s="1866"/>
      <c r="AY22" s="1866"/>
      <c r="AZ22" s="1866"/>
      <c r="BA22" s="1866"/>
      <c r="BB22" s="1866"/>
      <c r="BC22" s="1866"/>
      <c r="BD22" s="1866"/>
      <c r="BE22" s="1866"/>
      <c r="BF22" s="1866"/>
      <c r="BG22" s="1866"/>
      <c r="BH22" s="1866"/>
      <c r="BI22" s="1866"/>
      <c r="BJ22" s="1866"/>
      <c r="BK22" s="1866"/>
      <c r="BL22" s="1866"/>
      <c r="BM22" s="1866"/>
      <c r="BN22" s="1866"/>
      <c r="BO22" s="1866"/>
      <c r="BP22" s="1866"/>
      <c r="BQ22" s="1866"/>
      <c r="BR22" s="1866"/>
      <c r="BS22" s="1866"/>
      <c r="BT22" s="1866"/>
      <c r="BU22" s="1866"/>
      <c r="BV22" s="1866"/>
      <c r="BW22" s="1866"/>
      <c r="BX22" s="1866"/>
      <c r="BY22" s="1866"/>
      <c r="BZ22" s="1866"/>
      <c r="CA22" s="1866"/>
      <c r="CB22" s="1866"/>
      <c r="CC22" s="1866"/>
      <c r="CD22" s="1866"/>
      <c r="CE22" s="1866"/>
      <c r="CF22" s="1866"/>
      <c r="CG22" s="1866"/>
      <c r="CH22" s="1866"/>
      <c r="CI22" s="1866"/>
      <c r="CJ22" s="1866"/>
      <c r="CK22" s="1866"/>
      <c r="CL22" s="1866"/>
      <c r="CM22" s="1866"/>
      <c r="CN22" s="1866"/>
      <c r="CO22" s="1866"/>
      <c r="CP22" s="1866"/>
      <c r="CQ22" s="1866"/>
      <c r="CR22" s="1866"/>
      <c r="CS22" s="1866"/>
      <c r="CT22" s="1866"/>
      <c r="CU22" s="1866"/>
      <c r="CV22" s="1866"/>
      <c r="CW22" s="1866"/>
      <c r="CX22" s="1866"/>
      <c r="CY22" s="1866"/>
      <c r="CZ22" s="1866"/>
      <c r="DA22" s="1866"/>
      <c r="DB22" s="1866"/>
      <c r="DC22" s="1866"/>
      <c r="DD22" s="1866"/>
      <c r="DE22" s="1866"/>
      <c r="DF22" s="1866"/>
      <c r="DG22" s="1866"/>
      <c r="DH22" s="1866"/>
      <c r="DI22" s="1866"/>
      <c r="DJ22" s="1866"/>
      <c r="DK22" s="1866"/>
      <c r="DL22" s="1866"/>
      <c r="DM22" s="1866"/>
      <c r="DN22" s="1866"/>
      <c r="DO22" s="1866"/>
      <c r="DP22" s="1866"/>
      <c r="DQ22" s="1866"/>
      <c r="DR22" s="1866"/>
      <c r="DS22" s="1866"/>
      <c r="DT22" s="1866"/>
      <c r="DU22" s="1866"/>
      <c r="DV22" s="1866"/>
      <c r="DW22" s="1866"/>
      <c r="DX22" s="1866"/>
      <c r="DY22" s="1866"/>
      <c r="DZ22" s="1866"/>
      <c r="EA22" s="1866"/>
      <c r="EB22" s="1866"/>
      <c r="EC22" s="1866"/>
      <c r="ED22" s="1866"/>
      <c r="EE22" s="1866"/>
      <c r="EF22" s="1866"/>
      <c r="EG22" s="1866"/>
      <c r="EH22" s="1866"/>
      <c r="EI22" s="1866"/>
      <c r="EJ22" s="1866"/>
      <c r="EK22" s="1866"/>
      <c r="EL22" s="1866"/>
      <c r="EM22" s="1866"/>
      <c r="EN22" s="1866"/>
      <c r="EO22" s="1866"/>
      <c r="EP22" s="1866"/>
      <c r="EQ22" s="1866"/>
      <c r="ER22" s="1866"/>
      <c r="ES22" s="1866"/>
      <c r="ET22" s="1866"/>
      <c r="EU22" s="1866"/>
      <c r="EV22" s="1866"/>
      <c r="EW22" s="1866"/>
      <c r="EX22" s="1866"/>
      <c r="EY22" s="1866"/>
      <c r="EZ22" s="1866"/>
      <c r="FA22" s="1866"/>
      <c r="FB22" s="1866"/>
      <c r="FC22" s="1866"/>
      <c r="FD22" s="1866"/>
      <c r="FE22" s="1866"/>
      <c r="FF22" s="1866"/>
      <c r="FG22" s="1866"/>
      <c r="FH22" s="1866"/>
      <c r="FI22" s="1866"/>
      <c r="FJ22" s="1866"/>
      <c r="FK22" s="1866"/>
      <c r="FL22" s="1866"/>
      <c r="FM22" s="1866"/>
      <c r="FN22" s="1866"/>
      <c r="FO22" s="1866"/>
      <c r="FP22" s="1866"/>
      <c r="FQ22" s="1866"/>
      <c r="FR22" s="1866"/>
      <c r="FS22" s="1866"/>
      <c r="FT22" s="1866"/>
      <c r="FU22" s="1866"/>
      <c r="FV22" s="1866"/>
      <c r="FW22" s="1866"/>
      <c r="FX22" s="1866"/>
      <c r="FY22" s="1866"/>
      <c r="FZ22" s="1866"/>
      <c r="GA22" s="1866"/>
      <c r="GB22" s="1866"/>
      <c r="GC22" s="1866"/>
      <c r="GD22" s="1866"/>
      <c r="GE22" s="1866"/>
      <c r="GF22" s="1866"/>
      <c r="GG22" s="1866"/>
      <c r="GH22" s="1866"/>
      <c r="GI22" s="1866"/>
      <c r="GJ22" s="1866"/>
      <c r="GK22" s="1866"/>
      <c r="GL22" s="1866"/>
      <c r="GM22" s="1866"/>
      <c r="GN22" s="1866"/>
      <c r="GO22" s="1866"/>
      <c r="GP22" s="1866"/>
      <c r="GQ22" s="1866"/>
      <c r="GR22" s="1866"/>
      <c r="GS22" s="1866"/>
      <c r="GT22" s="1866"/>
      <c r="GU22" s="1866"/>
      <c r="GV22" s="1866"/>
      <c r="GW22" s="1866"/>
      <c r="GX22" s="1866"/>
      <c r="GY22" s="1866"/>
      <c r="GZ22" s="1866"/>
      <c r="HA22" s="1866"/>
      <c r="HB22" s="1866"/>
      <c r="HC22" s="1866"/>
      <c r="HD22" s="1866"/>
      <c r="HE22" s="1866"/>
      <c r="HF22" s="1866"/>
      <c r="HG22" s="1866"/>
      <c r="HH22" s="1866"/>
      <c r="HI22" s="1866"/>
      <c r="HJ22" s="1866"/>
      <c r="HK22" s="1866"/>
      <c r="HL22" s="1866"/>
      <c r="HM22" s="1866"/>
      <c r="HN22" s="1866"/>
      <c r="HO22" s="1866"/>
      <c r="HP22" s="1866"/>
      <c r="HQ22" s="1866"/>
      <c r="HR22" s="1866"/>
      <c r="HS22" s="1866"/>
      <c r="HT22" s="1866"/>
      <c r="HU22" s="1866"/>
      <c r="HV22" s="1866"/>
    </row>
    <row r="23" spans="1:12" ht="31.5">
      <c r="A23" s="1906" t="s">
        <v>131</v>
      </c>
      <c r="B23" s="1889" t="s">
        <v>1244</v>
      </c>
      <c r="C23" s="1907">
        <v>670.2</v>
      </c>
      <c r="D23" s="1907">
        <v>72</v>
      </c>
      <c r="E23" s="1907">
        <v>96</v>
      </c>
      <c r="F23" s="1907">
        <v>96</v>
      </c>
      <c r="G23" s="1907">
        <v>96</v>
      </c>
      <c r="H23" s="1907">
        <v>96</v>
      </c>
      <c r="I23" s="1907">
        <v>96</v>
      </c>
      <c r="J23" s="1907">
        <v>118.2</v>
      </c>
      <c r="K23" s="1908"/>
      <c r="L23" s="1909"/>
    </row>
    <row r="24" spans="1:41" ht="12" customHeight="1">
      <c r="A24" s="1903"/>
      <c r="B24" s="1860" t="s">
        <v>1236</v>
      </c>
      <c r="C24" s="1894"/>
      <c r="D24" s="1894">
        <v>9.8</v>
      </c>
      <c r="E24" s="1894">
        <v>11.6</v>
      </c>
      <c r="F24" s="1910">
        <v>9.7</v>
      </c>
      <c r="G24" s="1894">
        <v>7.8</v>
      </c>
      <c r="H24" s="1894">
        <v>5.9</v>
      </c>
      <c r="I24" s="1910">
        <v>4</v>
      </c>
      <c r="J24" s="1894">
        <v>2.3</v>
      </c>
      <c r="K24" s="1911"/>
      <c r="L24" s="1912"/>
      <c r="M24" s="1866"/>
      <c r="N24" s="1866"/>
      <c r="O24" s="1866"/>
      <c r="P24" s="1866"/>
      <c r="Q24" s="1866"/>
      <c r="R24" s="1866"/>
      <c r="S24" s="1866"/>
      <c r="T24" s="1866"/>
      <c r="U24" s="1866"/>
      <c r="V24" s="1866"/>
      <c r="W24" s="1866"/>
      <c r="X24" s="1866"/>
      <c r="Y24" s="1866"/>
      <c r="Z24" s="1866"/>
      <c r="AA24" s="1866"/>
      <c r="AB24" s="1866"/>
      <c r="AC24" s="1866"/>
      <c r="AD24" s="1866"/>
      <c r="AE24" s="1866"/>
      <c r="AF24" s="1866"/>
      <c r="AG24" s="1866"/>
      <c r="AH24" s="1866"/>
      <c r="AI24" s="1866"/>
      <c r="AJ24" s="1866"/>
      <c r="AK24" s="1866"/>
      <c r="AL24" s="1866"/>
      <c r="AM24" s="1866"/>
      <c r="AN24" s="1866"/>
      <c r="AO24" s="1866"/>
    </row>
    <row r="25" spans="1:12" ht="24" customHeight="1">
      <c r="A25" s="1913" t="s">
        <v>1245</v>
      </c>
      <c r="B25" s="1914" t="s">
        <v>1246</v>
      </c>
      <c r="C25" s="1907">
        <v>140</v>
      </c>
      <c r="D25" s="1915">
        <v>46.8</v>
      </c>
      <c r="E25" s="1915">
        <v>46.8</v>
      </c>
      <c r="F25" s="1915">
        <v>46.4</v>
      </c>
      <c r="G25" s="1916"/>
      <c r="H25" s="1916"/>
      <c r="I25" s="1916"/>
      <c r="J25" s="1916"/>
      <c r="K25" s="1917"/>
      <c r="L25" s="1918"/>
    </row>
    <row r="26" spans="1:12" s="1924" customFormat="1" ht="9.75" customHeight="1">
      <c r="A26" s="1919"/>
      <c r="B26" s="1860" t="s">
        <v>1236</v>
      </c>
      <c r="C26" s="1920"/>
      <c r="D26" s="1921">
        <v>2.6</v>
      </c>
      <c r="E26" s="1921">
        <v>1.7</v>
      </c>
      <c r="F26" s="1921">
        <v>0.8</v>
      </c>
      <c r="G26" s="1920"/>
      <c r="H26" s="1920"/>
      <c r="I26" s="1920"/>
      <c r="J26" s="1920"/>
      <c r="K26" s="1922"/>
      <c r="L26" s="1923"/>
    </row>
    <row r="27" spans="1:12" ht="18.75" customHeight="1">
      <c r="A27" s="1906" t="s">
        <v>1247</v>
      </c>
      <c r="B27" s="1889" t="s">
        <v>1248</v>
      </c>
      <c r="C27" s="1907"/>
      <c r="D27" s="1854"/>
      <c r="E27" s="1907">
        <v>333.6</v>
      </c>
      <c r="F27" s="1907">
        <v>333.6</v>
      </c>
      <c r="G27" s="1907">
        <v>333.6</v>
      </c>
      <c r="H27" s="1907">
        <v>333.6</v>
      </c>
      <c r="I27" s="1907">
        <v>333.6</v>
      </c>
      <c r="J27" s="1907">
        <v>332</v>
      </c>
      <c r="K27" s="1908"/>
      <c r="L27" s="1909"/>
    </row>
    <row r="28" spans="1:41" ht="10.5" customHeight="1">
      <c r="A28" s="1903"/>
      <c r="B28" s="1860" t="s">
        <v>1236</v>
      </c>
      <c r="C28" s="1894"/>
      <c r="D28" s="1894">
        <v>18.2</v>
      </c>
      <c r="E28" s="1894">
        <v>70.7</v>
      </c>
      <c r="F28" s="1910">
        <v>59.3</v>
      </c>
      <c r="G28" s="1894">
        <v>47.1</v>
      </c>
      <c r="H28" s="1894">
        <v>34.9</v>
      </c>
      <c r="I28" s="1910">
        <v>22.8</v>
      </c>
      <c r="J28" s="1910">
        <v>10.6</v>
      </c>
      <c r="K28" s="1911"/>
      <c r="L28" s="1912"/>
      <c r="M28" s="1866"/>
      <c r="N28" s="1866"/>
      <c r="O28" s="1866"/>
      <c r="P28" s="1866"/>
      <c r="Q28" s="1866"/>
      <c r="R28" s="1866"/>
      <c r="S28" s="1866"/>
      <c r="T28" s="1866"/>
      <c r="U28" s="1866"/>
      <c r="V28" s="1866"/>
      <c r="W28" s="1866"/>
      <c r="X28" s="1866"/>
      <c r="Y28" s="1866"/>
      <c r="Z28" s="1866"/>
      <c r="AA28" s="1866"/>
      <c r="AB28" s="1866"/>
      <c r="AC28" s="1866"/>
      <c r="AD28" s="1866"/>
      <c r="AE28" s="1866"/>
      <c r="AF28" s="1866"/>
      <c r="AG28" s="1866"/>
      <c r="AH28" s="1866"/>
      <c r="AI28" s="1866"/>
      <c r="AJ28" s="1866"/>
      <c r="AK28" s="1866"/>
      <c r="AL28" s="1866"/>
      <c r="AM28" s="1866"/>
      <c r="AN28" s="1866"/>
      <c r="AO28" s="1866"/>
    </row>
    <row r="29" spans="1:12" ht="22.5" customHeight="1">
      <c r="A29" s="1906" t="s">
        <v>1325</v>
      </c>
      <c r="B29" s="1889" t="s">
        <v>1249</v>
      </c>
      <c r="C29" s="1907"/>
      <c r="D29" s="1907"/>
      <c r="E29" s="1907">
        <v>33.3</v>
      </c>
      <c r="F29" s="1907">
        <v>14.2</v>
      </c>
      <c r="G29" s="1907"/>
      <c r="H29" s="1907"/>
      <c r="I29" s="1907"/>
      <c r="J29" s="1907"/>
      <c r="K29" s="1908"/>
      <c r="L29" s="1909"/>
    </row>
    <row r="30" spans="1:41" ht="12" customHeight="1">
      <c r="A30" s="1903"/>
      <c r="B30" s="1860" t="s">
        <v>1236</v>
      </c>
      <c r="C30" s="1894"/>
      <c r="D30" s="1894">
        <v>0.2</v>
      </c>
      <c r="E30" s="1910">
        <v>0.7</v>
      </c>
      <c r="F30" s="1910">
        <v>0.2</v>
      </c>
      <c r="G30" s="1894"/>
      <c r="H30" s="1894"/>
      <c r="I30" s="1910"/>
      <c r="J30" s="1894"/>
      <c r="K30" s="1911"/>
      <c r="L30" s="1912"/>
      <c r="M30" s="1866"/>
      <c r="N30" s="1866"/>
      <c r="O30" s="1866"/>
      <c r="P30" s="1866"/>
      <c r="Q30" s="1866"/>
      <c r="R30" s="1866"/>
      <c r="S30" s="1866"/>
      <c r="T30" s="1866"/>
      <c r="U30" s="1866"/>
      <c r="V30" s="1866"/>
      <c r="W30" s="1866"/>
      <c r="X30" s="1866"/>
      <c r="Y30" s="1866"/>
      <c r="Z30" s="1866"/>
      <c r="AA30" s="1866"/>
      <c r="AB30" s="1866"/>
      <c r="AC30" s="1866"/>
      <c r="AD30" s="1866"/>
      <c r="AE30" s="1866"/>
      <c r="AF30" s="1866"/>
      <c r="AG30" s="1866"/>
      <c r="AH30" s="1866"/>
      <c r="AI30" s="1866"/>
      <c r="AJ30" s="1866"/>
      <c r="AK30" s="1866"/>
      <c r="AL30" s="1866"/>
      <c r="AM30" s="1866"/>
      <c r="AN30" s="1866"/>
      <c r="AO30" s="1866"/>
    </row>
    <row r="31" spans="1:12" s="1929" customFormat="1" ht="15.75" customHeight="1">
      <c r="A31" s="1845">
        <v>3</v>
      </c>
      <c r="B31" s="1846" t="s">
        <v>1250</v>
      </c>
      <c r="C31" s="1925"/>
      <c r="D31" s="1925"/>
      <c r="E31" s="1925"/>
      <c r="F31" s="1925"/>
      <c r="G31" s="1925"/>
      <c r="H31" s="1925"/>
      <c r="I31" s="1926"/>
      <c r="J31" s="1926"/>
      <c r="K31" s="1927"/>
      <c r="L31" s="1928"/>
    </row>
    <row r="32" spans="1:12" s="1858" customFormat="1" ht="22.5" customHeight="1">
      <c r="A32" s="1888" t="s">
        <v>1323</v>
      </c>
      <c r="B32" s="1889" t="s">
        <v>1251</v>
      </c>
      <c r="C32" s="1854">
        <v>1225.4</v>
      </c>
      <c r="D32" s="1854">
        <v>602.8</v>
      </c>
      <c r="E32" s="1854">
        <v>622.6</v>
      </c>
      <c r="F32" s="1854"/>
      <c r="G32" s="1854"/>
      <c r="H32" s="1854"/>
      <c r="I32" s="1890"/>
      <c r="J32" s="1890"/>
      <c r="K32" s="1891"/>
      <c r="L32" s="1892"/>
    </row>
    <row r="33" spans="1:12" s="1901" customFormat="1" ht="9" customHeight="1">
      <c r="A33" s="1930"/>
      <c r="B33" s="1931" t="s">
        <v>1236</v>
      </c>
      <c r="C33" s="1932"/>
      <c r="D33" s="1932">
        <v>66.1</v>
      </c>
      <c r="E33" s="1932">
        <v>41.5</v>
      </c>
      <c r="F33" s="1932"/>
      <c r="G33" s="1932"/>
      <c r="H33" s="1932"/>
      <c r="I33" s="1933"/>
      <c r="J33" s="1933"/>
      <c r="K33" s="1934"/>
      <c r="L33" s="1935"/>
    </row>
    <row r="34" spans="1:12" s="1929" customFormat="1" ht="17.25" customHeight="1">
      <c r="A34" s="1876">
        <v>4</v>
      </c>
      <c r="B34" s="1879" t="s">
        <v>1252</v>
      </c>
      <c r="C34" s="1878"/>
      <c r="D34" s="1878"/>
      <c r="E34" s="1878"/>
      <c r="F34" s="1878"/>
      <c r="G34" s="1878"/>
      <c r="H34" s="1878"/>
      <c r="I34" s="1936"/>
      <c r="J34" s="1936"/>
      <c r="K34" s="1937"/>
      <c r="L34" s="1938"/>
    </row>
    <row r="35" spans="1:230" s="1893" customFormat="1" ht="22.5" customHeight="1">
      <c r="A35" s="1888" t="s">
        <v>1323</v>
      </c>
      <c r="B35" s="1889" t="s">
        <v>1253</v>
      </c>
      <c r="C35" s="1854">
        <v>662.9</v>
      </c>
      <c r="D35" s="1854">
        <v>325.3</v>
      </c>
      <c r="E35" s="1854">
        <v>337.6</v>
      </c>
      <c r="F35" s="1854"/>
      <c r="G35" s="1854"/>
      <c r="H35" s="1854"/>
      <c r="I35" s="1890"/>
      <c r="J35" s="1890"/>
      <c r="K35" s="1891"/>
      <c r="L35" s="1892"/>
      <c r="M35" s="1858"/>
      <c r="N35" s="1858"/>
      <c r="O35" s="1858"/>
      <c r="P35" s="1858"/>
      <c r="Q35" s="1858"/>
      <c r="R35" s="1858"/>
      <c r="S35" s="1858"/>
      <c r="T35" s="1858"/>
      <c r="U35" s="1858"/>
      <c r="V35" s="1858"/>
      <c r="W35" s="1858"/>
      <c r="X35" s="1858"/>
      <c r="Y35" s="1858"/>
      <c r="Z35" s="1858"/>
      <c r="AA35" s="1858"/>
      <c r="AB35" s="1858"/>
      <c r="AC35" s="1858"/>
      <c r="AD35" s="1858"/>
      <c r="AE35" s="1858"/>
      <c r="AF35" s="1858"/>
      <c r="AG35" s="1858"/>
      <c r="AH35" s="1858"/>
      <c r="AI35" s="1858"/>
      <c r="AJ35" s="1858"/>
      <c r="AK35" s="1858"/>
      <c r="AL35" s="1858"/>
      <c r="AM35" s="1858"/>
      <c r="AN35" s="1858"/>
      <c r="AO35" s="1858"/>
      <c r="AP35" s="1858"/>
      <c r="AQ35" s="1858"/>
      <c r="AR35" s="1858"/>
      <c r="AS35" s="1858"/>
      <c r="AT35" s="1858"/>
      <c r="AU35" s="1858"/>
      <c r="AV35" s="1858"/>
      <c r="AW35" s="1858"/>
      <c r="AX35" s="1858"/>
      <c r="AY35" s="1858"/>
      <c r="AZ35" s="1858"/>
      <c r="BA35" s="1858"/>
      <c r="BB35" s="1858"/>
      <c r="BC35" s="1858"/>
      <c r="BD35" s="1858"/>
      <c r="BE35" s="1858"/>
      <c r="BF35" s="1858"/>
      <c r="BG35" s="1858"/>
      <c r="BH35" s="1858"/>
      <c r="BI35" s="1858"/>
      <c r="BJ35" s="1858"/>
      <c r="BK35" s="1858"/>
      <c r="BL35" s="1858"/>
      <c r="BM35" s="1858"/>
      <c r="BN35" s="1858"/>
      <c r="BO35" s="1858"/>
      <c r="BP35" s="1858"/>
      <c r="BQ35" s="1858"/>
      <c r="BR35" s="1858"/>
      <c r="BS35" s="1858"/>
      <c r="BT35" s="1858"/>
      <c r="BU35" s="1858"/>
      <c r="BV35" s="1858"/>
      <c r="BW35" s="1858"/>
      <c r="BX35" s="1858"/>
      <c r="BY35" s="1858"/>
      <c r="BZ35" s="1858"/>
      <c r="CA35" s="1858"/>
      <c r="CB35" s="1858"/>
      <c r="CC35" s="1858"/>
      <c r="CD35" s="1858"/>
      <c r="CE35" s="1858"/>
      <c r="CF35" s="1858"/>
      <c r="CG35" s="1858"/>
      <c r="CH35" s="1858"/>
      <c r="CI35" s="1858"/>
      <c r="CJ35" s="1858"/>
      <c r="CK35" s="1858"/>
      <c r="CL35" s="1858"/>
      <c r="CM35" s="1858"/>
      <c r="CN35" s="1858"/>
      <c r="CO35" s="1858"/>
      <c r="CP35" s="1858"/>
      <c r="CQ35" s="1858"/>
      <c r="CR35" s="1858"/>
      <c r="CS35" s="1858"/>
      <c r="CT35" s="1858"/>
      <c r="CU35" s="1858"/>
      <c r="CV35" s="1858"/>
      <c r="CW35" s="1858"/>
      <c r="CX35" s="1858"/>
      <c r="CY35" s="1858"/>
      <c r="CZ35" s="1858"/>
      <c r="DA35" s="1858"/>
      <c r="DB35" s="1858"/>
      <c r="DC35" s="1858"/>
      <c r="DD35" s="1858"/>
      <c r="DE35" s="1858"/>
      <c r="DF35" s="1858"/>
      <c r="DG35" s="1858"/>
      <c r="DH35" s="1858"/>
      <c r="DI35" s="1858"/>
      <c r="DJ35" s="1858"/>
      <c r="DK35" s="1858"/>
      <c r="DL35" s="1858"/>
      <c r="DM35" s="1858"/>
      <c r="DN35" s="1858"/>
      <c r="DO35" s="1858"/>
      <c r="DP35" s="1858"/>
      <c r="DQ35" s="1858"/>
      <c r="DR35" s="1858"/>
      <c r="DS35" s="1858"/>
      <c r="DT35" s="1858"/>
      <c r="DU35" s="1858"/>
      <c r="DV35" s="1858"/>
      <c r="DW35" s="1858"/>
      <c r="DX35" s="1858"/>
      <c r="DY35" s="1858"/>
      <c r="DZ35" s="1858"/>
      <c r="EA35" s="1858"/>
      <c r="EB35" s="1858"/>
      <c r="EC35" s="1858"/>
      <c r="ED35" s="1858"/>
      <c r="EE35" s="1858"/>
      <c r="EF35" s="1858"/>
      <c r="EG35" s="1858"/>
      <c r="EH35" s="1858"/>
      <c r="EI35" s="1858"/>
      <c r="EJ35" s="1858"/>
      <c r="EK35" s="1858"/>
      <c r="EL35" s="1858"/>
      <c r="EM35" s="1858"/>
      <c r="EN35" s="1858"/>
      <c r="EO35" s="1858"/>
      <c r="EP35" s="1858"/>
      <c r="EQ35" s="1858"/>
      <c r="ER35" s="1858"/>
      <c r="ES35" s="1858"/>
      <c r="ET35" s="1858"/>
      <c r="EU35" s="1858"/>
      <c r="EV35" s="1858"/>
      <c r="EW35" s="1858"/>
      <c r="EX35" s="1858"/>
      <c r="EY35" s="1858"/>
      <c r="EZ35" s="1858"/>
      <c r="FA35" s="1858"/>
      <c r="FB35" s="1858"/>
      <c r="FC35" s="1858"/>
      <c r="FD35" s="1858"/>
      <c r="FE35" s="1858"/>
      <c r="FF35" s="1858"/>
      <c r="FG35" s="1858"/>
      <c r="FH35" s="1858"/>
      <c r="FI35" s="1858"/>
      <c r="FJ35" s="1858"/>
      <c r="FK35" s="1858"/>
      <c r="FL35" s="1858"/>
      <c r="FM35" s="1858"/>
      <c r="FN35" s="1858"/>
      <c r="FO35" s="1858"/>
      <c r="FP35" s="1858"/>
      <c r="FQ35" s="1858"/>
      <c r="FR35" s="1858"/>
      <c r="FS35" s="1858"/>
      <c r="FT35" s="1858"/>
      <c r="FU35" s="1858"/>
      <c r="FV35" s="1858"/>
      <c r="FW35" s="1858"/>
      <c r="FX35" s="1858"/>
      <c r="FY35" s="1858"/>
      <c r="FZ35" s="1858"/>
      <c r="GA35" s="1858"/>
      <c r="GB35" s="1858"/>
      <c r="GC35" s="1858"/>
      <c r="GD35" s="1858"/>
      <c r="GE35" s="1858"/>
      <c r="GF35" s="1858"/>
      <c r="GG35" s="1858"/>
      <c r="GH35" s="1858"/>
      <c r="GI35" s="1858"/>
      <c r="GJ35" s="1858"/>
      <c r="GK35" s="1858"/>
      <c r="GL35" s="1858"/>
      <c r="GM35" s="1858"/>
      <c r="GN35" s="1858"/>
      <c r="GO35" s="1858"/>
      <c r="GP35" s="1858"/>
      <c r="GQ35" s="1858"/>
      <c r="GR35" s="1858"/>
      <c r="GS35" s="1858"/>
      <c r="GT35" s="1858"/>
      <c r="GU35" s="1858"/>
      <c r="GV35" s="1858"/>
      <c r="GW35" s="1858"/>
      <c r="GX35" s="1858"/>
      <c r="GY35" s="1858"/>
      <c r="GZ35" s="1858"/>
      <c r="HA35" s="1858"/>
      <c r="HB35" s="1858"/>
      <c r="HC35" s="1858"/>
      <c r="HD35" s="1858"/>
      <c r="HE35" s="1858"/>
      <c r="HF35" s="1858"/>
      <c r="HG35" s="1858"/>
      <c r="HH35" s="1858"/>
      <c r="HI35" s="1858"/>
      <c r="HJ35" s="1858"/>
      <c r="HK35" s="1858"/>
      <c r="HL35" s="1858"/>
      <c r="HM35" s="1858"/>
      <c r="HN35" s="1858"/>
      <c r="HO35" s="1858"/>
      <c r="HP35" s="1858"/>
      <c r="HQ35" s="1858"/>
      <c r="HR35" s="1858"/>
      <c r="HS35" s="1858"/>
      <c r="HT35" s="1858"/>
      <c r="HU35" s="1858"/>
      <c r="HV35" s="1858"/>
    </row>
    <row r="36" spans="1:230" s="1902" customFormat="1" ht="12" customHeight="1">
      <c r="A36" s="1930"/>
      <c r="B36" s="1939" t="s">
        <v>1254</v>
      </c>
      <c r="C36" s="1932"/>
      <c r="D36" s="1932">
        <v>17</v>
      </c>
      <c r="E36" s="1932">
        <v>8.3</v>
      </c>
      <c r="F36" s="1932"/>
      <c r="G36" s="1932"/>
      <c r="H36" s="1932"/>
      <c r="I36" s="1933"/>
      <c r="J36" s="1933"/>
      <c r="K36" s="1934"/>
      <c r="L36" s="1935"/>
      <c r="M36" s="1901"/>
      <c r="N36" s="1901"/>
      <c r="O36" s="1901"/>
      <c r="P36" s="1901"/>
      <c r="Q36" s="1901"/>
      <c r="R36" s="1901"/>
      <c r="S36" s="1901"/>
      <c r="T36" s="1901"/>
      <c r="U36" s="1901"/>
      <c r="V36" s="1901"/>
      <c r="W36" s="1901"/>
      <c r="X36" s="1901"/>
      <c r="Y36" s="1901"/>
      <c r="Z36" s="1901"/>
      <c r="AA36" s="1901"/>
      <c r="AB36" s="1901"/>
      <c r="AC36" s="1901"/>
      <c r="AD36" s="1901"/>
      <c r="AE36" s="1901"/>
      <c r="AF36" s="1901"/>
      <c r="AG36" s="1901"/>
      <c r="AH36" s="1901"/>
      <c r="AI36" s="1901"/>
      <c r="AJ36" s="1901"/>
      <c r="AK36" s="1901"/>
      <c r="AL36" s="1901"/>
      <c r="AM36" s="1901"/>
      <c r="AN36" s="1901"/>
      <c r="AO36" s="1901"/>
      <c r="AP36" s="1901"/>
      <c r="AQ36" s="1901"/>
      <c r="AR36" s="1901"/>
      <c r="AS36" s="1901"/>
      <c r="AT36" s="1901"/>
      <c r="AU36" s="1901"/>
      <c r="AV36" s="1901"/>
      <c r="AW36" s="1901"/>
      <c r="AX36" s="1901"/>
      <c r="AY36" s="1901"/>
      <c r="AZ36" s="1901"/>
      <c r="BA36" s="1901"/>
      <c r="BB36" s="1901"/>
      <c r="BC36" s="1901"/>
      <c r="BD36" s="1901"/>
      <c r="BE36" s="1901"/>
      <c r="BF36" s="1901"/>
      <c r="BG36" s="1901"/>
      <c r="BH36" s="1901"/>
      <c r="BI36" s="1901"/>
      <c r="BJ36" s="1901"/>
      <c r="BK36" s="1901"/>
      <c r="BL36" s="1901"/>
      <c r="BM36" s="1901"/>
      <c r="BN36" s="1901"/>
      <c r="BO36" s="1901"/>
      <c r="BP36" s="1901"/>
      <c r="BQ36" s="1901"/>
      <c r="BR36" s="1901"/>
      <c r="BS36" s="1901"/>
      <c r="BT36" s="1901"/>
      <c r="BU36" s="1901"/>
      <c r="BV36" s="1901"/>
      <c r="BW36" s="1901"/>
      <c r="BX36" s="1901"/>
      <c r="BY36" s="1901"/>
      <c r="BZ36" s="1901"/>
      <c r="CA36" s="1901"/>
      <c r="CB36" s="1901"/>
      <c r="CC36" s="1901"/>
      <c r="CD36" s="1901"/>
      <c r="CE36" s="1901"/>
      <c r="CF36" s="1901"/>
      <c r="CG36" s="1901"/>
      <c r="CH36" s="1901"/>
      <c r="CI36" s="1901"/>
      <c r="CJ36" s="1901"/>
      <c r="CK36" s="1901"/>
      <c r="CL36" s="1901"/>
      <c r="CM36" s="1901"/>
      <c r="CN36" s="1901"/>
      <c r="CO36" s="1901"/>
      <c r="CP36" s="1901"/>
      <c r="CQ36" s="1901"/>
      <c r="CR36" s="1901"/>
      <c r="CS36" s="1901"/>
      <c r="CT36" s="1901"/>
      <c r="CU36" s="1901"/>
      <c r="CV36" s="1901"/>
      <c r="CW36" s="1901"/>
      <c r="CX36" s="1901"/>
      <c r="CY36" s="1901"/>
      <c r="CZ36" s="1901"/>
      <c r="DA36" s="1901"/>
      <c r="DB36" s="1901"/>
      <c r="DC36" s="1901"/>
      <c r="DD36" s="1901"/>
      <c r="DE36" s="1901"/>
      <c r="DF36" s="1901"/>
      <c r="DG36" s="1901"/>
      <c r="DH36" s="1901"/>
      <c r="DI36" s="1901"/>
      <c r="DJ36" s="1901"/>
      <c r="DK36" s="1901"/>
      <c r="DL36" s="1901"/>
      <c r="DM36" s="1901"/>
      <c r="DN36" s="1901"/>
      <c r="DO36" s="1901"/>
      <c r="DP36" s="1901"/>
      <c r="DQ36" s="1901"/>
      <c r="DR36" s="1901"/>
      <c r="DS36" s="1901"/>
      <c r="DT36" s="1901"/>
      <c r="DU36" s="1901"/>
      <c r="DV36" s="1901"/>
      <c r="DW36" s="1901"/>
      <c r="DX36" s="1901"/>
      <c r="DY36" s="1901"/>
      <c r="DZ36" s="1901"/>
      <c r="EA36" s="1901"/>
      <c r="EB36" s="1901"/>
      <c r="EC36" s="1901"/>
      <c r="ED36" s="1901"/>
      <c r="EE36" s="1901"/>
      <c r="EF36" s="1901"/>
      <c r="EG36" s="1901"/>
      <c r="EH36" s="1901"/>
      <c r="EI36" s="1901"/>
      <c r="EJ36" s="1901"/>
      <c r="EK36" s="1901"/>
      <c r="EL36" s="1901"/>
      <c r="EM36" s="1901"/>
      <c r="EN36" s="1901"/>
      <c r="EO36" s="1901"/>
      <c r="EP36" s="1901"/>
      <c r="EQ36" s="1901"/>
      <c r="ER36" s="1901"/>
      <c r="ES36" s="1901"/>
      <c r="ET36" s="1901"/>
      <c r="EU36" s="1901"/>
      <c r="EV36" s="1901"/>
      <c r="EW36" s="1901"/>
      <c r="EX36" s="1901"/>
      <c r="EY36" s="1901"/>
      <c r="EZ36" s="1901"/>
      <c r="FA36" s="1901"/>
      <c r="FB36" s="1901"/>
      <c r="FC36" s="1901"/>
      <c r="FD36" s="1901"/>
      <c r="FE36" s="1901"/>
      <c r="FF36" s="1901"/>
      <c r="FG36" s="1901"/>
      <c r="FH36" s="1901"/>
      <c r="FI36" s="1901"/>
      <c r="FJ36" s="1901"/>
      <c r="FK36" s="1901"/>
      <c r="FL36" s="1901"/>
      <c r="FM36" s="1901"/>
      <c r="FN36" s="1901"/>
      <c r="FO36" s="1901"/>
      <c r="FP36" s="1901"/>
      <c r="FQ36" s="1901"/>
      <c r="FR36" s="1901"/>
      <c r="FS36" s="1901"/>
      <c r="FT36" s="1901"/>
      <c r="FU36" s="1901"/>
      <c r="FV36" s="1901"/>
      <c r="FW36" s="1901"/>
      <c r="FX36" s="1901"/>
      <c r="FY36" s="1901"/>
      <c r="FZ36" s="1901"/>
      <c r="GA36" s="1901"/>
      <c r="GB36" s="1901"/>
      <c r="GC36" s="1901"/>
      <c r="GD36" s="1901"/>
      <c r="GE36" s="1901"/>
      <c r="GF36" s="1901"/>
      <c r="GG36" s="1901"/>
      <c r="GH36" s="1901"/>
      <c r="GI36" s="1901"/>
      <c r="GJ36" s="1901"/>
      <c r="GK36" s="1901"/>
      <c r="GL36" s="1901"/>
      <c r="GM36" s="1901"/>
      <c r="GN36" s="1901"/>
      <c r="GO36" s="1901"/>
      <c r="GP36" s="1901"/>
      <c r="GQ36" s="1901"/>
      <c r="GR36" s="1901"/>
      <c r="GS36" s="1901"/>
      <c r="GT36" s="1901"/>
      <c r="GU36" s="1901"/>
      <c r="GV36" s="1901"/>
      <c r="GW36" s="1901"/>
      <c r="GX36" s="1901"/>
      <c r="GY36" s="1901"/>
      <c r="GZ36" s="1901"/>
      <c r="HA36" s="1901"/>
      <c r="HB36" s="1901"/>
      <c r="HC36" s="1901"/>
      <c r="HD36" s="1901"/>
      <c r="HE36" s="1901"/>
      <c r="HF36" s="1901"/>
      <c r="HG36" s="1901"/>
      <c r="HH36" s="1901"/>
      <c r="HI36" s="1901"/>
      <c r="HJ36" s="1901"/>
      <c r="HK36" s="1901"/>
      <c r="HL36" s="1901"/>
      <c r="HM36" s="1901"/>
      <c r="HN36" s="1901"/>
      <c r="HO36" s="1901"/>
      <c r="HP36" s="1901"/>
      <c r="HQ36" s="1901"/>
      <c r="HR36" s="1901"/>
      <c r="HS36" s="1901"/>
      <c r="HT36" s="1901"/>
      <c r="HU36" s="1901"/>
      <c r="HV36" s="1901"/>
    </row>
    <row r="37" spans="1:230" s="1944" customFormat="1" ht="29.25" customHeight="1">
      <c r="A37" s="1888" t="s">
        <v>1389</v>
      </c>
      <c r="B37" s="1889" t="s">
        <v>1255</v>
      </c>
      <c r="C37" s="1854">
        <v>1330.4</v>
      </c>
      <c r="D37" s="1854">
        <v>435.2</v>
      </c>
      <c r="E37" s="1854">
        <v>422.2</v>
      </c>
      <c r="F37" s="1854">
        <v>473</v>
      </c>
      <c r="G37" s="1854"/>
      <c r="H37" s="1854"/>
      <c r="I37" s="1940"/>
      <c r="J37" s="1940"/>
      <c r="K37" s="1941"/>
      <c r="L37" s="1942"/>
      <c r="M37" s="1943"/>
      <c r="N37" s="1943"/>
      <c r="O37" s="1943"/>
      <c r="P37" s="1943"/>
      <c r="Q37" s="1943"/>
      <c r="R37" s="1943"/>
      <c r="S37" s="1943"/>
      <c r="T37" s="1943"/>
      <c r="U37" s="1943"/>
      <c r="V37" s="1943"/>
      <c r="W37" s="1943"/>
      <c r="X37" s="1943"/>
      <c r="Y37" s="1943"/>
      <c r="Z37" s="1943"/>
      <c r="AA37" s="1943"/>
      <c r="AB37" s="1943"/>
      <c r="AC37" s="1943"/>
      <c r="AD37" s="1943"/>
      <c r="AE37" s="1943"/>
      <c r="AF37" s="1943"/>
      <c r="AG37" s="1943"/>
      <c r="AH37" s="1943"/>
      <c r="AI37" s="1943"/>
      <c r="AJ37" s="1943"/>
      <c r="AK37" s="1943"/>
      <c r="AL37" s="1943"/>
      <c r="AM37" s="1943"/>
      <c r="AN37" s="1943"/>
      <c r="AO37" s="1943"/>
      <c r="AP37" s="1943"/>
      <c r="AQ37" s="1943"/>
      <c r="AR37" s="1943"/>
      <c r="AS37" s="1943"/>
      <c r="AT37" s="1943"/>
      <c r="AU37" s="1943"/>
      <c r="AV37" s="1943"/>
      <c r="AW37" s="1943"/>
      <c r="AX37" s="1943"/>
      <c r="AY37" s="1943"/>
      <c r="AZ37" s="1943"/>
      <c r="BA37" s="1943"/>
      <c r="BB37" s="1943"/>
      <c r="BC37" s="1943"/>
      <c r="BD37" s="1943"/>
      <c r="BE37" s="1943"/>
      <c r="BF37" s="1943"/>
      <c r="BG37" s="1943"/>
      <c r="BH37" s="1943"/>
      <c r="BI37" s="1943"/>
      <c r="BJ37" s="1943"/>
      <c r="BK37" s="1943"/>
      <c r="BL37" s="1943"/>
      <c r="BM37" s="1943"/>
      <c r="BN37" s="1943"/>
      <c r="BO37" s="1943"/>
      <c r="BP37" s="1943"/>
      <c r="BQ37" s="1943"/>
      <c r="BR37" s="1943"/>
      <c r="BS37" s="1943"/>
      <c r="BT37" s="1943"/>
      <c r="BU37" s="1943"/>
      <c r="BV37" s="1943"/>
      <c r="BW37" s="1943"/>
      <c r="BX37" s="1943"/>
      <c r="BY37" s="1943"/>
      <c r="BZ37" s="1943"/>
      <c r="CA37" s="1943"/>
      <c r="CB37" s="1943"/>
      <c r="CC37" s="1943"/>
      <c r="CD37" s="1943"/>
      <c r="CE37" s="1943"/>
      <c r="CF37" s="1943"/>
      <c r="CG37" s="1943"/>
      <c r="CH37" s="1943"/>
      <c r="CI37" s="1943"/>
      <c r="CJ37" s="1943"/>
      <c r="CK37" s="1943"/>
      <c r="CL37" s="1943"/>
      <c r="CM37" s="1943"/>
      <c r="CN37" s="1943"/>
      <c r="CO37" s="1943"/>
      <c r="CP37" s="1943"/>
      <c r="CQ37" s="1943"/>
      <c r="CR37" s="1943"/>
      <c r="CS37" s="1943"/>
      <c r="CT37" s="1943"/>
      <c r="CU37" s="1943"/>
      <c r="CV37" s="1943"/>
      <c r="CW37" s="1943"/>
      <c r="CX37" s="1943"/>
      <c r="CY37" s="1943"/>
      <c r="CZ37" s="1943"/>
      <c r="DA37" s="1943"/>
      <c r="DB37" s="1943"/>
      <c r="DC37" s="1943"/>
      <c r="DD37" s="1943"/>
      <c r="DE37" s="1943"/>
      <c r="DF37" s="1943"/>
      <c r="DG37" s="1943"/>
      <c r="DH37" s="1943"/>
      <c r="DI37" s="1943"/>
      <c r="DJ37" s="1943"/>
      <c r="DK37" s="1943"/>
      <c r="DL37" s="1943"/>
      <c r="DM37" s="1943"/>
      <c r="DN37" s="1943"/>
      <c r="DO37" s="1943"/>
      <c r="DP37" s="1943"/>
      <c r="DQ37" s="1943"/>
      <c r="DR37" s="1943"/>
      <c r="DS37" s="1943"/>
      <c r="DT37" s="1943"/>
      <c r="DU37" s="1943"/>
      <c r="DV37" s="1943"/>
      <c r="DW37" s="1943"/>
      <c r="DX37" s="1943"/>
      <c r="DY37" s="1943"/>
      <c r="DZ37" s="1943"/>
      <c r="EA37" s="1943"/>
      <c r="EB37" s="1943"/>
      <c r="EC37" s="1943"/>
      <c r="ED37" s="1943"/>
      <c r="EE37" s="1943"/>
      <c r="EF37" s="1943"/>
      <c r="EG37" s="1943"/>
      <c r="EH37" s="1943"/>
      <c r="EI37" s="1943"/>
      <c r="EJ37" s="1943"/>
      <c r="EK37" s="1943"/>
      <c r="EL37" s="1943"/>
      <c r="EM37" s="1943"/>
      <c r="EN37" s="1943"/>
      <c r="EO37" s="1943"/>
      <c r="EP37" s="1943"/>
      <c r="EQ37" s="1943"/>
      <c r="ER37" s="1943"/>
      <c r="ES37" s="1943"/>
      <c r="ET37" s="1943"/>
      <c r="EU37" s="1943"/>
      <c r="EV37" s="1943"/>
      <c r="EW37" s="1943"/>
      <c r="EX37" s="1943"/>
      <c r="EY37" s="1943"/>
      <c r="EZ37" s="1943"/>
      <c r="FA37" s="1943"/>
      <c r="FB37" s="1943"/>
      <c r="FC37" s="1943"/>
      <c r="FD37" s="1943"/>
      <c r="FE37" s="1943"/>
      <c r="FF37" s="1943"/>
      <c r="FG37" s="1943"/>
      <c r="FH37" s="1943"/>
      <c r="FI37" s="1943"/>
      <c r="FJ37" s="1943"/>
      <c r="FK37" s="1943"/>
      <c r="FL37" s="1943"/>
      <c r="FM37" s="1943"/>
      <c r="FN37" s="1943"/>
      <c r="FO37" s="1943"/>
      <c r="FP37" s="1943"/>
      <c r="FQ37" s="1943"/>
      <c r="FR37" s="1943"/>
      <c r="FS37" s="1943"/>
      <c r="FT37" s="1943"/>
      <c r="FU37" s="1943"/>
      <c r="FV37" s="1943"/>
      <c r="FW37" s="1943"/>
      <c r="FX37" s="1943"/>
      <c r="FY37" s="1943"/>
      <c r="FZ37" s="1943"/>
      <c r="GA37" s="1943"/>
      <c r="GB37" s="1943"/>
      <c r="GC37" s="1943"/>
      <c r="GD37" s="1943"/>
      <c r="GE37" s="1943"/>
      <c r="GF37" s="1943"/>
      <c r="GG37" s="1943"/>
      <c r="GH37" s="1943"/>
      <c r="GI37" s="1943"/>
      <c r="GJ37" s="1943"/>
      <c r="GK37" s="1943"/>
      <c r="GL37" s="1943"/>
      <c r="GM37" s="1943"/>
      <c r="GN37" s="1943"/>
      <c r="GO37" s="1943"/>
      <c r="GP37" s="1943"/>
      <c r="GQ37" s="1943"/>
      <c r="GR37" s="1943"/>
      <c r="GS37" s="1943"/>
      <c r="GT37" s="1943"/>
      <c r="GU37" s="1943"/>
      <c r="GV37" s="1943"/>
      <c r="GW37" s="1943"/>
      <c r="GX37" s="1943"/>
      <c r="GY37" s="1943"/>
      <c r="GZ37" s="1943"/>
      <c r="HA37" s="1943"/>
      <c r="HB37" s="1943"/>
      <c r="HC37" s="1943"/>
      <c r="HD37" s="1943"/>
      <c r="HE37" s="1943"/>
      <c r="HF37" s="1943"/>
      <c r="HG37" s="1943"/>
      <c r="HH37" s="1943"/>
      <c r="HI37" s="1943"/>
      <c r="HJ37" s="1943"/>
      <c r="HK37" s="1943"/>
      <c r="HL37" s="1943"/>
      <c r="HM37" s="1943"/>
      <c r="HN37" s="1943"/>
      <c r="HO37" s="1943"/>
      <c r="HP37" s="1943"/>
      <c r="HQ37" s="1943"/>
      <c r="HR37" s="1943"/>
      <c r="HS37" s="1943"/>
      <c r="HT37" s="1943"/>
      <c r="HU37" s="1943"/>
      <c r="HV37" s="1943"/>
    </row>
    <row r="38" spans="1:230" s="1897" customFormat="1" ht="10.5" customHeight="1">
      <c r="A38" s="1930"/>
      <c r="B38" s="1939" t="s">
        <v>1254</v>
      </c>
      <c r="C38" s="1932"/>
      <c r="D38" s="1932">
        <v>35.3</v>
      </c>
      <c r="E38" s="1932">
        <v>23.9</v>
      </c>
      <c r="F38" s="1932">
        <v>11.6</v>
      </c>
      <c r="G38" s="1932"/>
      <c r="H38" s="1932"/>
      <c r="I38" s="1933"/>
      <c r="J38" s="1933"/>
      <c r="K38" s="1934"/>
      <c r="L38" s="1935"/>
      <c r="M38" s="1901"/>
      <c r="N38" s="1901"/>
      <c r="O38" s="1901"/>
      <c r="P38" s="1901"/>
      <c r="Q38" s="1901"/>
      <c r="R38" s="1901"/>
      <c r="S38" s="1901"/>
      <c r="T38" s="1901"/>
      <c r="U38" s="1901"/>
      <c r="V38" s="1901"/>
      <c r="W38" s="1901"/>
      <c r="X38" s="1901"/>
      <c r="Y38" s="1901"/>
      <c r="Z38" s="1901"/>
      <c r="AA38" s="1901"/>
      <c r="AB38" s="1901"/>
      <c r="AC38" s="1901"/>
      <c r="AD38" s="1901"/>
      <c r="AE38" s="1901"/>
      <c r="AF38" s="1901"/>
      <c r="AG38" s="1901"/>
      <c r="AH38" s="1901"/>
      <c r="AI38" s="1901"/>
      <c r="AJ38" s="1901"/>
      <c r="AK38" s="1901"/>
      <c r="AL38" s="1901"/>
      <c r="AM38" s="1901"/>
      <c r="AN38" s="1901"/>
      <c r="AO38" s="1901"/>
      <c r="AP38" s="1901"/>
      <c r="AQ38" s="1901"/>
      <c r="AR38" s="1901"/>
      <c r="AS38" s="1901"/>
      <c r="AT38" s="1901"/>
      <c r="AU38" s="1901"/>
      <c r="AV38" s="1901"/>
      <c r="AW38" s="1901"/>
      <c r="AX38" s="1901"/>
      <c r="AY38" s="1901"/>
      <c r="AZ38" s="1901"/>
      <c r="BA38" s="1901"/>
      <c r="BB38" s="1901"/>
      <c r="BC38" s="1901"/>
      <c r="BD38" s="1901"/>
      <c r="BE38" s="1901"/>
      <c r="BF38" s="1901"/>
      <c r="BG38" s="1901"/>
      <c r="BH38" s="1901"/>
      <c r="BI38" s="1901"/>
      <c r="BJ38" s="1901"/>
      <c r="BK38" s="1901"/>
      <c r="BL38" s="1901"/>
      <c r="BM38" s="1901"/>
      <c r="BN38" s="1901"/>
      <c r="BO38" s="1901"/>
      <c r="BP38" s="1901"/>
      <c r="BQ38" s="1901"/>
      <c r="BR38" s="1901"/>
      <c r="BS38" s="1901"/>
      <c r="BT38" s="1901"/>
      <c r="BU38" s="1901"/>
      <c r="BV38" s="1901"/>
      <c r="BW38" s="1901"/>
      <c r="BX38" s="1901"/>
      <c r="BY38" s="1901"/>
      <c r="BZ38" s="1901"/>
      <c r="CA38" s="1901"/>
      <c r="CB38" s="1901"/>
      <c r="CC38" s="1901"/>
      <c r="CD38" s="1901"/>
      <c r="CE38" s="1901"/>
      <c r="CF38" s="1901"/>
      <c r="CG38" s="1901"/>
      <c r="CH38" s="1901"/>
      <c r="CI38" s="1901"/>
      <c r="CJ38" s="1901"/>
      <c r="CK38" s="1901"/>
      <c r="CL38" s="1901"/>
      <c r="CM38" s="1901"/>
      <c r="CN38" s="1901"/>
      <c r="CO38" s="1901"/>
      <c r="CP38" s="1901"/>
      <c r="CQ38" s="1901"/>
      <c r="CR38" s="1901"/>
      <c r="CS38" s="1901"/>
      <c r="CT38" s="1901"/>
      <c r="CU38" s="1901"/>
      <c r="CV38" s="1901"/>
      <c r="CW38" s="1901"/>
      <c r="CX38" s="1901"/>
      <c r="CY38" s="1901"/>
      <c r="CZ38" s="1901"/>
      <c r="DA38" s="1901"/>
      <c r="DB38" s="1901"/>
      <c r="DC38" s="1901"/>
      <c r="DD38" s="1901"/>
      <c r="DE38" s="1901"/>
      <c r="DF38" s="1901"/>
      <c r="DG38" s="1901"/>
      <c r="DH38" s="1901"/>
      <c r="DI38" s="1901"/>
      <c r="DJ38" s="1901"/>
      <c r="DK38" s="1901"/>
      <c r="DL38" s="1901"/>
      <c r="DM38" s="1901"/>
      <c r="DN38" s="1901"/>
      <c r="DO38" s="1901"/>
      <c r="DP38" s="1901"/>
      <c r="DQ38" s="1901"/>
      <c r="DR38" s="1901"/>
      <c r="DS38" s="1901"/>
      <c r="DT38" s="1901"/>
      <c r="DU38" s="1901"/>
      <c r="DV38" s="1901"/>
      <c r="DW38" s="1901"/>
      <c r="DX38" s="1901"/>
      <c r="DY38" s="1901"/>
      <c r="DZ38" s="1901"/>
      <c r="EA38" s="1901"/>
      <c r="EB38" s="1901"/>
      <c r="EC38" s="1901"/>
      <c r="ED38" s="1901"/>
      <c r="EE38" s="1901"/>
      <c r="EF38" s="1901"/>
      <c r="EG38" s="1901"/>
      <c r="EH38" s="1901"/>
      <c r="EI38" s="1901"/>
      <c r="EJ38" s="1901"/>
      <c r="EK38" s="1901"/>
      <c r="EL38" s="1901"/>
      <c r="EM38" s="1901"/>
      <c r="EN38" s="1901"/>
      <c r="EO38" s="1901"/>
      <c r="EP38" s="1901"/>
      <c r="EQ38" s="1901"/>
      <c r="ER38" s="1901"/>
      <c r="ES38" s="1901"/>
      <c r="ET38" s="1901"/>
      <c r="EU38" s="1901"/>
      <c r="EV38" s="1901"/>
      <c r="EW38" s="1901"/>
      <c r="EX38" s="1901"/>
      <c r="EY38" s="1901"/>
      <c r="EZ38" s="1901"/>
      <c r="FA38" s="1901"/>
      <c r="FB38" s="1901"/>
      <c r="FC38" s="1901"/>
      <c r="FD38" s="1901"/>
      <c r="FE38" s="1901"/>
      <c r="FF38" s="1901"/>
      <c r="FG38" s="1901"/>
      <c r="FH38" s="1901"/>
      <c r="FI38" s="1901"/>
      <c r="FJ38" s="1901"/>
      <c r="FK38" s="1901"/>
      <c r="FL38" s="1901"/>
      <c r="FM38" s="1901"/>
      <c r="FN38" s="1901"/>
      <c r="FO38" s="1901"/>
      <c r="FP38" s="1901"/>
      <c r="FQ38" s="1901"/>
      <c r="FR38" s="1901"/>
      <c r="FS38" s="1901"/>
      <c r="FT38" s="1901"/>
      <c r="FU38" s="1901"/>
      <c r="FV38" s="1901"/>
      <c r="FW38" s="1901"/>
      <c r="FX38" s="1901"/>
      <c r="FY38" s="1901"/>
      <c r="FZ38" s="1901"/>
      <c r="GA38" s="1901"/>
      <c r="GB38" s="1901"/>
      <c r="GC38" s="1901"/>
      <c r="GD38" s="1901"/>
      <c r="GE38" s="1901"/>
      <c r="GF38" s="1901"/>
      <c r="GG38" s="1901"/>
      <c r="GH38" s="1901"/>
      <c r="GI38" s="1901"/>
      <c r="GJ38" s="1901"/>
      <c r="GK38" s="1901"/>
      <c r="GL38" s="1901"/>
      <c r="GM38" s="1901"/>
      <c r="GN38" s="1901"/>
      <c r="GO38" s="1901"/>
      <c r="GP38" s="1901"/>
      <c r="GQ38" s="1901"/>
      <c r="GR38" s="1901"/>
      <c r="GS38" s="1901"/>
      <c r="GT38" s="1901"/>
      <c r="GU38" s="1901"/>
      <c r="GV38" s="1901"/>
      <c r="GW38" s="1901"/>
      <c r="GX38" s="1901"/>
      <c r="GY38" s="1901"/>
      <c r="GZ38" s="1901"/>
      <c r="HA38" s="1901"/>
      <c r="HB38" s="1901"/>
      <c r="HC38" s="1901"/>
      <c r="HD38" s="1901"/>
      <c r="HE38" s="1901"/>
      <c r="HF38" s="1901"/>
      <c r="HG38" s="1901"/>
      <c r="HH38" s="1901"/>
      <c r="HI38" s="1901"/>
      <c r="HJ38" s="1901"/>
      <c r="HK38" s="1901"/>
      <c r="HL38" s="1901"/>
      <c r="HM38" s="1901"/>
      <c r="HN38" s="1901"/>
      <c r="HO38" s="1901"/>
      <c r="HP38" s="1901"/>
      <c r="HQ38" s="1901"/>
      <c r="HR38" s="1901"/>
      <c r="HS38" s="1901"/>
      <c r="HT38" s="1901"/>
      <c r="HU38" s="1901"/>
      <c r="HV38" s="1901"/>
    </row>
    <row r="39" spans="1:230" s="1893" customFormat="1" ht="22.5" customHeight="1">
      <c r="A39" s="1888" t="s">
        <v>1395</v>
      </c>
      <c r="B39" s="1889" t="s">
        <v>1256</v>
      </c>
      <c r="C39" s="1854">
        <v>750</v>
      </c>
      <c r="D39" s="1854">
        <v>750</v>
      </c>
      <c r="E39" s="1854"/>
      <c r="F39" s="1854"/>
      <c r="G39" s="1854"/>
      <c r="H39" s="1854"/>
      <c r="I39" s="1890"/>
      <c r="J39" s="1890"/>
      <c r="K39" s="1891"/>
      <c r="L39" s="1892"/>
      <c r="M39" s="1858"/>
      <c r="N39" s="1858"/>
      <c r="O39" s="1858"/>
      <c r="P39" s="1858"/>
      <c r="Q39" s="1858"/>
      <c r="R39" s="1858"/>
      <c r="S39" s="1858"/>
      <c r="T39" s="1858"/>
      <c r="U39" s="1858"/>
      <c r="V39" s="1858"/>
      <c r="W39" s="1858"/>
      <c r="X39" s="1858"/>
      <c r="Y39" s="1858"/>
      <c r="Z39" s="1858"/>
      <c r="AA39" s="1858"/>
      <c r="AB39" s="1858"/>
      <c r="AC39" s="1858"/>
      <c r="AD39" s="1858"/>
      <c r="AE39" s="1858"/>
      <c r="AF39" s="1858"/>
      <c r="AG39" s="1858"/>
      <c r="AH39" s="1858"/>
      <c r="AI39" s="1858"/>
      <c r="AJ39" s="1858"/>
      <c r="AK39" s="1858"/>
      <c r="AL39" s="1858"/>
      <c r="AM39" s="1858"/>
      <c r="AN39" s="1858"/>
      <c r="AO39" s="1858"/>
      <c r="AP39" s="1858"/>
      <c r="AQ39" s="1858"/>
      <c r="AR39" s="1858"/>
      <c r="AS39" s="1858"/>
      <c r="AT39" s="1858"/>
      <c r="AU39" s="1858"/>
      <c r="AV39" s="1858"/>
      <c r="AW39" s="1858"/>
      <c r="AX39" s="1858"/>
      <c r="AY39" s="1858"/>
      <c r="AZ39" s="1858"/>
      <c r="BA39" s="1858"/>
      <c r="BB39" s="1858"/>
      <c r="BC39" s="1858"/>
      <c r="BD39" s="1858"/>
      <c r="BE39" s="1858"/>
      <c r="BF39" s="1858"/>
      <c r="BG39" s="1858"/>
      <c r="BH39" s="1858"/>
      <c r="BI39" s="1858"/>
      <c r="BJ39" s="1858"/>
      <c r="BK39" s="1858"/>
      <c r="BL39" s="1858"/>
      <c r="BM39" s="1858"/>
      <c r="BN39" s="1858"/>
      <c r="BO39" s="1858"/>
      <c r="BP39" s="1858"/>
      <c r="BQ39" s="1858"/>
      <c r="BR39" s="1858"/>
      <c r="BS39" s="1858"/>
      <c r="BT39" s="1858"/>
      <c r="BU39" s="1858"/>
      <c r="BV39" s="1858"/>
      <c r="BW39" s="1858"/>
      <c r="BX39" s="1858"/>
      <c r="BY39" s="1858"/>
      <c r="BZ39" s="1858"/>
      <c r="CA39" s="1858"/>
      <c r="CB39" s="1858"/>
      <c r="CC39" s="1858"/>
      <c r="CD39" s="1858"/>
      <c r="CE39" s="1858"/>
      <c r="CF39" s="1858"/>
      <c r="CG39" s="1858"/>
      <c r="CH39" s="1858"/>
      <c r="CI39" s="1858"/>
      <c r="CJ39" s="1858"/>
      <c r="CK39" s="1858"/>
      <c r="CL39" s="1858"/>
      <c r="CM39" s="1858"/>
      <c r="CN39" s="1858"/>
      <c r="CO39" s="1858"/>
      <c r="CP39" s="1858"/>
      <c r="CQ39" s="1858"/>
      <c r="CR39" s="1858"/>
      <c r="CS39" s="1858"/>
      <c r="CT39" s="1858"/>
      <c r="CU39" s="1858"/>
      <c r="CV39" s="1858"/>
      <c r="CW39" s="1858"/>
      <c r="CX39" s="1858"/>
      <c r="CY39" s="1858"/>
      <c r="CZ39" s="1858"/>
      <c r="DA39" s="1858"/>
      <c r="DB39" s="1858"/>
      <c r="DC39" s="1858"/>
      <c r="DD39" s="1858"/>
      <c r="DE39" s="1858"/>
      <c r="DF39" s="1858"/>
      <c r="DG39" s="1858"/>
      <c r="DH39" s="1858"/>
      <c r="DI39" s="1858"/>
      <c r="DJ39" s="1858"/>
      <c r="DK39" s="1858"/>
      <c r="DL39" s="1858"/>
      <c r="DM39" s="1858"/>
      <c r="DN39" s="1858"/>
      <c r="DO39" s="1858"/>
      <c r="DP39" s="1858"/>
      <c r="DQ39" s="1858"/>
      <c r="DR39" s="1858"/>
      <c r="DS39" s="1858"/>
      <c r="DT39" s="1858"/>
      <c r="DU39" s="1858"/>
      <c r="DV39" s="1858"/>
      <c r="DW39" s="1858"/>
      <c r="DX39" s="1858"/>
      <c r="DY39" s="1858"/>
      <c r="DZ39" s="1858"/>
      <c r="EA39" s="1858"/>
      <c r="EB39" s="1858"/>
      <c r="EC39" s="1858"/>
      <c r="ED39" s="1858"/>
      <c r="EE39" s="1858"/>
      <c r="EF39" s="1858"/>
      <c r="EG39" s="1858"/>
      <c r="EH39" s="1858"/>
      <c r="EI39" s="1858"/>
      <c r="EJ39" s="1858"/>
      <c r="EK39" s="1858"/>
      <c r="EL39" s="1858"/>
      <c r="EM39" s="1858"/>
      <c r="EN39" s="1858"/>
      <c r="EO39" s="1858"/>
      <c r="EP39" s="1858"/>
      <c r="EQ39" s="1858"/>
      <c r="ER39" s="1858"/>
      <c r="ES39" s="1858"/>
      <c r="ET39" s="1858"/>
      <c r="EU39" s="1858"/>
      <c r="EV39" s="1858"/>
      <c r="EW39" s="1858"/>
      <c r="EX39" s="1858"/>
      <c r="EY39" s="1858"/>
      <c r="EZ39" s="1858"/>
      <c r="FA39" s="1858"/>
      <c r="FB39" s="1858"/>
      <c r="FC39" s="1858"/>
      <c r="FD39" s="1858"/>
      <c r="FE39" s="1858"/>
      <c r="FF39" s="1858"/>
      <c r="FG39" s="1858"/>
      <c r="FH39" s="1858"/>
      <c r="FI39" s="1858"/>
      <c r="FJ39" s="1858"/>
      <c r="FK39" s="1858"/>
      <c r="FL39" s="1858"/>
      <c r="FM39" s="1858"/>
      <c r="FN39" s="1858"/>
      <c r="FO39" s="1858"/>
      <c r="FP39" s="1858"/>
      <c r="FQ39" s="1858"/>
      <c r="FR39" s="1858"/>
      <c r="FS39" s="1858"/>
      <c r="FT39" s="1858"/>
      <c r="FU39" s="1858"/>
      <c r="FV39" s="1858"/>
      <c r="FW39" s="1858"/>
      <c r="FX39" s="1858"/>
      <c r="FY39" s="1858"/>
      <c r="FZ39" s="1858"/>
      <c r="GA39" s="1858"/>
      <c r="GB39" s="1858"/>
      <c r="GC39" s="1858"/>
      <c r="GD39" s="1858"/>
      <c r="GE39" s="1858"/>
      <c r="GF39" s="1858"/>
      <c r="GG39" s="1858"/>
      <c r="GH39" s="1858"/>
      <c r="GI39" s="1858"/>
      <c r="GJ39" s="1858"/>
      <c r="GK39" s="1858"/>
      <c r="GL39" s="1858"/>
      <c r="GM39" s="1858"/>
      <c r="GN39" s="1858"/>
      <c r="GO39" s="1858"/>
      <c r="GP39" s="1858"/>
      <c r="GQ39" s="1858"/>
      <c r="GR39" s="1858"/>
      <c r="GS39" s="1858"/>
      <c r="GT39" s="1858"/>
      <c r="GU39" s="1858"/>
      <c r="GV39" s="1858"/>
      <c r="GW39" s="1858"/>
      <c r="GX39" s="1858"/>
      <c r="GY39" s="1858"/>
      <c r="GZ39" s="1858"/>
      <c r="HA39" s="1858"/>
      <c r="HB39" s="1858"/>
      <c r="HC39" s="1858"/>
      <c r="HD39" s="1858"/>
      <c r="HE39" s="1858"/>
      <c r="HF39" s="1858"/>
      <c r="HG39" s="1858"/>
      <c r="HH39" s="1858"/>
      <c r="HI39" s="1858"/>
      <c r="HJ39" s="1858"/>
      <c r="HK39" s="1858"/>
      <c r="HL39" s="1858"/>
      <c r="HM39" s="1858"/>
      <c r="HN39" s="1858"/>
      <c r="HO39" s="1858"/>
      <c r="HP39" s="1858"/>
      <c r="HQ39" s="1858"/>
      <c r="HR39" s="1858"/>
      <c r="HS39" s="1858"/>
      <c r="HT39" s="1858"/>
      <c r="HU39" s="1858"/>
      <c r="HV39" s="1858"/>
    </row>
    <row r="40" spans="1:230" s="1902" customFormat="1" ht="9.75" customHeight="1">
      <c r="A40" s="1930"/>
      <c r="B40" s="1939" t="s">
        <v>1257</v>
      </c>
      <c r="C40" s="1932"/>
      <c r="D40" s="1932">
        <v>27.3</v>
      </c>
      <c r="E40" s="1932"/>
      <c r="F40" s="1932"/>
      <c r="G40" s="1932"/>
      <c r="H40" s="1932"/>
      <c r="I40" s="1933"/>
      <c r="J40" s="1933"/>
      <c r="K40" s="1934"/>
      <c r="L40" s="1935"/>
      <c r="M40" s="1901"/>
      <c r="N40" s="1901"/>
      <c r="O40" s="1901"/>
      <c r="P40" s="1901"/>
      <c r="Q40" s="1901"/>
      <c r="R40" s="1901"/>
      <c r="S40" s="1901"/>
      <c r="T40" s="1901"/>
      <c r="U40" s="1901"/>
      <c r="V40" s="1901"/>
      <c r="W40" s="1901"/>
      <c r="X40" s="1901"/>
      <c r="Y40" s="1901"/>
      <c r="Z40" s="1901"/>
      <c r="AA40" s="1901"/>
      <c r="AB40" s="1901"/>
      <c r="AC40" s="1901"/>
      <c r="AD40" s="1901"/>
      <c r="AE40" s="1901"/>
      <c r="AF40" s="1901"/>
      <c r="AG40" s="1901"/>
      <c r="AH40" s="1901"/>
      <c r="AI40" s="1901"/>
      <c r="AJ40" s="1901"/>
      <c r="AK40" s="1901"/>
      <c r="AL40" s="1901"/>
      <c r="AM40" s="1901"/>
      <c r="AN40" s="1901"/>
      <c r="AO40" s="1901"/>
      <c r="AP40" s="1901"/>
      <c r="AQ40" s="1901"/>
      <c r="AR40" s="1901"/>
      <c r="AS40" s="1901"/>
      <c r="AT40" s="1901"/>
      <c r="AU40" s="1901"/>
      <c r="AV40" s="1901"/>
      <c r="AW40" s="1901"/>
      <c r="AX40" s="1901"/>
      <c r="AY40" s="1901"/>
      <c r="AZ40" s="1901"/>
      <c r="BA40" s="1901"/>
      <c r="BB40" s="1901"/>
      <c r="BC40" s="1901"/>
      <c r="BD40" s="1901"/>
      <c r="BE40" s="1901"/>
      <c r="BF40" s="1901"/>
      <c r="BG40" s="1901"/>
      <c r="BH40" s="1901"/>
      <c r="BI40" s="1901"/>
      <c r="BJ40" s="1901"/>
      <c r="BK40" s="1901"/>
      <c r="BL40" s="1901"/>
      <c r="BM40" s="1901"/>
      <c r="BN40" s="1901"/>
      <c r="BO40" s="1901"/>
      <c r="BP40" s="1901"/>
      <c r="BQ40" s="1901"/>
      <c r="BR40" s="1901"/>
      <c r="BS40" s="1901"/>
      <c r="BT40" s="1901"/>
      <c r="BU40" s="1901"/>
      <c r="BV40" s="1901"/>
      <c r="BW40" s="1901"/>
      <c r="BX40" s="1901"/>
      <c r="BY40" s="1901"/>
      <c r="BZ40" s="1901"/>
      <c r="CA40" s="1901"/>
      <c r="CB40" s="1901"/>
      <c r="CC40" s="1901"/>
      <c r="CD40" s="1901"/>
      <c r="CE40" s="1901"/>
      <c r="CF40" s="1901"/>
      <c r="CG40" s="1901"/>
      <c r="CH40" s="1901"/>
      <c r="CI40" s="1901"/>
      <c r="CJ40" s="1901"/>
      <c r="CK40" s="1901"/>
      <c r="CL40" s="1901"/>
      <c r="CM40" s="1901"/>
      <c r="CN40" s="1901"/>
      <c r="CO40" s="1901"/>
      <c r="CP40" s="1901"/>
      <c r="CQ40" s="1901"/>
      <c r="CR40" s="1901"/>
      <c r="CS40" s="1901"/>
      <c r="CT40" s="1901"/>
      <c r="CU40" s="1901"/>
      <c r="CV40" s="1901"/>
      <c r="CW40" s="1901"/>
      <c r="CX40" s="1901"/>
      <c r="CY40" s="1901"/>
      <c r="CZ40" s="1901"/>
      <c r="DA40" s="1901"/>
      <c r="DB40" s="1901"/>
      <c r="DC40" s="1901"/>
      <c r="DD40" s="1901"/>
      <c r="DE40" s="1901"/>
      <c r="DF40" s="1901"/>
      <c r="DG40" s="1901"/>
      <c r="DH40" s="1901"/>
      <c r="DI40" s="1901"/>
      <c r="DJ40" s="1901"/>
      <c r="DK40" s="1901"/>
      <c r="DL40" s="1901"/>
      <c r="DM40" s="1901"/>
      <c r="DN40" s="1901"/>
      <c r="DO40" s="1901"/>
      <c r="DP40" s="1901"/>
      <c r="DQ40" s="1901"/>
      <c r="DR40" s="1901"/>
      <c r="DS40" s="1901"/>
      <c r="DT40" s="1901"/>
      <c r="DU40" s="1901"/>
      <c r="DV40" s="1901"/>
      <c r="DW40" s="1901"/>
      <c r="DX40" s="1901"/>
      <c r="DY40" s="1901"/>
      <c r="DZ40" s="1901"/>
      <c r="EA40" s="1901"/>
      <c r="EB40" s="1901"/>
      <c r="EC40" s="1901"/>
      <c r="ED40" s="1901"/>
      <c r="EE40" s="1901"/>
      <c r="EF40" s="1901"/>
      <c r="EG40" s="1901"/>
      <c r="EH40" s="1901"/>
      <c r="EI40" s="1901"/>
      <c r="EJ40" s="1901"/>
      <c r="EK40" s="1901"/>
      <c r="EL40" s="1901"/>
      <c r="EM40" s="1901"/>
      <c r="EN40" s="1901"/>
      <c r="EO40" s="1901"/>
      <c r="EP40" s="1901"/>
      <c r="EQ40" s="1901"/>
      <c r="ER40" s="1901"/>
      <c r="ES40" s="1901"/>
      <c r="ET40" s="1901"/>
      <c r="EU40" s="1901"/>
      <c r="EV40" s="1901"/>
      <c r="EW40" s="1901"/>
      <c r="EX40" s="1901"/>
      <c r="EY40" s="1901"/>
      <c r="EZ40" s="1901"/>
      <c r="FA40" s="1901"/>
      <c r="FB40" s="1901"/>
      <c r="FC40" s="1901"/>
      <c r="FD40" s="1901"/>
      <c r="FE40" s="1901"/>
      <c r="FF40" s="1901"/>
      <c r="FG40" s="1901"/>
      <c r="FH40" s="1901"/>
      <c r="FI40" s="1901"/>
      <c r="FJ40" s="1901"/>
      <c r="FK40" s="1901"/>
      <c r="FL40" s="1901"/>
      <c r="FM40" s="1901"/>
      <c r="FN40" s="1901"/>
      <c r="FO40" s="1901"/>
      <c r="FP40" s="1901"/>
      <c r="FQ40" s="1901"/>
      <c r="FR40" s="1901"/>
      <c r="FS40" s="1901"/>
      <c r="FT40" s="1901"/>
      <c r="FU40" s="1901"/>
      <c r="FV40" s="1901"/>
      <c r="FW40" s="1901"/>
      <c r="FX40" s="1901"/>
      <c r="FY40" s="1901"/>
      <c r="FZ40" s="1901"/>
      <c r="GA40" s="1901"/>
      <c r="GB40" s="1901"/>
      <c r="GC40" s="1901"/>
      <c r="GD40" s="1901"/>
      <c r="GE40" s="1901"/>
      <c r="GF40" s="1901"/>
      <c r="GG40" s="1901"/>
      <c r="GH40" s="1901"/>
      <c r="GI40" s="1901"/>
      <c r="GJ40" s="1901"/>
      <c r="GK40" s="1901"/>
      <c r="GL40" s="1901"/>
      <c r="GM40" s="1901"/>
      <c r="GN40" s="1901"/>
      <c r="GO40" s="1901"/>
      <c r="GP40" s="1901"/>
      <c r="GQ40" s="1901"/>
      <c r="GR40" s="1901"/>
      <c r="GS40" s="1901"/>
      <c r="GT40" s="1901"/>
      <c r="GU40" s="1901"/>
      <c r="GV40" s="1901"/>
      <c r="GW40" s="1901"/>
      <c r="GX40" s="1901"/>
      <c r="GY40" s="1901"/>
      <c r="GZ40" s="1901"/>
      <c r="HA40" s="1901"/>
      <c r="HB40" s="1901"/>
      <c r="HC40" s="1901"/>
      <c r="HD40" s="1901"/>
      <c r="HE40" s="1901"/>
      <c r="HF40" s="1901"/>
      <c r="HG40" s="1901"/>
      <c r="HH40" s="1901"/>
      <c r="HI40" s="1901"/>
      <c r="HJ40" s="1901"/>
      <c r="HK40" s="1901"/>
      <c r="HL40" s="1901"/>
      <c r="HM40" s="1901"/>
      <c r="HN40" s="1901"/>
      <c r="HO40" s="1901"/>
      <c r="HP40" s="1901"/>
      <c r="HQ40" s="1901"/>
      <c r="HR40" s="1901"/>
      <c r="HS40" s="1901"/>
      <c r="HT40" s="1901"/>
      <c r="HU40" s="1901"/>
      <c r="HV40" s="1901"/>
    </row>
    <row r="41" spans="1:230" s="1893" customFormat="1" ht="25.5" customHeight="1">
      <c r="A41" s="1888" t="s">
        <v>1407</v>
      </c>
      <c r="B41" s="1889" t="s">
        <v>1258</v>
      </c>
      <c r="C41" s="1854">
        <v>300</v>
      </c>
      <c r="D41" s="1854">
        <v>300</v>
      </c>
      <c r="E41" s="1854"/>
      <c r="F41" s="1854"/>
      <c r="G41" s="1854"/>
      <c r="H41" s="1854"/>
      <c r="I41" s="1890"/>
      <c r="J41" s="1890"/>
      <c r="K41" s="1891"/>
      <c r="L41" s="1892"/>
      <c r="M41" s="1858"/>
      <c r="N41" s="1858"/>
      <c r="O41" s="1858"/>
      <c r="P41" s="1858"/>
      <c r="Q41" s="1858"/>
      <c r="R41" s="1858"/>
      <c r="S41" s="1858"/>
      <c r="T41" s="1858"/>
      <c r="U41" s="1858"/>
      <c r="V41" s="1858"/>
      <c r="W41" s="1858"/>
      <c r="X41" s="1858"/>
      <c r="Y41" s="1858"/>
      <c r="Z41" s="1858"/>
      <c r="AA41" s="1858"/>
      <c r="AB41" s="1858"/>
      <c r="AC41" s="1858"/>
      <c r="AD41" s="1858"/>
      <c r="AE41" s="1858"/>
      <c r="AF41" s="1858"/>
      <c r="AG41" s="1858"/>
      <c r="AH41" s="1858"/>
      <c r="AI41" s="1858"/>
      <c r="AJ41" s="1858"/>
      <c r="AK41" s="1858"/>
      <c r="AL41" s="1858"/>
      <c r="AM41" s="1858"/>
      <c r="AN41" s="1858"/>
      <c r="AO41" s="1858"/>
      <c r="AP41" s="1858"/>
      <c r="AQ41" s="1858"/>
      <c r="AR41" s="1858"/>
      <c r="AS41" s="1858"/>
      <c r="AT41" s="1858"/>
      <c r="AU41" s="1858"/>
      <c r="AV41" s="1858"/>
      <c r="AW41" s="1858"/>
      <c r="AX41" s="1858"/>
      <c r="AY41" s="1858"/>
      <c r="AZ41" s="1858"/>
      <c r="BA41" s="1858"/>
      <c r="BB41" s="1858"/>
      <c r="BC41" s="1858"/>
      <c r="BD41" s="1858"/>
      <c r="BE41" s="1858"/>
      <c r="BF41" s="1858"/>
      <c r="BG41" s="1858"/>
      <c r="BH41" s="1858"/>
      <c r="BI41" s="1858"/>
      <c r="BJ41" s="1858"/>
      <c r="BK41" s="1858"/>
      <c r="BL41" s="1858"/>
      <c r="BM41" s="1858"/>
      <c r="BN41" s="1858"/>
      <c r="BO41" s="1858"/>
      <c r="BP41" s="1858"/>
      <c r="BQ41" s="1858"/>
      <c r="BR41" s="1858"/>
      <c r="BS41" s="1858"/>
      <c r="BT41" s="1858"/>
      <c r="BU41" s="1858"/>
      <c r="BV41" s="1858"/>
      <c r="BW41" s="1858"/>
      <c r="BX41" s="1858"/>
      <c r="BY41" s="1858"/>
      <c r="BZ41" s="1858"/>
      <c r="CA41" s="1858"/>
      <c r="CB41" s="1858"/>
      <c r="CC41" s="1858"/>
      <c r="CD41" s="1858"/>
      <c r="CE41" s="1858"/>
      <c r="CF41" s="1858"/>
      <c r="CG41" s="1858"/>
      <c r="CH41" s="1858"/>
      <c r="CI41" s="1858"/>
      <c r="CJ41" s="1858"/>
      <c r="CK41" s="1858"/>
      <c r="CL41" s="1858"/>
      <c r="CM41" s="1858"/>
      <c r="CN41" s="1858"/>
      <c r="CO41" s="1858"/>
      <c r="CP41" s="1858"/>
      <c r="CQ41" s="1858"/>
      <c r="CR41" s="1858"/>
      <c r="CS41" s="1858"/>
      <c r="CT41" s="1858"/>
      <c r="CU41" s="1858"/>
      <c r="CV41" s="1858"/>
      <c r="CW41" s="1858"/>
      <c r="CX41" s="1858"/>
      <c r="CY41" s="1858"/>
      <c r="CZ41" s="1858"/>
      <c r="DA41" s="1858"/>
      <c r="DB41" s="1858"/>
      <c r="DC41" s="1858"/>
      <c r="DD41" s="1858"/>
      <c r="DE41" s="1858"/>
      <c r="DF41" s="1858"/>
      <c r="DG41" s="1858"/>
      <c r="DH41" s="1858"/>
      <c r="DI41" s="1858"/>
      <c r="DJ41" s="1858"/>
      <c r="DK41" s="1858"/>
      <c r="DL41" s="1858"/>
      <c r="DM41" s="1858"/>
      <c r="DN41" s="1858"/>
      <c r="DO41" s="1858"/>
      <c r="DP41" s="1858"/>
      <c r="DQ41" s="1858"/>
      <c r="DR41" s="1858"/>
      <c r="DS41" s="1858"/>
      <c r="DT41" s="1858"/>
      <c r="DU41" s="1858"/>
      <c r="DV41" s="1858"/>
      <c r="DW41" s="1858"/>
      <c r="DX41" s="1858"/>
      <c r="DY41" s="1858"/>
      <c r="DZ41" s="1858"/>
      <c r="EA41" s="1858"/>
      <c r="EB41" s="1858"/>
      <c r="EC41" s="1858"/>
      <c r="ED41" s="1858"/>
      <c r="EE41" s="1858"/>
      <c r="EF41" s="1858"/>
      <c r="EG41" s="1858"/>
      <c r="EH41" s="1858"/>
      <c r="EI41" s="1858"/>
      <c r="EJ41" s="1858"/>
      <c r="EK41" s="1858"/>
      <c r="EL41" s="1858"/>
      <c r="EM41" s="1858"/>
      <c r="EN41" s="1858"/>
      <c r="EO41" s="1858"/>
      <c r="EP41" s="1858"/>
      <c r="EQ41" s="1858"/>
      <c r="ER41" s="1858"/>
      <c r="ES41" s="1858"/>
      <c r="ET41" s="1858"/>
      <c r="EU41" s="1858"/>
      <c r="EV41" s="1858"/>
      <c r="EW41" s="1858"/>
      <c r="EX41" s="1858"/>
      <c r="EY41" s="1858"/>
      <c r="EZ41" s="1858"/>
      <c r="FA41" s="1858"/>
      <c r="FB41" s="1858"/>
      <c r="FC41" s="1858"/>
      <c r="FD41" s="1858"/>
      <c r="FE41" s="1858"/>
      <c r="FF41" s="1858"/>
      <c r="FG41" s="1858"/>
      <c r="FH41" s="1858"/>
      <c r="FI41" s="1858"/>
      <c r="FJ41" s="1858"/>
      <c r="FK41" s="1858"/>
      <c r="FL41" s="1858"/>
      <c r="FM41" s="1858"/>
      <c r="FN41" s="1858"/>
      <c r="FO41" s="1858"/>
      <c r="FP41" s="1858"/>
      <c r="FQ41" s="1858"/>
      <c r="FR41" s="1858"/>
      <c r="FS41" s="1858"/>
      <c r="FT41" s="1858"/>
      <c r="FU41" s="1858"/>
      <c r="FV41" s="1858"/>
      <c r="FW41" s="1858"/>
      <c r="FX41" s="1858"/>
      <c r="FY41" s="1858"/>
      <c r="FZ41" s="1858"/>
      <c r="GA41" s="1858"/>
      <c r="GB41" s="1858"/>
      <c r="GC41" s="1858"/>
      <c r="GD41" s="1858"/>
      <c r="GE41" s="1858"/>
      <c r="GF41" s="1858"/>
      <c r="GG41" s="1858"/>
      <c r="GH41" s="1858"/>
      <c r="GI41" s="1858"/>
      <c r="GJ41" s="1858"/>
      <c r="GK41" s="1858"/>
      <c r="GL41" s="1858"/>
      <c r="GM41" s="1858"/>
      <c r="GN41" s="1858"/>
      <c r="GO41" s="1858"/>
      <c r="GP41" s="1858"/>
      <c r="GQ41" s="1858"/>
      <c r="GR41" s="1858"/>
      <c r="GS41" s="1858"/>
      <c r="GT41" s="1858"/>
      <c r="GU41" s="1858"/>
      <c r="GV41" s="1858"/>
      <c r="GW41" s="1858"/>
      <c r="GX41" s="1858"/>
      <c r="GY41" s="1858"/>
      <c r="GZ41" s="1858"/>
      <c r="HA41" s="1858"/>
      <c r="HB41" s="1858"/>
      <c r="HC41" s="1858"/>
      <c r="HD41" s="1858"/>
      <c r="HE41" s="1858"/>
      <c r="HF41" s="1858"/>
      <c r="HG41" s="1858"/>
      <c r="HH41" s="1858"/>
      <c r="HI41" s="1858"/>
      <c r="HJ41" s="1858"/>
      <c r="HK41" s="1858"/>
      <c r="HL41" s="1858"/>
      <c r="HM41" s="1858"/>
      <c r="HN41" s="1858"/>
      <c r="HO41" s="1858"/>
      <c r="HP41" s="1858"/>
      <c r="HQ41" s="1858"/>
      <c r="HR41" s="1858"/>
      <c r="HS41" s="1858"/>
      <c r="HT41" s="1858"/>
      <c r="HU41" s="1858"/>
      <c r="HV41" s="1858"/>
    </row>
    <row r="42" spans="1:230" s="1902" customFormat="1" ht="11.25" customHeight="1">
      <c r="A42" s="1930"/>
      <c r="B42" s="1939" t="s">
        <v>1236</v>
      </c>
      <c r="C42" s="1932"/>
      <c r="D42" s="1932">
        <v>10.9</v>
      </c>
      <c r="E42" s="1932"/>
      <c r="F42" s="1932"/>
      <c r="G42" s="1932"/>
      <c r="H42" s="1932"/>
      <c r="I42" s="1933"/>
      <c r="J42" s="1933"/>
      <c r="K42" s="1934"/>
      <c r="L42" s="1935"/>
      <c r="M42" s="1901"/>
      <c r="N42" s="1901"/>
      <c r="O42" s="1901"/>
      <c r="P42" s="1901"/>
      <c r="Q42" s="1901"/>
      <c r="R42" s="1901"/>
      <c r="S42" s="1901"/>
      <c r="T42" s="1901"/>
      <c r="U42" s="1901"/>
      <c r="V42" s="1901"/>
      <c r="W42" s="1901"/>
      <c r="X42" s="1901"/>
      <c r="Y42" s="1901"/>
      <c r="Z42" s="1901"/>
      <c r="AA42" s="1901"/>
      <c r="AB42" s="1901"/>
      <c r="AC42" s="1901"/>
      <c r="AD42" s="1901"/>
      <c r="AE42" s="1901"/>
      <c r="AF42" s="1901"/>
      <c r="AG42" s="1901"/>
      <c r="AH42" s="1901"/>
      <c r="AI42" s="1901"/>
      <c r="AJ42" s="1901"/>
      <c r="AK42" s="1901"/>
      <c r="AL42" s="1901"/>
      <c r="AM42" s="1901"/>
      <c r="AN42" s="1901"/>
      <c r="AO42" s="1901"/>
      <c r="AP42" s="1901"/>
      <c r="AQ42" s="1901"/>
      <c r="AR42" s="1901"/>
      <c r="AS42" s="1901"/>
      <c r="AT42" s="1901"/>
      <c r="AU42" s="1901"/>
      <c r="AV42" s="1901"/>
      <c r="AW42" s="1901"/>
      <c r="AX42" s="1901"/>
      <c r="AY42" s="1901"/>
      <c r="AZ42" s="1901"/>
      <c r="BA42" s="1901"/>
      <c r="BB42" s="1901"/>
      <c r="BC42" s="1901"/>
      <c r="BD42" s="1901"/>
      <c r="BE42" s="1901"/>
      <c r="BF42" s="1901"/>
      <c r="BG42" s="1901"/>
      <c r="BH42" s="1901"/>
      <c r="BI42" s="1901"/>
      <c r="BJ42" s="1901"/>
      <c r="BK42" s="1901"/>
      <c r="BL42" s="1901"/>
      <c r="BM42" s="1901"/>
      <c r="BN42" s="1901"/>
      <c r="BO42" s="1901"/>
      <c r="BP42" s="1901"/>
      <c r="BQ42" s="1901"/>
      <c r="BR42" s="1901"/>
      <c r="BS42" s="1901"/>
      <c r="BT42" s="1901"/>
      <c r="BU42" s="1901"/>
      <c r="BV42" s="1901"/>
      <c r="BW42" s="1901"/>
      <c r="BX42" s="1901"/>
      <c r="BY42" s="1901"/>
      <c r="BZ42" s="1901"/>
      <c r="CA42" s="1901"/>
      <c r="CB42" s="1901"/>
      <c r="CC42" s="1901"/>
      <c r="CD42" s="1901"/>
      <c r="CE42" s="1901"/>
      <c r="CF42" s="1901"/>
      <c r="CG42" s="1901"/>
      <c r="CH42" s="1901"/>
      <c r="CI42" s="1901"/>
      <c r="CJ42" s="1901"/>
      <c r="CK42" s="1901"/>
      <c r="CL42" s="1901"/>
      <c r="CM42" s="1901"/>
      <c r="CN42" s="1901"/>
      <c r="CO42" s="1901"/>
      <c r="CP42" s="1901"/>
      <c r="CQ42" s="1901"/>
      <c r="CR42" s="1901"/>
      <c r="CS42" s="1901"/>
      <c r="CT42" s="1901"/>
      <c r="CU42" s="1901"/>
      <c r="CV42" s="1901"/>
      <c r="CW42" s="1901"/>
      <c r="CX42" s="1901"/>
      <c r="CY42" s="1901"/>
      <c r="CZ42" s="1901"/>
      <c r="DA42" s="1901"/>
      <c r="DB42" s="1901"/>
      <c r="DC42" s="1901"/>
      <c r="DD42" s="1901"/>
      <c r="DE42" s="1901"/>
      <c r="DF42" s="1901"/>
      <c r="DG42" s="1901"/>
      <c r="DH42" s="1901"/>
      <c r="DI42" s="1901"/>
      <c r="DJ42" s="1901"/>
      <c r="DK42" s="1901"/>
      <c r="DL42" s="1901"/>
      <c r="DM42" s="1901"/>
      <c r="DN42" s="1901"/>
      <c r="DO42" s="1901"/>
      <c r="DP42" s="1901"/>
      <c r="DQ42" s="1901"/>
      <c r="DR42" s="1901"/>
      <c r="DS42" s="1901"/>
      <c r="DT42" s="1901"/>
      <c r="DU42" s="1901"/>
      <c r="DV42" s="1901"/>
      <c r="DW42" s="1901"/>
      <c r="DX42" s="1901"/>
      <c r="DY42" s="1901"/>
      <c r="DZ42" s="1901"/>
      <c r="EA42" s="1901"/>
      <c r="EB42" s="1901"/>
      <c r="EC42" s="1901"/>
      <c r="ED42" s="1901"/>
      <c r="EE42" s="1901"/>
      <c r="EF42" s="1901"/>
      <c r="EG42" s="1901"/>
      <c r="EH42" s="1901"/>
      <c r="EI42" s="1901"/>
      <c r="EJ42" s="1901"/>
      <c r="EK42" s="1901"/>
      <c r="EL42" s="1901"/>
      <c r="EM42" s="1901"/>
      <c r="EN42" s="1901"/>
      <c r="EO42" s="1901"/>
      <c r="EP42" s="1901"/>
      <c r="EQ42" s="1901"/>
      <c r="ER42" s="1901"/>
      <c r="ES42" s="1901"/>
      <c r="ET42" s="1901"/>
      <c r="EU42" s="1901"/>
      <c r="EV42" s="1901"/>
      <c r="EW42" s="1901"/>
      <c r="EX42" s="1901"/>
      <c r="EY42" s="1901"/>
      <c r="EZ42" s="1901"/>
      <c r="FA42" s="1901"/>
      <c r="FB42" s="1901"/>
      <c r="FC42" s="1901"/>
      <c r="FD42" s="1901"/>
      <c r="FE42" s="1901"/>
      <c r="FF42" s="1901"/>
      <c r="FG42" s="1901"/>
      <c r="FH42" s="1901"/>
      <c r="FI42" s="1901"/>
      <c r="FJ42" s="1901"/>
      <c r="FK42" s="1901"/>
      <c r="FL42" s="1901"/>
      <c r="FM42" s="1901"/>
      <c r="FN42" s="1901"/>
      <c r="FO42" s="1901"/>
      <c r="FP42" s="1901"/>
      <c r="FQ42" s="1901"/>
      <c r="FR42" s="1901"/>
      <c r="FS42" s="1901"/>
      <c r="FT42" s="1901"/>
      <c r="FU42" s="1901"/>
      <c r="FV42" s="1901"/>
      <c r="FW42" s="1901"/>
      <c r="FX42" s="1901"/>
      <c r="FY42" s="1901"/>
      <c r="FZ42" s="1901"/>
      <c r="GA42" s="1901"/>
      <c r="GB42" s="1901"/>
      <c r="GC42" s="1901"/>
      <c r="GD42" s="1901"/>
      <c r="GE42" s="1901"/>
      <c r="GF42" s="1901"/>
      <c r="GG42" s="1901"/>
      <c r="GH42" s="1901"/>
      <c r="GI42" s="1901"/>
      <c r="GJ42" s="1901"/>
      <c r="GK42" s="1901"/>
      <c r="GL42" s="1901"/>
      <c r="GM42" s="1901"/>
      <c r="GN42" s="1901"/>
      <c r="GO42" s="1901"/>
      <c r="GP42" s="1901"/>
      <c r="GQ42" s="1901"/>
      <c r="GR42" s="1901"/>
      <c r="GS42" s="1901"/>
      <c r="GT42" s="1901"/>
      <c r="GU42" s="1901"/>
      <c r="GV42" s="1901"/>
      <c r="GW42" s="1901"/>
      <c r="GX42" s="1901"/>
      <c r="GY42" s="1901"/>
      <c r="GZ42" s="1901"/>
      <c r="HA42" s="1901"/>
      <c r="HB42" s="1901"/>
      <c r="HC42" s="1901"/>
      <c r="HD42" s="1901"/>
      <c r="HE42" s="1901"/>
      <c r="HF42" s="1901"/>
      <c r="HG42" s="1901"/>
      <c r="HH42" s="1901"/>
      <c r="HI42" s="1901"/>
      <c r="HJ42" s="1901"/>
      <c r="HK42" s="1901"/>
      <c r="HL42" s="1901"/>
      <c r="HM42" s="1901"/>
      <c r="HN42" s="1901"/>
      <c r="HO42" s="1901"/>
      <c r="HP42" s="1901"/>
      <c r="HQ42" s="1901"/>
      <c r="HR42" s="1901"/>
      <c r="HS42" s="1901"/>
      <c r="HT42" s="1901"/>
      <c r="HU42" s="1901"/>
      <c r="HV42" s="1901"/>
    </row>
    <row r="43" spans="1:230" s="1893" customFormat="1" ht="33" customHeight="1">
      <c r="A43" s="1851" t="s">
        <v>1413</v>
      </c>
      <c r="B43" s="1852" t="s">
        <v>1259</v>
      </c>
      <c r="C43" s="1853">
        <v>375</v>
      </c>
      <c r="D43" s="1853">
        <v>375</v>
      </c>
      <c r="E43" s="1853"/>
      <c r="F43" s="1853"/>
      <c r="G43" s="1853"/>
      <c r="H43" s="1854"/>
      <c r="I43" s="1890"/>
      <c r="J43" s="1890"/>
      <c r="K43" s="1891"/>
      <c r="L43" s="1892"/>
      <c r="M43" s="1858"/>
      <c r="N43" s="1858"/>
      <c r="O43" s="1858"/>
      <c r="P43" s="1858"/>
      <c r="Q43" s="1858"/>
      <c r="R43" s="1858"/>
      <c r="S43" s="1858"/>
      <c r="T43" s="1858"/>
      <c r="U43" s="1858"/>
      <c r="V43" s="1858"/>
      <c r="W43" s="1858"/>
      <c r="X43" s="1858"/>
      <c r="Y43" s="1858"/>
      <c r="Z43" s="1858"/>
      <c r="AA43" s="1858"/>
      <c r="AB43" s="1858"/>
      <c r="AC43" s="1858"/>
      <c r="AD43" s="1858"/>
      <c r="AE43" s="1858"/>
      <c r="AF43" s="1858"/>
      <c r="AG43" s="1858"/>
      <c r="AH43" s="1858"/>
      <c r="AI43" s="1858"/>
      <c r="AJ43" s="1858"/>
      <c r="AK43" s="1858"/>
      <c r="AL43" s="1858"/>
      <c r="AM43" s="1858"/>
      <c r="AN43" s="1858"/>
      <c r="AO43" s="1858"/>
      <c r="AP43" s="1858"/>
      <c r="AQ43" s="1858"/>
      <c r="AR43" s="1858"/>
      <c r="AS43" s="1858"/>
      <c r="AT43" s="1858"/>
      <c r="AU43" s="1858"/>
      <c r="AV43" s="1858"/>
      <c r="AW43" s="1858"/>
      <c r="AX43" s="1858"/>
      <c r="AY43" s="1858"/>
      <c r="AZ43" s="1858"/>
      <c r="BA43" s="1858"/>
      <c r="BB43" s="1858"/>
      <c r="BC43" s="1858"/>
      <c r="BD43" s="1858"/>
      <c r="BE43" s="1858"/>
      <c r="BF43" s="1858"/>
      <c r="BG43" s="1858"/>
      <c r="BH43" s="1858"/>
      <c r="BI43" s="1858"/>
      <c r="BJ43" s="1858"/>
      <c r="BK43" s="1858"/>
      <c r="BL43" s="1858"/>
      <c r="BM43" s="1858"/>
      <c r="BN43" s="1858"/>
      <c r="BO43" s="1858"/>
      <c r="BP43" s="1858"/>
      <c r="BQ43" s="1858"/>
      <c r="BR43" s="1858"/>
      <c r="BS43" s="1858"/>
      <c r="BT43" s="1858"/>
      <c r="BU43" s="1858"/>
      <c r="BV43" s="1858"/>
      <c r="BW43" s="1858"/>
      <c r="BX43" s="1858"/>
      <c r="BY43" s="1858"/>
      <c r="BZ43" s="1858"/>
      <c r="CA43" s="1858"/>
      <c r="CB43" s="1858"/>
      <c r="CC43" s="1858"/>
      <c r="CD43" s="1858"/>
      <c r="CE43" s="1858"/>
      <c r="CF43" s="1858"/>
      <c r="CG43" s="1858"/>
      <c r="CH43" s="1858"/>
      <c r="CI43" s="1858"/>
      <c r="CJ43" s="1858"/>
      <c r="CK43" s="1858"/>
      <c r="CL43" s="1858"/>
      <c r="CM43" s="1858"/>
      <c r="CN43" s="1858"/>
      <c r="CO43" s="1858"/>
      <c r="CP43" s="1858"/>
      <c r="CQ43" s="1858"/>
      <c r="CR43" s="1858"/>
      <c r="CS43" s="1858"/>
      <c r="CT43" s="1858"/>
      <c r="CU43" s="1858"/>
      <c r="CV43" s="1858"/>
      <c r="CW43" s="1858"/>
      <c r="CX43" s="1858"/>
      <c r="CY43" s="1858"/>
      <c r="CZ43" s="1858"/>
      <c r="DA43" s="1858"/>
      <c r="DB43" s="1858"/>
      <c r="DC43" s="1858"/>
      <c r="DD43" s="1858"/>
      <c r="DE43" s="1858"/>
      <c r="DF43" s="1858"/>
      <c r="DG43" s="1858"/>
      <c r="DH43" s="1858"/>
      <c r="DI43" s="1858"/>
      <c r="DJ43" s="1858"/>
      <c r="DK43" s="1858"/>
      <c r="DL43" s="1858"/>
      <c r="DM43" s="1858"/>
      <c r="DN43" s="1858"/>
      <c r="DO43" s="1858"/>
      <c r="DP43" s="1858"/>
      <c r="DQ43" s="1858"/>
      <c r="DR43" s="1858"/>
      <c r="DS43" s="1858"/>
      <c r="DT43" s="1858"/>
      <c r="DU43" s="1858"/>
      <c r="DV43" s="1858"/>
      <c r="DW43" s="1858"/>
      <c r="DX43" s="1858"/>
      <c r="DY43" s="1858"/>
      <c r="DZ43" s="1858"/>
      <c r="EA43" s="1858"/>
      <c r="EB43" s="1858"/>
      <c r="EC43" s="1858"/>
      <c r="ED43" s="1858"/>
      <c r="EE43" s="1858"/>
      <c r="EF43" s="1858"/>
      <c r="EG43" s="1858"/>
      <c r="EH43" s="1858"/>
      <c r="EI43" s="1858"/>
      <c r="EJ43" s="1858"/>
      <c r="EK43" s="1858"/>
      <c r="EL43" s="1858"/>
      <c r="EM43" s="1858"/>
      <c r="EN43" s="1858"/>
      <c r="EO43" s="1858"/>
      <c r="EP43" s="1858"/>
      <c r="EQ43" s="1858"/>
      <c r="ER43" s="1858"/>
      <c r="ES43" s="1858"/>
      <c r="ET43" s="1858"/>
      <c r="EU43" s="1858"/>
      <c r="EV43" s="1858"/>
      <c r="EW43" s="1858"/>
      <c r="EX43" s="1858"/>
      <c r="EY43" s="1858"/>
      <c r="EZ43" s="1858"/>
      <c r="FA43" s="1858"/>
      <c r="FB43" s="1858"/>
      <c r="FC43" s="1858"/>
      <c r="FD43" s="1858"/>
      <c r="FE43" s="1858"/>
      <c r="FF43" s="1858"/>
      <c r="FG43" s="1858"/>
      <c r="FH43" s="1858"/>
      <c r="FI43" s="1858"/>
      <c r="FJ43" s="1858"/>
      <c r="FK43" s="1858"/>
      <c r="FL43" s="1858"/>
      <c r="FM43" s="1858"/>
      <c r="FN43" s="1858"/>
      <c r="FO43" s="1858"/>
      <c r="FP43" s="1858"/>
      <c r="FQ43" s="1858"/>
      <c r="FR43" s="1858"/>
      <c r="FS43" s="1858"/>
      <c r="FT43" s="1858"/>
      <c r="FU43" s="1858"/>
      <c r="FV43" s="1858"/>
      <c r="FW43" s="1858"/>
      <c r="FX43" s="1858"/>
      <c r="FY43" s="1858"/>
      <c r="FZ43" s="1858"/>
      <c r="GA43" s="1858"/>
      <c r="GB43" s="1858"/>
      <c r="GC43" s="1858"/>
      <c r="GD43" s="1858"/>
      <c r="GE43" s="1858"/>
      <c r="GF43" s="1858"/>
      <c r="GG43" s="1858"/>
      <c r="GH43" s="1858"/>
      <c r="GI43" s="1858"/>
      <c r="GJ43" s="1858"/>
      <c r="GK43" s="1858"/>
      <c r="GL43" s="1858"/>
      <c r="GM43" s="1858"/>
      <c r="GN43" s="1858"/>
      <c r="GO43" s="1858"/>
      <c r="GP43" s="1858"/>
      <c r="GQ43" s="1858"/>
      <c r="GR43" s="1858"/>
      <c r="GS43" s="1858"/>
      <c r="GT43" s="1858"/>
      <c r="GU43" s="1858"/>
      <c r="GV43" s="1858"/>
      <c r="GW43" s="1858"/>
      <c r="GX43" s="1858"/>
      <c r="GY43" s="1858"/>
      <c r="GZ43" s="1858"/>
      <c r="HA43" s="1858"/>
      <c r="HB43" s="1858"/>
      <c r="HC43" s="1858"/>
      <c r="HD43" s="1858"/>
      <c r="HE43" s="1858"/>
      <c r="HF43" s="1858"/>
      <c r="HG43" s="1858"/>
      <c r="HH43" s="1858"/>
      <c r="HI43" s="1858"/>
      <c r="HJ43" s="1858"/>
      <c r="HK43" s="1858"/>
      <c r="HL43" s="1858"/>
      <c r="HM43" s="1858"/>
      <c r="HN43" s="1858"/>
      <c r="HO43" s="1858"/>
      <c r="HP43" s="1858"/>
      <c r="HQ43" s="1858"/>
      <c r="HR43" s="1858"/>
      <c r="HS43" s="1858"/>
      <c r="HT43" s="1858"/>
      <c r="HU43" s="1858"/>
      <c r="HV43" s="1858"/>
    </row>
    <row r="44" spans="1:12" s="1943" customFormat="1" ht="11.25" customHeight="1">
      <c r="A44" s="1945"/>
      <c r="B44" s="1939" t="s">
        <v>1254</v>
      </c>
      <c r="C44" s="1933"/>
      <c r="D44" s="1932">
        <v>13.6</v>
      </c>
      <c r="E44" s="1932"/>
      <c r="F44" s="1933"/>
      <c r="G44" s="1848"/>
      <c r="H44" s="1848"/>
      <c r="I44" s="1848"/>
      <c r="J44" s="1848"/>
      <c r="K44" s="1849"/>
      <c r="L44" s="1850"/>
    </row>
    <row r="45" spans="1:230" s="1893" customFormat="1" ht="15" customHeight="1">
      <c r="A45" s="1946" t="s">
        <v>131</v>
      </c>
      <c r="B45" s="1852" t="s">
        <v>1260</v>
      </c>
      <c r="C45" s="1853">
        <v>3500</v>
      </c>
      <c r="D45" s="1853">
        <v>1750</v>
      </c>
      <c r="E45" s="1853">
        <v>1750</v>
      </c>
      <c r="F45" s="1853"/>
      <c r="G45" s="1853"/>
      <c r="H45" s="1853"/>
      <c r="I45" s="1867"/>
      <c r="J45" s="1867"/>
      <c r="K45" s="1868"/>
      <c r="L45" s="1869"/>
      <c r="M45" s="1858"/>
      <c r="N45" s="1858"/>
      <c r="O45" s="1858"/>
      <c r="P45" s="1858"/>
      <c r="Q45" s="1858"/>
      <c r="R45" s="1858"/>
      <c r="S45" s="1858"/>
      <c r="T45" s="1858"/>
      <c r="U45" s="1858"/>
      <c r="V45" s="1858"/>
      <c r="W45" s="1858"/>
      <c r="X45" s="1858"/>
      <c r="Y45" s="1858"/>
      <c r="Z45" s="1858"/>
      <c r="AA45" s="1858"/>
      <c r="AB45" s="1858"/>
      <c r="AC45" s="1858"/>
      <c r="AD45" s="1858"/>
      <c r="AE45" s="1858"/>
      <c r="AF45" s="1858"/>
      <c r="AG45" s="1858"/>
      <c r="AH45" s="1858"/>
      <c r="AI45" s="1858"/>
      <c r="AJ45" s="1858"/>
      <c r="AK45" s="1858"/>
      <c r="AL45" s="1858"/>
      <c r="AM45" s="1858"/>
      <c r="AN45" s="1858"/>
      <c r="AO45" s="1858"/>
      <c r="AP45" s="1858"/>
      <c r="AQ45" s="1858"/>
      <c r="AR45" s="1858"/>
      <c r="AS45" s="1858"/>
      <c r="AT45" s="1858"/>
      <c r="AU45" s="1858"/>
      <c r="AV45" s="1858"/>
      <c r="AW45" s="1858"/>
      <c r="AX45" s="1858"/>
      <c r="AY45" s="1858"/>
      <c r="AZ45" s="1858"/>
      <c r="BA45" s="1858"/>
      <c r="BB45" s="1858"/>
      <c r="BC45" s="1858"/>
      <c r="BD45" s="1858"/>
      <c r="BE45" s="1858"/>
      <c r="BF45" s="1858"/>
      <c r="BG45" s="1858"/>
      <c r="BH45" s="1858"/>
      <c r="BI45" s="1858"/>
      <c r="BJ45" s="1858"/>
      <c r="BK45" s="1858"/>
      <c r="BL45" s="1858"/>
      <c r="BM45" s="1858"/>
      <c r="BN45" s="1858"/>
      <c r="BO45" s="1858"/>
      <c r="BP45" s="1858"/>
      <c r="BQ45" s="1858"/>
      <c r="BR45" s="1858"/>
      <c r="BS45" s="1858"/>
      <c r="BT45" s="1858"/>
      <c r="BU45" s="1858"/>
      <c r="BV45" s="1858"/>
      <c r="BW45" s="1858"/>
      <c r="BX45" s="1858"/>
      <c r="BY45" s="1858"/>
      <c r="BZ45" s="1858"/>
      <c r="CA45" s="1858"/>
      <c r="CB45" s="1858"/>
      <c r="CC45" s="1858"/>
      <c r="CD45" s="1858"/>
      <c r="CE45" s="1858"/>
      <c r="CF45" s="1858"/>
      <c r="CG45" s="1858"/>
      <c r="CH45" s="1858"/>
      <c r="CI45" s="1858"/>
      <c r="CJ45" s="1858"/>
      <c r="CK45" s="1858"/>
      <c r="CL45" s="1858"/>
      <c r="CM45" s="1858"/>
      <c r="CN45" s="1858"/>
      <c r="CO45" s="1858"/>
      <c r="CP45" s="1858"/>
      <c r="CQ45" s="1858"/>
      <c r="CR45" s="1858"/>
      <c r="CS45" s="1858"/>
      <c r="CT45" s="1858"/>
      <c r="CU45" s="1858"/>
      <c r="CV45" s="1858"/>
      <c r="CW45" s="1858"/>
      <c r="CX45" s="1858"/>
      <c r="CY45" s="1858"/>
      <c r="CZ45" s="1858"/>
      <c r="DA45" s="1858"/>
      <c r="DB45" s="1858"/>
      <c r="DC45" s="1858"/>
      <c r="DD45" s="1858"/>
      <c r="DE45" s="1858"/>
      <c r="DF45" s="1858"/>
      <c r="DG45" s="1858"/>
      <c r="DH45" s="1858"/>
      <c r="DI45" s="1858"/>
      <c r="DJ45" s="1858"/>
      <c r="DK45" s="1858"/>
      <c r="DL45" s="1858"/>
      <c r="DM45" s="1858"/>
      <c r="DN45" s="1858"/>
      <c r="DO45" s="1858"/>
      <c r="DP45" s="1858"/>
      <c r="DQ45" s="1858"/>
      <c r="DR45" s="1858"/>
      <c r="DS45" s="1858"/>
      <c r="DT45" s="1858"/>
      <c r="DU45" s="1858"/>
      <c r="DV45" s="1858"/>
      <c r="DW45" s="1858"/>
      <c r="DX45" s="1858"/>
      <c r="DY45" s="1858"/>
      <c r="DZ45" s="1858"/>
      <c r="EA45" s="1858"/>
      <c r="EB45" s="1858"/>
      <c r="EC45" s="1858"/>
      <c r="ED45" s="1858"/>
      <c r="EE45" s="1858"/>
      <c r="EF45" s="1858"/>
      <c r="EG45" s="1858"/>
      <c r="EH45" s="1858"/>
      <c r="EI45" s="1858"/>
      <c r="EJ45" s="1858"/>
      <c r="EK45" s="1858"/>
      <c r="EL45" s="1858"/>
      <c r="EM45" s="1858"/>
      <c r="EN45" s="1858"/>
      <c r="EO45" s="1858"/>
      <c r="EP45" s="1858"/>
      <c r="EQ45" s="1858"/>
      <c r="ER45" s="1858"/>
      <c r="ES45" s="1858"/>
      <c r="ET45" s="1858"/>
      <c r="EU45" s="1858"/>
      <c r="EV45" s="1858"/>
      <c r="EW45" s="1858"/>
      <c r="EX45" s="1858"/>
      <c r="EY45" s="1858"/>
      <c r="EZ45" s="1858"/>
      <c r="FA45" s="1858"/>
      <c r="FB45" s="1858"/>
      <c r="FC45" s="1858"/>
      <c r="FD45" s="1858"/>
      <c r="FE45" s="1858"/>
      <c r="FF45" s="1858"/>
      <c r="FG45" s="1858"/>
      <c r="FH45" s="1858"/>
      <c r="FI45" s="1858"/>
      <c r="FJ45" s="1858"/>
      <c r="FK45" s="1858"/>
      <c r="FL45" s="1858"/>
      <c r="FM45" s="1858"/>
      <c r="FN45" s="1858"/>
      <c r="FO45" s="1858"/>
      <c r="FP45" s="1858"/>
      <c r="FQ45" s="1858"/>
      <c r="FR45" s="1858"/>
      <c r="FS45" s="1858"/>
      <c r="FT45" s="1858"/>
      <c r="FU45" s="1858"/>
      <c r="FV45" s="1858"/>
      <c r="FW45" s="1858"/>
      <c r="FX45" s="1858"/>
      <c r="FY45" s="1858"/>
      <c r="FZ45" s="1858"/>
      <c r="GA45" s="1858"/>
      <c r="GB45" s="1858"/>
      <c r="GC45" s="1858"/>
      <c r="GD45" s="1858"/>
      <c r="GE45" s="1858"/>
      <c r="GF45" s="1858"/>
      <c r="GG45" s="1858"/>
      <c r="GH45" s="1858"/>
      <c r="GI45" s="1858"/>
      <c r="GJ45" s="1858"/>
      <c r="GK45" s="1858"/>
      <c r="GL45" s="1858"/>
      <c r="GM45" s="1858"/>
      <c r="GN45" s="1858"/>
      <c r="GO45" s="1858"/>
      <c r="GP45" s="1858"/>
      <c r="GQ45" s="1858"/>
      <c r="GR45" s="1858"/>
      <c r="GS45" s="1858"/>
      <c r="GT45" s="1858"/>
      <c r="GU45" s="1858"/>
      <c r="GV45" s="1858"/>
      <c r="GW45" s="1858"/>
      <c r="GX45" s="1858"/>
      <c r="GY45" s="1858"/>
      <c r="GZ45" s="1858"/>
      <c r="HA45" s="1858"/>
      <c r="HB45" s="1858"/>
      <c r="HC45" s="1858"/>
      <c r="HD45" s="1858"/>
      <c r="HE45" s="1858"/>
      <c r="HF45" s="1858"/>
      <c r="HG45" s="1858"/>
      <c r="HH45" s="1858"/>
      <c r="HI45" s="1858"/>
      <c r="HJ45" s="1858"/>
      <c r="HK45" s="1858"/>
      <c r="HL45" s="1858"/>
      <c r="HM45" s="1858"/>
      <c r="HN45" s="1858"/>
      <c r="HO45" s="1858"/>
      <c r="HP45" s="1858"/>
      <c r="HQ45" s="1858"/>
      <c r="HR45" s="1858"/>
      <c r="HS45" s="1858"/>
      <c r="HT45" s="1858"/>
      <c r="HU45" s="1858"/>
      <c r="HV45" s="1858"/>
    </row>
    <row r="46" spans="1:230" s="1902" customFormat="1" ht="11.25" customHeight="1">
      <c r="A46" s="1930"/>
      <c r="B46" s="1939" t="s">
        <v>1254</v>
      </c>
      <c r="C46" s="1932"/>
      <c r="D46" s="1932">
        <v>147.7</v>
      </c>
      <c r="E46" s="1932">
        <v>71.3</v>
      </c>
      <c r="F46" s="1932"/>
      <c r="G46" s="1932"/>
      <c r="H46" s="1932"/>
      <c r="I46" s="1933"/>
      <c r="J46" s="1933"/>
      <c r="K46" s="1934"/>
      <c r="L46" s="1935"/>
      <c r="M46" s="1901"/>
      <c r="N46" s="1901"/>
      <c r="O46" s="1901"/>
      <c r="P46" s="1901"/>
      <c r="Q46" s="1901"/>
      <c r="R46" s="1901"/>
      <c r="S46" s="1901"/>
      <c r="T46" s="1901"/>
      <c r="U46" s="1901"/>
      <c r="V46" s="1901"/>
      <c r="W46" s="1901"/>
      <c r="X46" s="1901"/>
      <c r="Y46" s="1901"/>
      <c r="Z46" s="1901"/>
      <c r="AA46" s="1901"/>
      <c r="AB46" s="1901"/>
      <c r="AC46" s="1901"/>
      <c r="AD46" s="1901"/>
      <c r="AE46" s="1901"/>
      <c r="AF46" s="1901"/>
      <c r="AG46" s="1901"/>
      <c r="AH46" s="1901"/>
      <c r="AI46" s="1901"/>
      <c r="AJ46" s="1901"/>
      <c r="AK46" s="1901"/>
      <c r="AL46" s="1901"/>
      <c r="AM46" s="1901"/>
      <c r="AN46" s="1901"/>
      <c r="AO46" s="1901"/>
      <c r="AP46" s="1901"/>
      <c r="AQ46" s="1901"/>
      <c r="AR46" s="1901"/>
      <c r="AS46" s="1901"/>
      <c r="AT46" s="1901"/>
      <c r="AU46" s="1901"/>
      <c r="AV46" s="1901"/>
      <c r="AW46" s="1901"/>
      <c r="AX46" s="1901"/>
      <c r="AY46" s="1901"/>
      <c r="AZ46" s="1901"/>
      <c r="BA46" s="1901"/>
      <c r="BB46" s="1901"/>
      <c r="BC46" s="1901"/>
      <c r="BD46" s="1901"/>
      <c r="BE46" s="1901"/>
      <c r="BF46" s="1901"/>
      <c r="BG46" s="1901"/>
      <c r="BH46" s="1901"/>
      <c r="BI46" s="1901"/>
      <c r="BJ46" s="1901"/>
      <c r="BK46" s="1901"/>
      <c r="BL46" s="1901"/>
      <c r="BM46" s="1901"/>
      <c r="BN46" s="1901"/>
      <c r="BO46" s="1901"/>
      <c r="BP46" s="1901"/>
      <c r="BQ46" s="1901"/>
      <c r="BR46" s="1901"/>
      <c r="BS46" s="1901"/>
      <c r="BT46" s="1901"/>
      <c r="BU46" s="1901"/>
      <c r="BV46" s="1901"/>
      <c r="BW46" s="1901"/>
      <c r="BX46" s="1901"/>
      <c r="BY46" s="1901"/>
      <c r="BZ46" s="1901"/>
      <c r="CA46" s="1901"/>
      <c r="CB46" s="1901"/>
      <c r="CC46" s="1901"/>
      <c r="CD46" s="1901"/>
      <c r="CE46" s="1901"/>
      <c r="CF46" s="1901"/>
      <c r="CG46" s="1901"/>
      <c r="CH46" s="1901"/>
      <c r="CI46" s="1901"/>
      <c r="CJ46" s="1901"/>
      <c r="CK46" s="1901"/>
      <c r="CL46" s="1901"/>
      <c r="CM46" s="1901"/>
      <c r="CN46" s="1901"/>
      <c r="CO46" s="1901"/>
      <c r="CP46" s="1901"/>
      <c r="CQ46" s="1901"/>
      <c r="CR46" s="1901"/>
      <c r="CS46" s="1901"/>
      <c r="CT46" s="1901"/>
      <c r="CU46" s="1901"/>
      <c r="CV46" s="1901"/>
      <c r="CW46" s="1901"/>
      <c r="CX46" s="1901"/>
      <c r="CY46" s="1901"/>
      <c r="CZ46" s="1901"/>
      <c r="DA46" s="1901"/>
      <c r="DB46" s="1901"/>
      <c r="DC46" s="1901"/>
      <c r="DD46" s="1901"/>
      <c r="DE46" s="1901"/>
      <c r="DF46" s="1901"/>
      <c r="DG46" s="1901"/>
      <c r="DH46" s="1901"/>
      <c r="DI46" s="1901"/>
      <c r="DJ46" s="1901"/>
      <c r="DK46" s="1901"/>
      <c r="DL46" s="1901"/>
      <c r="DM46" s="1901"/>
      <c r="DN46" s="1901"/>
      <c r="DO46" s="1901"/>
      <c r="DP46" s="1901"/>
      <c r="DQ46" s="1901"/>
      <c r="DR46" s="1901"/>
      <c r="DS46" s="1901"/>
      <c r="DT46" s="1901"/>
      <c r="DU46" s="1901"/>
      <c r="DV46" s="1901"/>
      <c r="DW46" s="1901"/>
      <c r="DX46" s="1901"/>
      <c r="DY46" s="1901"/>
      <c r="DZ46" s="1901"/>
      <c r="EA46" s="1901"/>
      <c r="EB46" s="1901"/>
      <c r="EC46" s="1901"/>
      <c r="ED46" s="1901"/>
      <c r="EE46" s="1901"/>
      <c r="EF46" s="1901"/>
      <c r="EG46" s="1901"/>
      <c r="EH46" s="1901"/>
      <c r="EI46" s="1901"/>
      <c r="EJ46" s="1901"/>
      <c r="EK46" s="1901"/>
      <c r="EL46" s="1901"/>
      <c r="EM46" s="1901"/>
      <c r="EN46" s="1901"/>
      <c r="EO46" s="1901"/>
      <c r="EP46" s="1901"/>
      <c r="EQ46" s="1901"/>
      <c r="ER46" s="1901"/>
      <c r="ES46" s="1901"/>
      <c r="ET46" s="1901"/>
      <c r="EU46" s="1901"/>
      <c r="EV46" s="1901"/>
      <c r="EW46" s="1901"/>
      <c r="EX46" s="1901"/>
      <c r="EY46" s="1901"/>
      <c r="EZ46" s="1901"/>
      <c r="FA46" s="1901"/>
      <c r="FB46" s="1901"/>
      <c r="FC46" s="1901"/>
      <c r="FD46" s="1901"/>
      <c r="FE46" s="1901"/>
      <c r="FF46" s="1901"/>
      <c r="FG46" s="1901"/>
      <c r="FH46" s="1901"/>
      <c r="FI46" s="1901"/>
      <c r="FJ46" s="1901"/>
      <c r="FK46" s="1901"/>
      <c r="FL46" s="1901"/>
      <c r="FM46" s="1901"/>
      <c r="FN46" s="1901"/>
      <c r="FO46" s="1901"/>
      <c r="FP46" s="1901"/>
      <c r="FQ46" s="1901"/>
      <c r="FR46" s="1901"/>
      <c r="FS46" s="1901"/>
      <c r="FT46" s="1901"/>
      <c r="FU46" s="1901"/>
      <c r="FV46" s="1901"/>
      <c r="FW46" s="1901"/>
      <c r="FX46" s="1901"/>
      <c r="FY46" s="1901"/>
      <c r="FZ46" s="1901"/>
      <c r="GA46" s="1901"/>
      <c r="GB46" s="1901"/>
      <c r="GC46" s="1901"/>
      <c r="GD46" s="1901"/>
      <c r="GE46" s="1901"/>
      <c r="GF46" s="1901"/>
      <c r="GG46" s="1901"/>
      <c r="GH46" s="1901"/>
      <c r="GI46" s="1901"/>
      <c r="GJ46" s="1901"/>
      <c r="GK46" s="1901"/>
      <c r="GL46" s="1901"/>
      <c r="GM46" s="1901"/>
      <c r="GN46" s="1901"/>
      <c r="GO46" s="1901"/>
      <c r="GP46" s="1901"/>
      <c r="GQ46" s="1901"/>
      <c r="GR46" s="1901"/>
      <c r="GS46" s="1901"/>
      <c r="GT46" s="1901"/>
      <c r="GU46" s="1901"/>
      <c r="GV46" s="1901"/>
      <c r="GW46" s="1901"/>
      <c r="GX46" s="1901"/>
      <c r="GY46" s="1901"/>
      <c r="GZ46" s="1901"/>
      <c r="HA46" s="1901"/>
      <c r="HB46" s="1901"/>
      <c r="HC46" s="1901"/>
      <c r="HD46" s="1901"/>
      <c r="HE46" s="1901"/>
      <c r="HF46" s="1901"/>
      <c r="HG46" s="1901"/>
      <c r="HH46" s="1901"/>
      <c r="HI46" s="1901"/>
      <c r="HJ46" s="1901"/>
      <c r="HK46" s="1901"/>
      <c r="HL46" s="1901"/>
      <c r="HM46" s="1901"/>
      <c r="HN46" s="1901"/>
      <c r="HO46" s="1901"/>
      <c r="HP46" s="1901"/>
      <c r="HQ46" s="1901"/>
      <c r="HR46" s="1901"/>
      <c r="HS46" s="1901"/>
      <c r="HT46" s="1901"/>
      <c r="HU46" s="1901"/>
      <c r="HV46" s="1901"/>
    </row>
    <row r="47" spans="1:230" s="1902" customFormat="1" ht="11.25" customHeight="1">
      <c r="A47" s="1947"/>
      <c r="B47" s="1948" t="s">
        <v>1261</v>
      </c>
      <c r="C47" s="1949"/>
      <c r="D47" s="1949"/>
      <c r="E47" s="1949"/>
      <c r="F47" s="1949"/>
      <c r="G47" s="1949"/>
      <c r="H47" s="1949"/>
      <c r="I47" s="1950"/>
      <c r="J47" s="1950"/>
      <c r="K47" s="1951"/>
      <c r="L47" s="1952"/>
      <c r="M47" s="1901"/>
      <c r="N47" s="1901"/>
      <c r="O47" s="1901"/>
      <c r="P47" s="1901"/>
      <c r="Q47" s="1901"/>
      <c r="R47" s="1901"/>
      <c r="S47" s="1901"/>
      <c r="T47" s="1901"/>
      <c r="U47" s="1901"/>
      <c r="V47" s="1901"/>
      <c r="W47" s="1901"/>
      <c r="X47" s="1901"/>
      <c r="Y47" s="1901"/>
      <c r="Z47" s="1901"/>
      <c r="AA47" s="1901"/>
      <c r="AB47" s="1901"/>
      <c r="AC47" s="1901"/>
      <c r="AD47" s="1901"/>
      <c r="AE47" s="1901"/>
      <c r="AF47" s="1901"/>
      <c r="AG47" s="1901"/>
      <c r="AH47" s="1901"/>
      <c r="AI47" s="1901"/>
      <c r="AJ47" s="1901"/>
      <c r="AK47" s="1901"/>
      <c r="AL47" s="1901"/>
      <c r="AM47" s="1901"/>
      <c r="AN47" s="1901"/>
      <c r="AO47" s="1901"/>
      <c r="AP47" s="1901"/>
      <c r="AQ47" s="1901"/>
      <c r="AR47" s="1901"/>
      <c r="AS47" s="1901"/>
      <c r="AT47" s="1901"/>
      <c r="AU47" s="1901"/>
      <c r="AV47" s="1901"/>
      <c r="AW47" s="1901"/>
      <c r="AX47" s="1901"/>
      <c r="AY47" s="1901"/>
      <c r="AZ47" s="1901"/>
      <c r="BA47" s="1901"/>
      <c r="BB47" s="1901"/>
      <c r="BC47" s="1901"/>
      <c r="BD47" s="1901"/>
      <c r="BE47" s="1901"/>
      <c r="BF47" s="1901"/>
      <c r="BG47" s="1901"/>
      <c r="BH47" s="1901"/>
      <c r="BI47" s="1901"/>
      <c r="BJ47" s="1901"/>
      <c r="BK47" s="1901"/>
      <c r="BL47" s="1901"/>
      <c r="BM47" s="1901"/>
      <c r="BN47" s="1901"/>
      <c r="BO47" s="1901"/>
      <c r="BP47" s="1901"/>
      <c r="BQ47" s="1901"/>
      <c r="BR47" s="1901"/>
      <c r="BS47" s="1901"/>
      <c r="BT47" s="1901"/>
      <c r="BU47" s="1901"/>
      <c r="BV47" s="1901"/>
      <c r="BW47" s="1901"/>
      <c r="BX47" s="1901"/>
      <c r="BY47" s="1901"/>
      <c r="BZ47" s="1901"/>
      <c r="CA47" s="1901"/>
      <c r="CB47" s="1901"/>
      <c r="CC47" s="1901"/>
      <c r="CD47" s="1901"/>
      <c r="CE47" s="1901"/>
      <c r="CF47" s="1901"/>
      <c r="CG47" s="1901"/>
      <c r="CH47" s="1901"/>
      <c r="CI47" s="1901"/>
      <c r="CJ47" s="1901"/>
      <c r="CK47" s="1901"/>
      <c r="CL47" s="1901"/>
      <c r="CM47" s="1901"/>
      <c r="CN47" s="1901"/>
      <c r="CO47" s="1901"/>
      <c r="CP47" s="1901"/>
      <c r="CQ47" s="1901"/>
      <c r="CR47" s="1901"/>
      <c r="CS47" s="1901"/>
      <c r="CT47" s="1901"/>
      <c r="CU47" s="1901"/>
      <c r="CV47" s="1901"/>
      <c r="CW47" s="1901"/>
      <c r="CX47" s="1901"/>
      <c r="CY47" s="1901"/>
      <c r="CZ47" s="1901"/>
      <c r="DA47" s="1901"/>
      <c r="DB47" s="1901"/>
      <c r="DC47" s="1901"/>
      <c r="DD47" s="1901"/>
      <c r="DE47" s="1901"/>
      <c r="DF47" s="1901"/>
      <c r="DG47" s="1901"/>
      <c r="DH47" s="1901"/>
      <c r="DI47" s="1901"/>
      <c r="DJ47" s="1901"/>
      <c r="DK47" s="1901"/>
      <c r="DL47" s="1901"/>
      <c r="DM47" s="1901"/>
      <c r="DN47" s="1901"/>
      <c r="DO47" s="1901"/>
      <c r="DP47" s="1901"/>
      <c r="DQ47" s="1901"/>
      <c r="DR47" s="1901"/>
      <c r="DS47" s="1901"/>
      <c r="DT47" s="1901"/>
      <c r="DU47" s="1901"/>
      <c r="DV47" s="1901"/>
      <c r="DW47" s="1901"/>
      <c r="DX47" s="1901"/>
      <c r="DY47" s="1901"/>
      <c r="DZ47" s="1901"/>
      <c r="EA47" s="1901"/>
      <c r="EB47" s="1901"/>
      <c r="EC47" s="1901"/>
      <c r="ED47" s="1901"/>
      <c r="EE47" s="1901"/>
      <c r="EF47" s="1901"/>
      <c r="EG47" s="1901"/>
      <c r="EH47" s="1901"/>
      <c r="EI47" s="1901"/>
      <c r="EJ47" s="1901"/>
      <c r="EK47" s="1901"/>
      <c r="EL47" s="1901"/>
      <c r="EM47" s="1901"/>
      <c r="EN47" s="1901"/>
      <c r="EO47" s="1901"/>
      <c r="EP47" s="1901"/>
      <c r="EQ47" s="1901"/>
      <c r="ER47" s="1901"/>
      <c r="ES47" s="1901"/>
      <c r="ET47" s="1901"/>
      <c r="EU47" s="1901"/>
      <c r="EV47" s="1901"/>
      <c r="EW47" s="1901"/>
      <c r="EX47" s="1901"/>
      <c r="EY47" s="1901"/>
      <c r="EZ47" s="1901"/>
      <c r="FA47" s="1901"/>
      <c r="FB47" s="1901"/>
      <c r="FC47" s="1901"/>
      <c r="FD47" s="1901"/>
      <c r="FE47" s="1901"/>
      <c r="FF47" s="1901"/>
      <c r="FG47" s="1901"/>
      <c r="FH47" s="1901"/>
      <c r="FI47" s="1901"/>
      <c r="FJ47" s="1901"/>
      <c r="FK47" s="1901"/>
      <c r="FL47" s="1901"/>
      <c r="FM47" s="1901"/>
      <c r="FN47" s="1901"/>
      <c r="FO47" s="1901"/>
      <c r="FP47" s="1901"/>
      <c r="FQ47" s="1901"/>
      <c r="FR47" s="1901"/>
      <c r="FS47" s="1901"/>
      <c r="FT47" s="1901"/>
      <c r="FU47" s="1901"/>
      <c r="FV47" s="1901"/>
      <c r="FW47" s="1901"/>
      <c r="FX47" s="1901"/>
      <c r="FY47" s="1901"/>
      <c r="FZ47" s="1901"/>
      <c r="GA47" s="1901"/>
      <c r="GB47" s="1901"/>
      <c r="GC47" s="1901"/>
      <c r="GD47" s="1901"/>
      <c r="GE47" s="1901"/>
      <c r="GF47" s="1901"/>
      <c r="GG47" s="1901"/>
      <c r="GH47" s="1901"/>
      <c r="GI47" s="1901"/>
      <c r="GJ47" s="1901"/>
      <c r="GK47" s="1901"/>
      <c r="GL47" s="1901"/>
      <c r="GM47" s="1901"/>
      <c r="GN47" s="1901"/>
      <c r="GO47" s="1901"/>
      <c r="GP47" s="1901"/>
      <c r="GQ47" s="1901"/>
      <c r="GR47" s="1901"/>
      <c r="GS47" s="1901"/>
      <c r="GT47" s="1901"/>
      <c r="GU47" s="1901"/>
      <c r="GV47" s="1901"/>
      <c r="GW47" s="1901"/>
      <c r="GX47" s="1901"/>
      <c r="GY47" s="1901"/>
      <c r="GZ47" s="1901"/>
      <c r="HA47" s="1901"/>
      <c r="HB47" s="1901"/>
      <c r="HC47" s="1901"/>
      <c r="HD47" s="1901"/>
      <c r="HE47" s="1901"/>
      <c r="HF47" s="1901"/>
      <c r="HG47" s="1901"/>
      <c r="HH47" s="1901"/>
      <c r="HI47" s="1901"/>
      <c r="HJ47" s="1901"/>
      <c r="HK47" s="1901"/>
      <c r="HL47" s="1901"/>
      <c r="HM47" s="1901"/>
      <c r="HN47" s="1901"/>
      <c r="HO47" s="1901"/>
      <c r="HP47" s="1901"/>
      <c r="HQ47" s="1901"/>
      <c r="HR47" s="1901"/>
      <c r="HS47" s="1901"/>
      <c r="HT47" s="1901"/>
      <c r="HU47" s="1901"/>
      <c r="HV47" s="1901"/>
    </row>
    <row r="48" spans="1:230" s="1897" customFormat="1" ht="11.25" customHeight="1">
      <c r="A48" s="1953"/>
      <c r="B48" s="1954" t="s">
        <v>1262</v>
      </c>
      <c r="C48" s="1955"/>
      <c r="D48" s="1955"/>
      <c r="E48" s="1955"/>
      <c r="F48" s="1955"/>
      <c r="G48" s="1955"/>
      <c r="H48" s="1955"/>
      <c r="I48" s="1898"/>
      <c r="J48" s="1898"/>
      <c r="K48" s="1899"/>
      <c r="L48" s="1900"/>
      <c r="M48" s="1901"/>
      <c r="N48" s="1901"/>
      <c r="O48" s="1901"/>
      <c r="P48" s="1901"/>
      <c r="Q48" s="1901"/>
      <c r="R48" s="1901"/>
      <c r="S48" s="1901"/>
      <c r="T48" s="1901"/>
      <c r="U48" s="1901"/>
      <c r="V48" s="1901"/>
      <c r="W48" s="1901"/>
      <c r="X48" s="1901"/>
      <c r="Y48" s="1901"/>
      <c r="Z48" s="1901"/>
      <c r="AA48" s="1901"/>
      <c r="AB48" s="1901"/>
      <c r="AC48" s="1901"/>
      <c r="AD48" s="1901"/>
      <c r="AE48" s="1901"/>
      <c r="AF48" s="1901"/>
      <c r="AG48" s="1901"/>
      <c r="AH48" s="1901"/>
      <c r="AI48" s="1901"/>
      <c r="AJ48" s="1901"/>
      <c r="AK48" s="1901"/>
      <c r="AL48" s="1901"/>
      <c r="AM48" s="1901"/>
      <c r="AN48" s="1901"/>
      <c r="AO48" s="1901"/>
      <c r="AP48" s="1901"/>
      <c r="AQ48" s="1901"/>
      <c r="AR48" s="1901"/>
      <c r="AS48" s="1901"/>
      <c r="AT48" s="1901"/>
      <c r="AU48" s="1901"/>
      <c r="AV48" s="1901"/>
      <c r="AW48" s="1901"/>
      <c r="AX48" s="1901"/>
      <c r="AY48" s="1901"/>
      <c r="AZ48" s="1901"/>
      <c r="BA48" s="1901"/>
      <c r="BB48" s="1901"/>
      <c r="BC48" s="1901"/>
      <c r="BD48" s="1901"/>
      <c r="BE48" s="1901"/>
      <c r="BF48" s="1901"/>
      <c r="BG48" s="1901"/>
      <c r="BH48" s="1901"/>
      <c r="BI48" s="1901"/>
      <c r="BJ48" s="1901"/>
      <c r="BK48" s="1901"/>
      <c r="BL48" s="1901"/>
      <c r="BM48" s="1901"/>
      <c r="BN48" s="1901"/>
      <c r="BO48" s="1901"/>
      <c r="BP48" s="1901"/>
      <c r="BQ48" s="1901"/>
      <c r="BR48" s="1901"/>
      <c r="BS48" s="1901"/>
      <c r="BT48" s="1901"/>
      <c r="BU48" s="1901"/>
      <c r="BV48" s="1901"/>
      <c r="BW48" s="1901"/>
      <c r="BX48" s="1901"/>
      <c r="BY48" s="1901"/>
      <c r="BZ48" s="1901"/>
      <c r="CA48" s="1901"/>
      <c r="CB48" s="1901"/>
      <c r="CC48" s="1901"/>
      <c r="CD48" s="1901"/>
      <c r="CE48" s="1901"/>
      <c r="CF48" s="1901"/>
      <c r="CG48" s="1901"/>
      <c r="CH48" s="1901"/>
      <c r="CI48" s="1901"/>
      <c r="CJ48" s="1901"/>
      <c r="CK48" s="1901"/>
      <c r="CL48" s="1901"/>
      <c r="CM48" s="1901"/>
      <c r="CN48" s="1901"/>
      <c r="CO48" s="1901"/>
      <c r="CP48" s="1901"/>
      <c r="CQ48" s="1901"/>
      <c r="CR48" s="1901"/>
      <c r="CS48" s="1901"/>
      <c r="CT48" s="1901"/>
      <c r="CU48" s="1901"/>
      <c r="CV48" s="1901"/>
      <c r="CW48" s="1901"/>
      <c r="CX48" s="1901"/>
      <c r="CY48" s="1901"/>
      <c r="CZ48" s="1901"/>
      <c r="DA48" s="1901"/>
      <c r="DB48" s="1901"/>
      <c r="DC48" s="1901"/>
      <c r="DD48" s="1901"/>
      <c r="DE48" s="1901"/>
      <c r="DF48" s="1901"/>
      <c r="DG48" s="1901"/>
      <c r="DH48" s="1901"/>
      <c r="DI48" s="1901"/>
      <c r="DJ48" s="1901"/>
      <c r="DK48" s="1901"/>
      <c r="DL48" s="1901"/>
      <c r="DM48" s="1901"/>
      <c r="DN48" s="1901"/>
      <c r="DO48" s="1901"/>
      <c r="DP48" s="1901"/>
      <c r="DQ48" s="1901"/>
      <c r="DR48" s="1901"/>
      <c r="DS48" s="1901"/>
      <c r="DT48" s="1901"/>
      <c r="DU48" s="1901"/>
      <c r="DV48" s="1901"/>
      <c r="DW48" s="1901"/>
      <c r="DX48" s="1901"/>
      <c r="DY48" s="1901"/>
      <c r="DZ48" s="1901"/>
      <c r="EA48" s="1901"/>
      <c r="EB48" s="1901"/>
      <c r="EC48" s="1901"/>
      <c r="ED48" s="1901"/>
      <c r="EE48" s="1901"/>
      <c r="EF48" s="1901"/>
      <c r="EG48" s="1901"/>
      <c r="EH48" s="1901"/>
      <c r="EI48" s="1901"/>
      <c r="EJ48" s="1901"/>
      <c r="EK48" s="1901"/>
      <c r="EL48" s="1901"/>
      <c r="EM48" s="1901"/>
      <c r="EN48" s="1901"/>
      <c r="EO48" s="1901"/>
      <c r="EP48" s="1901"/>
      <c r="EQ48" s="1901"/>
      <c r="ER48" s="1901"/>
      <c r="ES48" s="1901"/>
      <c r="ET48" s="1901"/>
      <c r="EU48" s="1901"/>
      <c r="EV48" s="1901"/>
      <c r="EW48" s="1901"/>
      <c r="EX48" s="1901"/>
      <c r="EY48" s="1901"/>
      <c r="EZ48" s="1901"/>
      <c r="FA48" s="1901"/>
      <c r="FB48" s="1901"/>
      <c r="FC48" s="1901"/>
      <c r="FD48" s="1901"/>
      <c r="FE48" s="1901"/>
      <c r="FF48" s="1901"/>
      <c r="FG48" s="1901"/>
      <c r="FH48" s="1901"/>
      <c r="FI48" s="1901"/>
      <c r="FJ48" s="1901"/>
      <c r="FK48" s="1901"/>
      <c r="FL48" s="1901"/>
      <c r="FM48" s="1901"/>
      <c r="FN48" s="1901"/>
      <c r="FO48" s="1901"/>
      <c r="FP48" s="1901"/>
      <c r="FQ48" s="1901"/>
      <c r="FR48" s="1901"/>
      <c r="FS48" s="1901"/>
      <c r="FT48" s="1901"/>
      <c r="FU48" s="1901"/>
      <c r="FV48" s="1901"/>
      <c r="FW48" s="1901"/>
      <c r="FX48" s="1901"/>
      <c r="FY48" s="1901"/>
      <c r="FZ48" s="1901"/>
      <c r="GA48" s="1901"/>
      <c r="GB48" s="1901"/>
      <c r="GC48" s="1901"/>
      <c r="GD48" s="1901"/>
      <c r="GE48" s="1901"/>
      <c r="GF48" s="1901"/>
      <c r="GG48" s="1901"/>
      <c r="GH48" s="1901"/>
      <c r="GI48" s="1901"/>
      <c r="GJ48" s="1901"/>
      <c r="GK48" s="1901"/>
      <c r="GL48" s="1901"/>
      <c r="GM48" s="1901"/>
      <c r="GN48" s="1901"/>
      <c r="GO48" s="1901"/>
      <c r="GP48" s="1901"/>
      <c r="GQ48" s="1901"/>
      <c r="GR48" s="1901"/>
      <c r="GS48" s="1901"/>
      <c r="GT48" s="1901"/>
      <c r="GU48" s="1901"/>
      <c r="GV48" s="1901"/>
      <c r="GW48" s="1901"/>
      <c r="GX48" s="1901"/>
      <c r="GY48" s="1901"/>
      <c r="GZ48" s="1901"/>
      <c r="HA48" s="1901"/>
      <c r="HB48" s="1901"/>
      <c r="HC48" s="1901"/>
      <c r="HD48" s="1901"/>
      <c r="HE48" s="1901"/>
      <c r="HF48" s="1901"/>
      <c r="HG48" s="1901"/>
      <c r="HH48" s="1901"/>
      <c r="HI48" s="1901"/>
      <c r="HJ48" s="1901"/>
      <c r="HK48" s="1901"/>
      <c r="HL48" s="1901"/>
      <c r="HM48" s="1901"/>
      <c r="HN48" s="1901"/>
      <c r="HO48" s="1901"/>
      <c r="HP48" s="1901"/>
      <c r="HQ48" s="1901"/>
      <c r="HR48" s="1901"/>
      <c r="HS48" s="1901"/>
      <c r="HT48" s="1901"/>
      <c r="HU48" s="1901"/>
      <c r="HV48" s="1901"/>
    </row>
    <row r="49" spans="1:230" s="1902" customFormat="1" ht="11.25" customHeight="1">
      <c r="A49" s="1953"/>
      <c r="B49" s="1954" t="s">
        <v>1263</v>
      </c>
      <c r="C49" s="1955"/>
      <c r="D49" s="1955"/>
      <c r="E49" s="1955"/>
      <c r="F49" s="1955"/>
      <c r="G49" s="1955"/>
      <c r="H49" s="1955"/>
      <c r="I49" s="1898"/>
      <c r="J49" s="1898"/>
      <c r="K49" s="1899"/>
      <c r="L49" s="1900"/>
      <c r="M49" s="1901"/>
      <c r="N49" s="1901"/>
      <c r="O49" s="1901"/>
      <c r="P49" s="1901"/>
      <c r="Q49" s="1901"/>
      <c r="R49" s="1901"/>
      <c r="S49" s="1901"/>
      <c r="T49" s="1901"/>
      <c r="U49" s="1901"/>
      <c r="V49" s="1901"/>
      <c r="W49" s="1901"/>
      <c r="X49" s="1901"/>
      <c r="Y49" s="1901"/>
      <c r="Z49" s="1901"/>
      <c r="AA49" s="1901"/>
      <c r="AB49" s="1901"/>
      <c r="AC49" s="1901"/>
      <c r="AD49" s="1901"/>
      <c r="AE49" s="1901"/>
      <c r="AF49" s="1901"/>
      <c r="AG49" s="1901"/>
      <c r="AH49" s="1901"/>
      <c r="AI49" s="1901"/>
      <c r="AJ49" s="1901"/>
      <c r="AK49" s="1901"/>
      <c r="AL49" s="1901"/>
      <c r="AM49" s="1901"/>
      <c r="AN49" s="1901"/>
      <c r="AO49" s="1901"/>
      <c r="AP49" s="1901"/>
      <c r="AQ49" s="1901"/>
      <c r="AR49" s="1901"/>
      <c r="AS49" s="1901"/>
      <c r="AT49" s="1901"/>
      <c r="AU49" s="1901"/>
      <c r="AV49" s="1901"/>
      <c r="AW49" s="1901"/>
      <c r="AX49" s="1901"/>
      <c r="AY49" s="1901"/>
      <c r="AZ49" s="1901"/>
      <c r="BA49" s="1901"/>
      <c r="BB49" s="1901"/>
      <c r="BC49" s="1901"/>
      <c r="BD49" s="1901"/>
      <c r="BE49" s="1901"/>
      <c r="BF49" s="1901"/>
      <c r="BG49" s="1901"/>
      <c r="BH49" s="1901"/>
      <c r="BI49" s="1901"/>
      <c r="BJ49" s="1901"/>
      <c r="BK49" s="1901"/>
      <c r="BL49" s="1901"/>
      <c r="BM49" s="1901"/>
      <c r="BN49" s="1901"/>
      <c r="BO49" s="1901"/>
      <c r="BP49" s="1901"/>
      <c r="BQ49" s="1901"/>
      <c r="BR49" s="1901"/>
      <c r="BS49" s="1901"/>
      <c r="BT49" s="1901"/>
      <c r="BU49" s="1901"/>
      <c r="BV49" s="1901"/>
      <c r="BW49" s="1901"/>
      <c r="BX49" s="1901"/>
      <c r="BY49" s="1901"/>
      <c r="BZ49" s="1901"/>
      <c r="CA49" s="1901"/>
      <c r="CB49" s="1901"/>
      <c r="CC49" s="1901"/>
      <c r="CD49" s="1901"/>
      <c r="CE49" s="1901"/>
      <c r="CF49" s="1901"/>
      <c r="CG49" s="1901"/>
      <c r="CH49" s="1901"/>
      <c r="CI49" s="1901"/>
      <c r="CJ49" s="1901"/>
      <c r="CK49" s="1901"/>
      <c r="CL49" s="1901"/>
      <c r="CM49" s="1901"/>
      <c r="CN49" s="1901"/>
      <c r="CO49" s="1901"/>
      <c r="CP49" s="1901"/>
      <c r="CQ49" s="1901"/>
      <c r="CR49" s="1901"/>
      <c r="CS49" s="1901"/>
      <c r="CT49" s="1901"/>
      <c r="CU49" s="1901"/>
      <c r="CV49" s="1901"/>
      <c r="CW49" s="1901"/>
      <c r="CX49" s="1901"/>
      <c r="CY49" s="1901"/>
      <c r="CZ49" s="1901"/>
      <c r="DA49" s="1901"/>
      <c r="DB49" s="1901"/>
      <c r="DC49" s="1901"/>
      <c r="DD49" s="1901"/>
      <c r="DE49" s="1901"/>
      <c r="DF49" s="1901"/>
      <c r="DG49" s="1901"/>
      <c r="DH49" s="1901"/>
      <c r="DI49" s="1901"/>
      <c r="DJ49" s="1901"/>
      <c r="DK49" s="1901"/>
      <c r="DL49" s="1901"/>
      <c r="DM49" s="1901"/>
      <c r="DN49" s="1901"/>
      <c r="DO49" s="1901"/>
      <c r="DP49" s="1901"/>
      <c r="DQ49" s="1901"/>
      <c r="DR49" s="1901"/>
      <c r="DS49" s="1901"/>
      <c r="DT49" s="1901"/>
      <c r="DU49" s="1901"/>
      <c r="DV49" s="1901"/>
      <c r="DW49" s="1901"/>
      <c r="DX49" s="1901"/>
      <c r="DY49" s="1901"/>
      <c r="DZ49" s="1901"/>
      <c r="EA49" s="1901"/>
      <c r="EB49" s="1901"/>
      <c r="EC49" s="1901"/>
      <c r="ED49" s="1901"/>
      <c r="EE49" s="1901"/>
      <c r="EF49" s="1901"/>
      <c r="EG49" s="1901"/>
      <c r="EH49" s="1901"/>
      <c r="EI49" s="1901"/>
      <c r="EJ49" s="1901"/>
      <c r="EK49" s="1901"/>
      <c r="EL49" s="1901"/>
      <c r="EM49" s="1901"/>
      <c r="EN49" s="1901"/>
      <c r="EO49" s="1901"/>
      <c r="EP49" s="1901"/>
      <c r="EQ49" s="1901"/>
      <c r="ER49" s="1901"/>
      <c r="ES49" s="1901"/>
      <c r="ET49" s="1901"/>
      <c r="EU49" s="1901"/>
      <c r="EV49" s="1901"/>
      <c r="EW49" s="1901"/>
      <c r="EX49" s="1901"/>
      <c r="EY49" s="1901"/>
      <c r="EZ49" s="1901"/>
      <c r="FA49" s="1901"/>
      <c r="FB49" s="1901"/>
      <c r="FC49" s="1901"/>
      <c r="FD49" s="1901"/>
      <c r="FE49" s="1901"/>
      <c r="FF49" s="1901"/>
      <c r="FG49" s="1901"/>
      <c r="FH49" s="1901"/>
      <c r="FI49" s="1901"/>
      <c r="FJ49" s="1901"/>
      <c r="FK49" s="1901"/>
      <c r="FL49" s="1901"/>
      <c r="FM49" s="1901"/>
      <c r="FN49" s="1901"/>
      <c r="FO49" s="1901"/>
      <c r="FP49" s="1901"/>
      <c r="FQ49" s="1901"/>
      <c r="FR49" s="1901"/>
      <c r="FS49" s="1901"/>
      <c r="FT49" s="1901"/>
      <c r="FU49" s="1901"/>
      <c r="FV49" s="1901"/>
      <c r="FW49" s="1901"/>
      <c r="FX49" s="1901"/>
      <c r="FY49" s="1901"/>
      <c r="FZ49" s="1901"/>
      <c r="GA49" s="1901"/>
      <c r="GB49" s="1901"/>
      <c r="GC49" s="1901"/>
      <c r="GD49" s="1901"/>
      <c r="GE49" s="1901"/>
      <c r="GF49" s="1901"/>
      <c r="GG49" s="1901"/>
      <c r="GH49" s="1901"/>
      <c r="GI49" s="1901"/>
      <c r="GJ49" s="1901"/>
      <c r="GK49" s="1901"/>
      <c r="GL49" s="1901"/>
      <c r="GM49" s="1901"/>
      <c r="GN49" s="1901"/>
      <c r="GO49" s="1901"/>
      <c r="GP49" s="1901"/>
      <c r="GQ49" s="1901"/>
      <c r="GR49" s="1901"/>
      <c r="GS49" s="1901"/>
      <c r="GT49" s="1901"/>
      <c r="GU49" s="1901"/>
      <c r="GV49" s="1901"/>
      <c r="GW49" s="1901"/>
      <c r="GX49" s="1901"/>
      <c r="GY49" s="1901"/>
      <c r="GZ49" s="1901"/>
      <c r="HA49" s="1901"/>
      <c r="HB49" s="1901"/>
      <c r="HC49" s="1901"/>
      <c r="HD49" s="1901"/>
      <c r="HE49" s="1901"/>
      <c r="HF49" s="1901"/>
      <c r="HG49" s="1901"/>
      <c r="HH49" s="1901"/>
      <c r="HI49" s="1901"/>
      <c r="HJ49" s="1901"/>
      <c r="HK49" s="1901"/>
      <c r="HL49" s="1901"/>
      <c r="HM49" s="1901"/>
      <c r="HN49" s="1901"/>
      <c r="HO49" s="1901"/>
      <c r="HP49" s="1901"/>
      <c r="HQ49" s="1901"/>
      <c r="HR49" s="1901"/>
      <c r="HS49" s="1901"/>
      <c r="HT49" s="1901"/>
      <c r="HU49" s="1901"/>
      <c r="HV49" s="1901"/>
    </row>
    <row r="50" spans="1:230" s="1902" customFormat="1" ht="11.25" customHeight="1">
      <c r="A50" s="1953"/>
      <c r="B50" s="1954" t="s">
        <v>1264</v>
      </c>
      <c r="C50" s="1955"/>
      <c r="D50" s="1955"/>
      <c r="E50" s="1955"/>
      <c r="F50" s="1955"/>
      <c r="G50" s="1955"/>
      <c r="H50" s="1955"/>
      <c r="I50" s="1898"/>
      <c r="J50" s="1898"/>
      <c r="K50" s="1899"/>
      <c r="L50" s="1900"/>
      <c r="M50" s="1901"/>
      <c r="N50" s="1901"/>
      <c r="O50" s="1901"/>
      <c r="P50" s="1901"/>
      <c r="Q50" s="1901"/>
      <c r="R50" s="1901"/>
      <c r="S50" s="1901"/>
      <c r="T50" s="1901"/>
      <c r="U50" s="1901"/>
      <c r="V50" s="1901"/>
      <c r="W50" s="1901"/>
      <c r="X50" s="1901"/>
      <c r="Y50" s="1901"/>
      <c r="Z50" s="1901"/>
      <c r="AA50" s="1901"/>
      <c r="AB50" s="1901"/>
      <c r="AC50" s="1901"/>
      <c r="AD50" s="1901"/>
      <c r="AE50" s="1901"/>
      <c r="AF50" s="1901"/>
      <c r="AG50" s="1901"/>
      <c r="AH50" s="1901"/>
      <c r="AI50" s="1901"/>
      <c r="AJ50" s="1901"/>
      <c r="AK50" s="1901"/>
      <c r="AL50" s="1901"/>
      <c r="AM50" s="1901"/>
      <c r="AN50" s="1901"/>
      <c r="AO50" s="1901"/>
      <c r="AP50" s="1901"/>
      <c r="AQ50" s="1901"/>
      <c r="AR50" s="1901"/>
      <c r="AS50" s="1901"/>
      <c r="AT50" s="1901"/>
      <c r="AU50" s="1901"/>
      <c r="AV50" s="1901"/>
      <c r="AW50" s="1901"/>
      <c r="AX50" s="1901"/>
      <c r="AY50" s="1901"/>
      <c r="AZ50" s="1901"/>
      <c r="BA50" s="1901"/>
      <c r="BB50" s="1901"/>
      <c r="BC50" s="1901"/>
      <c r="BD50" s="1901"/>
      <c r="BE50" s="1901"/>
      <c r="BF50" s="1901"/>
      <c r="BG50" s="1901"/>
      <c r="BH50" s="1901"/>
      <c r="BI50" s="1901"/>
      <c r="BJ50" s="1901"/>
      <c r="BK50" s="1901"/>
      <c r="BL50" s="1901"/>
      <c r="BM50" s="1901"/>
      <c r="BN50" s="1901"/>
      <c r="BO50" s="1901"/>
      <c r="BP50" s="1901"/>
      <c r="BQ50" s="1901"/>
      <c r="BR50" s="1901"/>
      <c r="BS50" s="1901"/>
      <c r="BT50" s="1901"/>
      <c r="BU50" s="1901"/>
      <c r="BV50" s="1901"/>
      <c r="BW50" s="1901"/>
      <c r="BX50" s="1901"/>
      <c r="BY50" s="1901"/>
      <c r="BZ50" s="1901"/>
      <c r="CA50" s="1901"/>
      <c r="CB50" s="1901"/>
      <c r="CC50" s="1901"/>
      <c r="CD50" s="1901"/>
      <c r="CE50" s="1901"/>
      <c r="CF50" s="1901"/>
      <c r="CG50" s="1901"/>
      <c r="CH50" s="1901"/>
      <c r="CI50" s="1901"/>
      <c r="CJ50" s="1901"/>
      <c r="CK50" s="1901"/>
      <c r="CL50" s="1901"/>
      <c r="CM50" s="1901"/>
      <c r="CN50" s="1901"/>
      <c r="CO50" s="1901"/>
      <c r="CP50" s="1901"/>
      <c r="CQ50" s="1901"/>
      <c r="CR50" s="1901"/>
      <c r="CS50" s="1901"/>
      <c r="CT50" s="1901"/>
      <c r="CU50" s="1901"/>
      <c r="CV50" s="1901"/>
      <c r="CW50" s="1901"/>
      <c r="CX50" s="1901"/>
      <c r="CY50" s="1901"/>
      <c r="CZ50" s="1901"/>
      <c r="DA50" s="1901"/>
      <c r="DB50" s="1901"/>
      <c r="DC50" s="1901"/>
      <c r="DD50" s="1901"/>
      <c r="DE50" s="1901"/>
      <c r="DF50" s="1901"/>
      <c r="DG50" s="1901"/>
      <c r="DH50" s="1901"/>
      <c r="DI50" s="1901"/>
      <c r="DJ50" s="1901"/>
      <c r="DK50" s="1901"/>
      <c r="DL50" s="1901"/>
      <c r="DM50" s="1901"/>
      <c r="DN50" s="1901"/>
      <c r="DO50" s="1901"/>
      <c r="DP50" s="1901"/>
      <c r="DQ50" s="1901"/>
      <c r="DR50" s="1901"/>
      <c r="DS50" s="1901"/>
      <c r="DT50" s="1901"/>
      <c r="DU50" s="1901"/>
      <c r="DV50" s="1901"/>
      <c r="DW50" s="1901"/>
      <c r="DX50" s="1901"/>
      <c r="DY50" s="1901"/>
      <c r="DZ50" s="1901"/>
      <c r="EA50" s="1901"/>
      <c r="EB50" s="1901"/>
      <c r="EC50" s="1901"/>
      <c r="ED50" s="1901"/>
      <c r="EE50" s="1901"/>
      <c r="EF50" s="1901"/>
      <c r="EG50" s="1901"/>
      <c r="EH50" s="1901"/>
      <c r="EI50" s="1901"/>
      <c r="EJ50" s="1901"/>
      <c r="EK50" s="1901"/>
      <c r="EL50" s="1901"/>
      <c r="EM50" s="1901"/>
      <c r="EN50" s="1901"/>
      <c r="EO50" s="1901"/>
      <c r="EP50" s="1901"/>
      <c r="EQ50" s="1901"/>
      <c r="ER50" s="1901"/>
      <c r="ES50" s="1901"/>
      <c r="ET50" s="1901"/>
      <c r="EU50" s="1901"/>
      <c r="EV50" s="1901"/>
      <c r="EW50" s="1901"/>
      <c r="EX50" s="1901"/>
      <c r="EY50" s="1901"/>
      <c r="EZ50" s="1901"/>
      <c r="FA50" s="1901"/>
      <c r="FB50" s="1901"/>
      <c r="FC50" s="1901"/>
      <c r="FD50" s="1901"/>
      <c r="FE50" s="1901"/>
      <c r="FF50" s="1901"/>
      <c r="FG50" s="1901"/>
      <c r="FH50" s="1901"/>
      <c r="FI50" s="1901"/>
      <c r="FJ50" s="1901"/>
      <c r="FK50" s="1901"/>
      <c r="FL50" s="1901"/>
      <c r="FM50" s="1901"/>
      <c r="FN50" s="1901"/>
      <c r="FO50" s="1901"/>
      <c r="FP50" s="1901"/>
      <c r="FQ50" s="1901"/>
      <c r="FR50" s="1901"/>
      <c r="FS50" s="1901"/>
      <c r="FT50" s="1901"/>
      <c r="FU50" s="1901"/>
      <c r="FV50" s="1901"/>
      <c r="FW50" s="1901"/>
      <c r="FX50" s="1901"/>
      <c r="FY50" s="1901"/>
      <c r="FZ50" s="1901"/>
      <c r="GA50" s="1901"/>
      <c r="GB50" s="1901"/>
      <c r="GC50" s="1901"/>
      <c r="GD50" s="1901"/>
      <c r="GE50" s="1901"/>
      <c r="GF50" s="1901"/>
      <c r="GG50" s="1901"/>
      <c r="GH50" s="1901"/>
      <c r="GI50" s="1901"/>
      <c r="GJ50" s="1901"/>
      <c r="GK50" s="1901"/>
      <c r="GL50" s="1901"/>
      <c r="GM50" s="1901"/>
      <c r="GN50" s="1901"/>
      <c r="GO50" s="1901"/>
      <c r="GP50" s="1901"/>
      <c r="GQ50" s="1901"/>
      <c r="GR50" s="1901"/>
      <c r="GS50" s="1901"/>
      <c r="GT50" s="1901"/>
      <c r="GU50" s="1901"/>
      <c r="GV50" s="1901"/>
      <c r="GW50" s="1901"/>
      <c r="GX50" s="1901"/>
      <c r="GY50" s="1901"/>
      <c r="GZ50" s="1901"/>
      <c r="HA50" s="1901"/>
      <c r="HB50" s="1901"/>
      <c r="HC50" s="1901"/>
      <c r="HD50" s="1901"/>
      <c r="HE50" s="1901"/>
      <c r="HF50" s="1901"/>
      <c r="HG50" s="1901"/>
      <c r="HH50" s="1901"/>
      <c r="HI50" s="1901"/>
      <c r="HJ50" s="1901"/>
      <c r="HK50" s="1901"/>
      <c r="HL50" s="1901"/>
      <c r="HM50" s="1901"/>
      <c r="HN50" s="1901"/>
      <c r="HO50" s="1901"/>
      <c r="HP50" s="1901"/>
      <c r="HQ50" s="1901"/>
      <c r="HR50" s="1901"/>
      <c r="HS50" s="1901"/>
      <c r="HT50" s="1901"/>
      <c r="HU50" s="1901"/>
      <c r="HV50" s="1901"/>
    </row>
    <row r="51" spans="1:230" s="1902" customFormat="1" ht="11.25" customHeight="1">
      <c r="A51" s="1953"/>
      <c r="B51" s="1954" t="s">
        <v>1265</v>
      </c>
      <c r="C51" s="1955"/>
      <c r="D51" s="1955"/>
      <c r="E51" s="1955"/>
      <c r="F51" s="1955"/>
      <c r="G51" s="1955"/>
      <c r="H51" s="1955"/>
      <c r="I51" s="1898"/>
      <c r="J51" s="1898"/>
      <c r="K51" s="1899"/>
      <c r="L51" s="1900"/>
      <c r="M51" s="1901"/>
      <c r="N51" s="1901"/>
      <c r="O51" s="1901"/>
      <c r="P51" s="1901"/>
      <c r="Q51" s="1901"/>
      <c r="R51" s="1901"/>
      <c r="S51" s="1901"/>
      <c r="T51" s="1901"/>
      <c r="U51" s="1901"/>
      <c r="V51" s="1901"/>
      <c r="W51" s="1901"/>
      <c r="X51" s="1901"/>
      <c r="Y51" s="1901"/>
      <c r="Z51" s="1901"/>
      <c r="AA51" s="1901"/>
      <c r="AB51" s="1901"/>
      <c r="AC51" s="1901"/>
      <c r="AD51" s="1901"/>
      <c r="AE51" s="1901"/>
      <c r="AF51" s="1901"/>
      <c r="AG51" s="1901"/>
      <c r="AH51" s="1901"/>
      <c r="AI51" s="1901"/>
      <c r="AJ51" s="1901"/>
      <c r="AK51" s="1901"/>
      <c r="AL51" s="1901"/>
      <c r="AM51" s="1901"/>
      <c r="AN51" s="1901"/>
      <c r="AO51" s="1901"/>
      <c r="AP51" s="1901"/>
      <c r="AQ51" s="1901"/>
      <c r="AR51" s="1901"/>
      <c r="AS51" s="1901"/>
      <c r="AT51" s="1901"/>
      <c r="AU51" s="1901"/>
      <c r="AV51" s="1901"/>
      <c r="AW51" s="1901"/>
      <c r="AX51" s="1901"/>
      <c r="AY51" s="1901"/>
      <c r="AZ51" s="1901"/>
      <c r="BA51" s="1901"/>
      <c r="BB51" s="1901"/>
      <c r="BC51" s="1901"/>
      <c r="BD51" s="1901"/>
      <c r="BE51" s="1901"/>
      <c r="BF51" s="1901"/>
      <c r="BG51" s="1901"/>
      <c r="BH51" s="1901"/>
      <c r="BI51" s="1901"/>
      <c r="BJ51" s="1901"/>
      <c r="BK51" s="1901"/>
      <c r="BL51" s="1901"/>
      <c r="BM51" s="1901"/>
      <c r="BN51" s="1901"/>
      <c r="BO51" s="1901"/>
      <c r="BP51" s="1901"/>
      <c r="BQ51" s="1901"/>
      <c r="BR51" s="1901"/>
      <c r="BS51" s="1901"/>
      <c r="BT51" s="1901"/>
      <c r="BU51" s="1901"/>
      <c r="BV51" s="1901"/>
      <c r="BW51" s="1901"/>
      <c r="BX51" s="1901"/>
      <c r="BY51" s="1901"/>
      <c r="BZ51" s="1901"/>
      <c r="CA51" s="1901"/>
      <c r="CB51" s="1901"/>
      <c r="CC51" s="1901"/>
      <c r="CD51" s="1901"/>
      <c r="CE51" s="1901"/>
      <c r="CF51" s="1901"/>
      <c r="CG51" s="1901"/>
      <c r="CH51" s="1901"/>
      <c r="CI51" s="1901"/>
      <c r="CJ51" s="1901"/>
      <c r="CK51" s="1901"/>
      <c r="CL51" s="1901"/>
      <c r="CM51" s="1901"/>
      <c r="CN51" s="1901"/>
      <c r="CO51" s="1901"/>
      <c r="CP51" s="1901"/>
      <c r="CQ51" s="1901"/>
      <c r="CR51" s="1901"/>
      <c r="CS51" s="1901"/>
      <c r="CT51" s="1901"/>
      <c r="CU51" s="1901"/>
      <c r="CV51" s="1901"/>
      <c r="CW51" s="1901"/>
      <c r="CX51" s="1901"/>
      <c r="CY51" s="1901"/>
      <c r="CZ51" s="1901"/>
      <c r="DA51" s="1901"/>
      <c r="DB51" s="1901"/>
      <c r="DC51" s="1901"/>
      <c r="DD51" s="1901"/>
      <c r="DE51" s="1901"/>
      <c r="DF51" s="1901"/>
      <c r="DG51" s="1901"/>
      <c r="DH51" s="1901"/>
      <c r="DI51" s="1901"/>
      <c r="DJ51" s="1901"/>
      <c r="DK51" s="1901"/>
      <c r="DL51" s="1901"/>
      <c r="DM51" s="1901"/>
      <c r="DN51" s="1901"/>
      <c r="DO51" s="1901"/>
      <c r="DP51" s="1901"/>
      <c r="DQ51" s="1901"/>
      <c r="DR51" s="1901"/>
      <c r="DS51" s="1901"/>
      <c r="DT51" s="1901"/>
      <c r="DU51" s="1901"/>
      <c r="DV51" s="1901"/>
      <c r="DW51" s="1901"/>
      <c r="DX51" s="1901"/>
      <c r="DY51" s="1901"/>
      <c r="DZ51" s="1901"/>
      <c r="EA51" s="1901"/>
      <c r="EB51" s="1901"/>
      <c r="EC51" s="1901"/>
      <c r="ED51" s="1901"/>
      <c r="EE51" s="1901"/>
      <c r="EF51" s="1901"/>
      <c r="EG51" s="1901"/>
      <c r="EH51" s="1901"/>
      <c r="EI51" s="1901"/>
      <c r="EJ51" s="1901"/>
      <c r="EK51" s="1901"/>
      <c r="EL51" s="1901"/>
      <c r="EM51" s="1901"/>
      <c r="EN51" s="1901"/>
      <c r="EO51" s="1901"/>
      <c r="EP51" s="1901"/>
      <c r="EQ51" s="1901"/>
      <c r="ER51" s="1901"/>
      <c r="ES51" s="1901"/>
      <c r="ET51" s="1901"/>
      <c r="EU51" s="1901"/>
      <c r="EV51" s="1901"/>
      <c r="EW51" s="1901"/>
      <c r="EX51" s="1901"/>
      <c r="EY51" s="1901"/>
      <c r="EZ51" s="1901"/>
      <c r="FA51" s="1901"/>
      <c r="FB51" s="1901"/>
      <c r="FC51" s="1901"/>
      <c r="FD51" s="1901"/>
      <c r="FE51" s="1901"/>
      <c r="FF51" s="1901"/>
      <c r="FG51" s="1901"/>
      <c r="FH51" s="1901"/>
      <c r="FI51" s="1901"/>
      <c r="FJ51" s="1901"/>
      <c r="FK51" s="1901"/>
      <c r="FL51" s="1901"/>
      <c r="FM51" s="1901"/>
      <c r="FN51" s="1901"/>
      <c r="FO51" s="1901"/>
      <c r="FP51" s="1901"/>
      <c r="FQ51" s="1901"/>
      <c r="FR51" s="1901"/>
      <c r="FS51" s="1901"/>
      <c r="FT51" s="1901"/>
      <c r="FU51" s="1901"/>
      <c r="FV51" s="1901"/>
      <c r="FW51" s="1901"/>
      <c r="FX51" s="1901"/>
      <c r="FY51" s="1901"/>
      <c r="FZ51" s="1901"/>
      <c r="GA51" s="1901"/>
      <c r="GB51" s="1901"/>
      <c r="GC51" s="1901"/>
      <c r="GD51" s="1901"/>
      <c r="GE51" s="1901"/>
      <c r="GF51" s="1901"/>
      <c r="GG51" s="1901"/>
      <c r="GH51" s="1901"/>
      <c r="GI51" s="1901"/>
      <c r="GJ51" s="1901"/>
      <c r="GK51" s="1901"/>
      <c r="GL51" s="1901"/>
      <c r="GM51" s="1901"/>
      <c r="GN51" s="1901"/>
      <c r="GO51" s="1901"/>
      <c r="GP51" s="1901"/>
      <c r="GQ51" s="1901"/>
      <c r="GR51" s="1901"/>
      <c r="GS51" s="1901"/>
      <c r="GT51" s="1901"/>
      <c r="GU51" s="1901"/>
      <c r="GV51" s="1901"/>
      <c r="GW51" s="1901"/>
      <c r="GX51" s="1901"/>
      <c r="GY51" s="1901"/>
      <c r="GZ51" s="1901"/>
      <c r="HA51" s="1901"/>
      <c r="HB51" s="1901"/>
      <c r="HC51" s="1901"/>
      <c r="HD51" s="1901"/>
      <c r="HE51" s="1901"/>
      <c r="HF51" s="1901"/>
      <c r="HG51" s="1901"/>
      <c r="HH51" s="1901"/>
      <c r="HI51" s="1901"/>
      <c r="HJ51" s="1901"/>
      <c r="HK51" s="1901"/>
      <c r="HL51" s="1901"/>
      <c r="HM51" s="1901"/>
      <c r="HN51" s="1901"/>
      <c r="HO51" s="1901"/>
      <c r="HP51" s="1901"/>
      <c r="HQ51" s="1901"/>
      <c r="HR51" s="1901"/>
      <c r="HS51" s="1901"/>
      <c r="HT51" s="1901"/>
      <c r="HU51" s="1901"/>
      <c r="HV51" s="1901"/>
    </row>
    <row r="52" spans="1:230" s="1902" customFormat="1" ht="11.25" customHeight="1">
      <c r="A52" s="1953"/>
      <c r="B52" s="1954" t="s">
        <v>1266</v>
      </c>
      <c r="C52" s="1955"/>
      <c r="D52" s="1955"/>
      <c r="E52" s="1955"/>
      <c r="F52" s="1955"/>
      <c r="G52" s="1955"/>
      <c r="H52" s="1955"/>
      <c r="I52" s="1898"/>
      <c r="J52" s="1898"/>
      <c r="K52" s="1899"/>
      <c r="L52" s="1900"/>
      <c r="M52" s="1901"/>
      <c r="N52" s="1901"/>
      <c r="O52" s="1901"/>
      <c r="P52" s="1901"/>
      <c r="Q52" s="1901"/>
      <c r="R52" s="1901"/>
      <c r="S52" s="1901"/>
      <c r="T52" s="1901"/>
      <c r="U52" s="1901"/>
      <c r="V52" s="1901"/>
      <c r="W52" s="1901"/>
      <c r="X52" s="1901"/>
      <c r="Y52" s="1901"/>
      <c r="Z52" s="1901"/>
      <c r="AA52" s="1901"/>
      <c r="AB52" s="1901"/>
      <c r="AC52" s="1901"/>
      <c r="AD52" s="1901"/>
      <c r="AE52" s="1901"/>
      <c r="AF52" s="1901"/>
      <c r="AG52" s="1901"/>
      <c r="AH52" s="1901"/>
      <c r="AI52" s="1901"/>
      <c r="AJ52" s="1901"/>
      <c r="AK52" s="1901"/>
      <c r="AL52" s="1901"/>
      <c r="AM52" s="1901"/>
      <c r="AN52" s="1901"/>
      <c r="AO52" s="1901"/>
      <c r="AP52" s="1901"/>
      <c r="AQ52" s="1901"/>
      <c r="AR52" s="1901"/>
      <c r="AS52" s="1901"/>
      <c r="AT52" s="1901"/>
      <c r="AU52" s="1901"/>
      <c r="AV52" s="1901"/>
      <c r="AW52" s="1901"/>
      <c r="AX52" s="1901"/>
      <c r="AY52" s="1901"/>
      <c r="AZ52" s="1901"/>
      <c r="BA52" s="1901"/>
      <c r="BB52" s="1901"/>
      <c r="BC52" s="1901"/>
      <c r="BD52" s="1901"/>
      <c r="BE52" s="1901"/>
      <c r="BF52" s="1901"/>
      <c r="BG52" s="1901"/>
      <c r="BH52" s="1901"/>
      <c r="BI52" s="1901"/>
      <c r="BJ52" s="1901"/>
      <c r="BK52" s="1901"/>
      <c r="BL52" s="1901"/>
      <c r="BM52" s="1901"/>
      <c r="BN52" s="1901"/>
      <c r="BO52" s="1901"/>
      <c r="BP52" s="1901"/>
      <c r="BQ52" s="1901"/>
      <c r="BR52" s="1901"/>
      <c r="BS52" s="1901"/>
      <c r="BT52" s="1901"/>
      <c r="BU52" s="1901"/>
      <c r="BV52" s="1901"/>
      <c r="BW52" s="1901"/>
      <c r="BX52" s="1901"/>
      <c r="BY52" s="1901"/>
      <c r="BZ52" s="1901"/>
      <c r="CA52" s="1901"/>
      <c r="CB52" s="1901"/>
      <c r="CC52" s="1901"/>
      <c r="CD52" s="1901"/>
      <c r="CE52" s="1901"/>
      <c r="CF52" s="1901"/>
      <c r="CG52" s="1901"/>
      <c r="CH52" s="1901"/>
      <c r="CI52" s="1901"/>
      <c r="CJ52" s="1901"/>
      <c r="CK52" s="1901"/>
      <c r="CL52" s="1901"/>
      <c r="CM52" s="1901"/>
      <c r="CN52" s="1901"/>
      <c r="CO52" s="1901"/>
      <c r="CP52" s="1901"/>
      <c r="CQ52" s="1901"/>
      <c r="CR52" s="1901"/>
      <c r="CS52" s="1901"/>
      <c r="CT52" s="1901"/>
      <c r="CU52" s="1901"/>
      <c r="CV52" s="1901"/>
      <c r="CW52" s="1901"/>
      <c r="CX52" s="1901"/>
      <c r="CY52" s="1901"/>
      <c r="CZ52" s="1901"/>
      <c r="DA52" s="1901"/>
      <c r="DB52" s="1901"/>
      <c r="DC52" s="1901"/>
      <c r="DD52" s="1901"/>
      <c r="DE52" s="1901"/>
      <c r="DF52" s="1901"/>
      <c r="DG52" s="1901"/>
      <c r="DH52" s="1901"/>
      <c r="DI52" s="1901"/>
      <c r="DJ52" s="1901"/>
      <c r="DK52" s="1901"/>
      <c r="DL52" s="1901"/>
      <c r="DM52" s="1901"/>
      <c r="DN52" s="1901"/>
      <c r="DO52" s="1901"/>
      <c r="DP52" s="1901"/>
      <c r="DQ52" s="1901"/>
      <c r="DR52" s="1901"/>
      <c r="DS52" s="1901"/>
      <c r="DT52" s="1901"/>
      <c r="DU52" s="1901"/>
      <c r="DV52" s="1901"/>
      <c r="DW52" s="1901"/>
      <c r="DX52" s="1901"/>
      <c r="DY52" s="1901"/>
      <c r="DZ52" s="1901"/>
      <c r="EA52" s="1901"/>
      <c r="EB52" s="1901"/>
      <c r="EC52" s="1901"/>
      <c r="ED52" s="1901"/>
      <c r="EE52" s="1901"/>
      <c r="EF52" s="1901"/>
      <c r="EG52" s="1901"/>
      <c r="EH52" s="1901"/>
      <c r="EI52" s="1901"/>
      <c r="EJ52" s="1901"/>
      <c r="EK52" s="1901"/>
      <c r="EL52" s="1901"/>
      <c r="EM52" s="1901"/>
      <c r="EN52" s="1901"/>
      <c r="EO52" s="1901"/>
      <c r="EP52" s="1901"/>
      <c r="EQ52" s="1901"/>
      <c r="ER52" s="1901"/>
      <c r="ES52" s="1901"/>
      <c r="ET52" s="1901"/>
      <c r="EU52" s="1901"/>
      <c r="EV52" s="1901"/>
      <c r="EW52" s="1901"/>
      <c r="EX52" s="1901"/>
      <c r="EY52" s="1901"/>
      <c r="EZ52" s="1901"/>
      <c r="FA52" s="1901"/>
      <c r="FB52" s="1901"/>
      <c r="FC52" s="1901"/>
      <c r="FD52" s="1901"/>
      <c r="FE52" s="1901"/>
      <c r="FF52" s="1901"/>
      <c r="FG52" s="1901"/>
      <c r="FH52" s="1901"/>
      <c r="FI52" s="1901"/>
      <c r="FJ52" s="1901"/>
      <c r="FK52" s="1901"/>
      <c r="FL52" s="1901"/>
      <c r="FM52" s="1901"/>
      <c r="FN52" s="1901"/>
      <c r="FO52" s="1901"/>
      <c r="FP52" s="1901"/>
      <c r="FQ52" s="1901"/>
      <c r="FR52" s="1901"/>
      <c r="FS52" s="1901"/>
      <c r="FT52" s="1901"/>
      <c r="FU52" s="1901"/>
      <c r="FV52" s="1901"/>
      <c r="FW52" s="1901"/>
      <c r="FX52" s="1901"/>
      <c r="FY52" s="1901"/>
      <c r="FZ52" s="1901"/>
      <c r="GA52" s="1901"/>
      <c r="GB52" s="1901"/>
      <c r="GC52" s="1901"/>
      <c r="GD52" s="1901"/>
      <c r="GE52" s="1901"/>
      <c r="GF52" s="1901"/>
      <c r="GG52" s="1901"/>
      <c r="GH52" s="1901"/>
      <c r="GI52" s="1901"/>
      <c r="GJ52" s="1901"/>
      <c r="GK52" s="1901"/>
      <c r="GL52" s="1901"/>
      <c r="GM52" s="1901"/>
      <c r="GN52" s="1901"/>
      <c r="GO52" s="1901"/>
      <c r="GP52" s="1901"/>
      <c r="GQ52" s="1901"/>
      <c r="GR52" s="1901"/>
      <c r="GS52" s="1901"/>
      <c r="GT52" s="1901"/>
      <c r="GU52" s="1901"/>
      <c r="GV52" s="1901"/>
      <c r="GW52" s="1901"/>
      <c r="GX52" s="1901"/>
      <c r="GY52" s="1901"/>
      <c r="GZ52" s="1901"/>
      <c r="HA52" s="1901"/>
      <c r="HB52" s="1901"/>
      <c r="HC52" s="1901"/>
      <c r="HD52" s="1901"/>
      <c r="HE52" s="1901"/>
      <c r="HF52" s="1901"/>
      <c r="HG52" s="1901"/>
      <c r="HH52" s="1901"/>
      <c r="HI52" s="1901"/>
      <c r="HJ52" s="1901"/>
      <c r="HK52" s="1901"/>
      <c r="HL52" s="1901"/>
      <c r="HM52" s="1901"/>
      <c r="HN52" s="1901"/>
      <c r="HO52" s="1901"/>
      <c r="HP52" s="1901"/>
      <c r="HQ52" s="1901"/>
      <c r="HR52" s="1901"/>
      <c r="HS52" s="1901"/>
      <c r="HT52" s="1901"/>
      <c r="HU52" s="1901"/>
      <c r="HV52" s="1901"/>
    </row>
    <row r="53" spans="1:230" s="1902" customFormat="1" ht="11.25" customHeight="1">
      <c r="A53" s="1953"/>
      <c r="B53" s="1954" t="s">
        <v>1267</v>
      </c>
      <c r="C53" s="1955"/>
      <c r="D53" s="1955"/>
      <c r="E53" s="1955"/>
      <c r="F53" s="1955"/>
      <c r="G53" s="1955"/>
      <c r="H53" s="1955"/>
      <c r="I53" s="1898"/>
      <c r="J53" s="1898"/>
      <c r="K53" s="1899"/>
      <c r="L53" s="1900"/>
      <c r="M53" s="1901"/>
      <c r="N53" s="1901"/>
      <c r="O53" s="1901"/>
      <c r="P53" s="1901"/>
      <c r="Q53" s="1901"/>
      <c r="R53" s="1901"/>
      <c r="S53" s="1901"/>
      <c r="T53" s="1901"/>
      <c r="U53" s="1901"/>
      <c r="V53" s="1901"/>
      <c r="W53" s="1901"/>
      <c r="X53" s="1901"/>
      <c r="Y53" s="1901"/>
      <c r="Z53" s="1901"/>
      <c r="AA53" s="1901"/>
      <c r="AB53" s="1901"/>
      <c r="AC53" s="1901"/>
      <c r="AD53" s="1901"/>
      <c r="AE53" s="1901"/>
      <c r="AF53" s="1901"/>
      <c r="AG53" s="1901"/>
      <c r="AH53" s="1901"/>
      <c r="AI53" s="1901"/>
      <c r="AJ53" s="1901"/>
      <c r="AK53" s="1901"/>
      <c r="AL53" s="1901"/>
      <c r="AM53" s="1901"/>
      <c r="AN53" s="1901"/>
      <c r="AO53" s="1901"/>
      <c r="AP53" s="1901"/>
      <c r="AQ53" s="1901"/>
      <c r="AR53" s="1901"/>
      <c r="AS53" s="1901"/>
      <c r="AT53" s="1901"/>
      <c r="AU53" s="1901"/>
      <c r="AV53" s="1901"/>
      <c r="AW53" s="1901"/>
      <c r="AX53" s="1901"/>
      <c r="AY53" s="1901"/>
      <c r="AZ53" s="1901"/>
      <c r="BA53" s="1901"/>
      <c r="BB53" s="1901"/>
      <c r="BC53" s="1901"/>
      <c r="BD53" s="1901"/>
      <c r="BE53" s="1901"/>
      <c r="BF53" s="1901"/>
      <c r="BG53" s="1901"/>
      <c r="BH53" s="1901"/>
      <c r="BI53" s="1901"/>
      <c r="BJ53" s="1901"/>
      <c r="BK53" s="1901"/>
      <c r="BL53" s="1901"/>
      <c r="BM53" s="1901"/>
      <c r="BN53" s="1901"/>
      <c r="BO53" s="1901"/>
      <c r="BP53" s="1901"/>
      <c r="BQ53" s="1901"/>
      <c r="BR53" s="1901"/>
      <c r="BS53" s="1901"/>
      <c r="BT53" s="1901"/>
      <c r="BU53" s="1901"/>
      <c r="BV53" s="1901"/>
      <c r="BW53" s="1901"/>
      <c r="BX53" s="1901"/>
      <c r="BY53" s="1901"/>
      <c r="BZ53" s="1901"/>
      <c r="CA53" s="1901"/>
      <c r="CB53" s="1901"/>
      <c r="CC53" s="1901"/>
      <c r="CD53" s="1901"/>
      <c r="CE53" s="1901"/>
      <c r="CF53" s="1901"/>
      <c r="CG53" s="1901"/>
      <c r="CH53" s="1901"/>
      <c r="CI53" s="1901"/>
      <c r="CJ53" s="1901"/>
      <c r="CK53" s="1901"/>
      <c r="CL53" s="1901"/>
      <c r="CM53" s="1901"/>
      <c r="CN53" s="1901"/>
      <c r="CO53" s="1901"/>
      <c r="CP53" s="1901"/>
      <c r="CQ53" s="1901"/>
      <c r="CR53" s="1901"/>
      <c r="CS53" s="1901"/>
      <c r="CT53" s="1901"/>
      <c r="CU53" s="1901"/>
      <c r="CV53" s="1901"/>
      <c r="CW53" s="1901"/>
      <c r="CX53" s="1901"/>
      <c r="CY53" s="1901"/>
      <c r="CZ53" s="1901"/>
      <c r="DA53" s="1901"/>
      <c r="DB53" s="1901"/>
      <c r="DC53" s="1901"/>
      <c r="DD53" s="1901"/>
      <c r="DE53" s="1901"/>
      <c r="DF53" s="1901"/>
      <c r="DG53" s="1901"/>
      <c r="DH53" s="1901"/>
      <c r="DI53" s="1901"/>
      <c r="DJ53" s="1901"/>
      <c r="DK53" s="1901"/>
      <c r="DL53" s="1901"/>
      <c r="DM53" s="1901"/>
      <c r="DN53" s="1901"/>
      <c r="DO53" s="1901"/>
      <c r="DP53" s="1901"/>
      <c r="DQ53" s="1901"/>
      <c r="DR53" s="1901"/>
      <c r="DS53" s="1901"/>
      <c r="DT53" s="1901"/>
      <c r="DU53" s="1901"/>
      <c r="DV53" s="1901"/>
      <c r="DW53" s="1901"/>
      <c r="DX53" s="1901"/>
      <c r="DY53" s="1901"/>
      <c r="DZ53" s="1901"/>
      <c r="EA53" s="1901"/>
      <c r="EB53" s="1901"/>
      <c r="EC53" s="1901"/>
      <c r="ED53" s="1901"/>
      <c r="EE53" s="1901"/>
      <c r="EF53" s="1901"/>
      <c r="EG53" s="1901"/>
      <c r="EH53" s="1901"/>
      <c r="EI53" s="1901"/>
      <c r="EJ53" s="1901"/>
      <c r="EK53" s="1901"/>
      <c r="EL53" s="1901"/>
      <c r="EM53" s="1901"/>
      <c r="EN53" s="1901"/>
      <c r="EO53" s="1901"/>
      <c r="EP53" s="1901"/>
      <c r="EQ53" s="1901"/>
      <c r="ER53" s="1901"/>
      <c r="ES53" s="1901"/>
      <c r="ET53" s="1901"/>
      <c r="EU53" s="1901"/>
      <c r="EV53" s="1901"/>
      <c r="EW53" s="1901"/>
      <c r="EX53" s="1901"/>
      <c r="EY53" s="1901"/>
      <c r="EZ53" s="1901"/>
      <c r="FA53" s="1901"/>
      <c r="FB53" s="1901"/>
      <c r="FC53" s="1901"/>
      <c r="FD53" s="1901"/>
      <c r="FE53" s="1901"/>
      <c r="FF53" s="1901"/>
      <c r="FG53" s="1901"/>
      <c r="FH53" s="1901"/>
      <c r="FI53" s="1901"/>
      <c r="FJ53" s="1901"/>
      <c r="FK53" s="1901"/>
      <c r="FL53" s="1901"/>
      <c r="FM53" s="1901"/>
      <c r="FN53" s="1901"/>
      <c r="FO53" s="1901"/>
      <c r="FP53" s="1901"/>
      <c r="FQ53" s="1901"/>
      <c r="FR53" s="1901"/>
      <c r="FS53" s="1901"/>
      <c r="FT53" s="1901"/>
      <c r="FU53" s="1901"/>
      <c r="FV53" s="1901"/>
      <c r="FW53" s="1901"/>
      <c r="FX53" s="1901"/>
      <c r="FY53" s="1901"/>
      <c r="FZ53" s="1901"/>
      <c r="GA53" s="1901"/>
      <c r="GB53" s="1901"/>
      <c r="GC53" s="1901"/>
      <c r="GD53" s="1901"/>
      <c r="GE53" s="1901"/>
      <c r="GF53" s="1901"/>
      <c r="GG53" s="1901"/>
      <c r="GH53" s="1901"/>
      <c r="GI53" s="1901"/>
      <c r="GJ53" s="1901"/>
      <c r="GK53" s="1901"/>
      <c r="GL53" s="1901"/>
      <c r="GM53" s="1901"/>
      <c r="GN53" s="1901"/>
      <c r="GO53" s="1901"/>
      <c r="GP53" s="1901"/>
      <c r="GQ53" s="1901"/>
      <c r="GR53" s="1901"/>
      <c r="GS53" s="1901"/>
      <c r="GT53" s="1901"/>
      <c r="GU53" s="1901"/>
      <c r="GV53" s="1901"/>
      <c r="GW53" s="1901"/>
      <c r="GX53" s="1901"/>
      <c r="GY53" s="1901"/>
      <c r="GZ53" s="1901"/>
      <c r="HA53" s="1901"/>
      <c r="HB53" s="1901"/>
      <c r="HC53" s="1901"/>
      <c r="HD53" s="1901"/>
      <c r="HE53" s="1901"/>
      <c r="HF53" s="1901"/>
      <c r="HG53" s="1901"/>
      <c r="HH53" s="1901"/>
      <c r="HI53" s="1901"/>
      <c r="HJ53" s="1901"/>
      <c r="HK53" s="1901"/>
      <c r="HL53" s="1901"/>
      <c r="HM53" s="1901"/>
      <c r="HN53" s="1901"/>
      <c r="HO53" s="1901"/>
      <c r="HP53" s="1901"/>
      <c r="HQ53" s="1901"/>
      <c r="HR53" s="1901"/>
      <c r="HS53" s="1901"/>
      <c r="HT53" s="1901"/>
      <c r="HU53" s="1901"/>
      <c r="HV53" s="1901"/>
    </row>
    <row r="54" spans="1:230" s="1902" customFormat="1" ht="11.25" customHeight="1">
      <c r="A54" s="1953"/>
      <c r="B54" s="1954" t="s">
        <v>1268</v>
      </c>
      <c r="C54" s="1955"/>
      <c r="D54" s="1955"/>
      <c r="E54" s="1955"/>
      <c r="F54" s="1955"/>
      <c r="G54" s="1955"/>
      <c r="H54" s="1955"/>
      <c r="I54" s="1898"/>
      <c r="J54" s="1898"/>
      <c r="K54" s="1899"/>
      <c r="L54" s="1900"/>
      <c r="M54" s="1901"/>
      <c r="N54" s="1901"/>
      <c r="O54" s="1901"/>
      <c r="P54" s="1901"/>
      <c r="Q54" s="1901"/>
      <c r="R54" s="1901"/>
      <c r="S54" s="1901"/>
      <c r="T54" s="1901"/>
      <c r="U54" s="1901"/>
      <c r="V54" s="1901"/>
      <c r="W54" s="1901"/>
      <c r="X54" s="1901"/>
      <c r="Y54" s="1901"/>
      <c r="Z54" s="1901"/>
      <c r="AA54" s="1901"/>
      <c r="AB54" s="1901"/>
      <c r="AC54" s="1901"/>
      <c r="AD54" s="1901"/>
      <c r="AE54" s="1901"/>
      <c r="AF54" s="1901"/>
      <c r="AG54" s="1901"/>
      <c r="AH54" s="1901"/>
      <c r="AI54" s="1901"/>
      <c r="AJ54" s="1901"/>
      <c r="AK54" s="1901"/>
      <c r="AL54" s="1901"/>
      <c r="AM54" s="1901"/>
      <c r="AN54" s="1901"/>
      <c r="AO54" s="1901"/>
      <c r="AP54" s="1901"/>
      <c r="AQ54" s="1901"/>
      <c r="AR54" s="1901"/>
      <c r="AS54" s="1901"/>
      <c r="AT54" s="1901"/>
      <c r="AU54" s="1901"/>
      <c r="AV54" s="1901"/>
      <c r="AW54" s="1901"/>
      <c r="AX54" s="1901"/>
      <c r="AY54" s="1901"/>
      <c r="AZ54" s="1901"/>
      <c r="BA54" s="1901"/>
      <c r="BB54" s="1901"/>
      <c r="BC54" s="1901"/>
      <c r="BD54" s="1901"/>
      <c r="BE54" s="1901"/>
      <c r="BF54" s="1901"/>
      <c r="BG54" s="1901"/>
      <c r="BH54" s="1901"/>
      <c r="BI54" s="1901"/>
      <c r="BJ54" s="1901"/>
      <c r="BK54" s="1901"/>
      <c r="BL54" s="1901"/>
      <c r="BM54" s="1901"/>
      <c r="BN54" s="1901"/>
      <c r="BO54" s="1901"/>
      <c r="BP54" s="1901"/>
      <c r="BQ54" s="1901"/>
      <c r="BR54" s="1901"/>
      <c r="BS54" s="1901"/>
      <c r="BT54" s="1901"/>
      <c r="BU54" s="1901"/>
      <c r="BV54" s="1901"/>
      <c r="BW54" s="1901"/>
      <c r="BX54" s="1901"/>
      <c r="BY54" s="1901"/>
      <c r="BZ54" s="1901"/>
      <c r="CA54" s="1901"/>
      <c r="CB54" s="1901"/>
      <c r="CC54" s="1901"/>
      <c r="CD54" s="1901"/>
      <c r="CE54" s="1901"/>
      <c r="CF54" s="1901"/>
      <c r="CG54" s="1901"/>
      <c r="CH54" s="1901"/>
      <c r="CI54" s="1901"/>
      <c r="CJ54" s="1901"/>
      <c r="CK54" s="1901"/>
      <c r="CL54" s="1901"/>
      <c r="CM54" s="1901"/>
      <c r="CN54" s="1901"/>
      <c r="CO54" s="1901"/>
      <c r="CP54" s="1901"/>
      <c r="CQ54" s="1901"/>
      <c r="CR54" s="1901"/>
      <c r="CS54" s="1901"/>
      <c r="CT54" s="1901"/>
      <c r="CU54" s="1901"/>
      <c r="CV54" s="1901"/>
      <c r="CW54" s="1901"/>
      <c r="CX54" s="1901"/>
      <c r="CY54" s="1901"/>
      <c r="CZ54" s="1901"/>
      <c r="DA54" s="1901"/>
      <c r="DB54" s="1901"/>
      <c r="DC54" s="1901"/>
      <c r="DD54" s="1901"/>
      <c r="DE54" s="1901"/>
      <c r="DF54" s="1901"/>
      <c r="DG54" s="1901"/>
      <c r="DH54" s="1901"/>
      <c r="DI54" s="1901"/>
      <c r="DJ54" s="1901"/>
      <c r="DK54" s="1901"/>
      <c r="DL54" s="1901"/>
      <c r="DM54" s="1901"/>
      <c r="DN54" s="1901"/>
      <c r="DO54" s="1901"/>
      <c r="DP54" s="1901"/>
      <c r="DQ54" s="1901"/>
      <c r="DR54" s="1901"/>
      <c r="DS54" s="1901"/>
      <c r="DT54" s="1901"/>
      <c r="DU54" s="1901"/>
      <c r="DV54" s="1901"/>
      <c r="DW54" s="1901"/>
      <c r="DX54" s="1901"/>
      <c r="DY54" s="1901"/>
      <c r="DZ54" s="1901"/>
      <c r="EA54" s="1901"/>
      <c r="EB54" s="1901"/>
      <c r="EC54" s="1901"/>
      <c r="ED54" s="1901"/>
      <c r="EE54" s="1901"/>
      <c r="EF54" s="1901"/>
      <c r="EG54" s="1901"/>
      <c r="EH54" s="1901"/>
      <c r="EI54" s="1901"/>
      <c r="EJ54" s="1901"/>
      <c r="EK54" s="1901"/>
      <c r="EL54" s="1901"/>
      <c r="EM54" s="1901"/>
      <c r="EN54" s="1901"/>
      <c r="EO54" s="1901"/>
      <c r="EP54" s="1901"/>
      <c r="EQ54" s="1901"/>
      <c r="ER54" s="1901"/>
      <c r="ES54" s="1901"/>
      <c r="ET54" s="1901"/>
      <c r="EU54" s="1901"/>
      <c r="EV54" s="1901"/>
      <c r="EW54" s="1901"/>
      <c r="EX54" s="1901"/>
      <c r="EY54" s="1901"/>
      <c r="EZ54" s="1901"/>
      <c r="FA54" s="1901"/>
      <c r="FB54" s="1901"/>
      <c r="FC54" s="1901"/>
      <c r="FD54" s="1901"/>
      <c r="FE54" s="1901"/>
      <c r="FF54" s="1901"/>
      <c r="FG54" s="1901"/>
      <c r="FH54" s="1901"/>
      <c r="FI54" s="1901"/>
      <c r="FJ54" s="1901"/>
      <c r="FK54" s="1901"/>
      <c r="FL54" s="1901"/>
      <c r="FM54" s="1901"/>
      <c r="FN54" s="1901"/>
      <c r="FO54" s="1901"/>
      <c r="FP54" s="1901"/>
      <c r="FQ54" s="1901"/>
      <c r="FR54" s="1901"/>
      <c r="FS54" s="1901"/>
      <c r="FT54" s="1901"/>
      <c r="FU54" s="1901"/>
      <c r="FV54" s="1901"/>
      <c r="FW54" s="1901"/>
      <c r="FX54" s="1901"/>
      <c r="FY54" s="1901"/>
      <c r="FZ54" s="1901"/>
      <c r="GA54" s="1901"/>
      <c r="GB54" s="1901"/>
      <c r="GC54" s="1901"/>
      <c r="GD54" s="1901"/>
      <c r="GE54" s="1901"/>
      <c r="GF54" s="1901"/>
      <c r="GG54" s="1901"/>
      <c r="GH54" s="1901"/>
      <c r="GI54" s="1901"/>
      <c r="GJ54" s="1901"/>
      <c r="GK54" s="1901"/>
      <c r="GL54" s="1901"/>
      <c r="GM54" s="1901"/>
      <c r="GN54" s="1901"/>
      <c r="GO54" s="1901"/>
      <c r="GP54" s="1901"/>
      <c r="GQ54" s="1901"/>
      <c r="GR54" s="1901"/>
      <c r="GS54" s="1901"/>
      <c r="GT54" s="1901"/>
      <c r="GU54" s="1901"/>
      <c r="GV54" s="1901"/>
      <c r="GW54" s="1901"/>
      <c r="GX54" s="1901"/>
      <c r="GY54" s="1901"/>
      <c r="GZ54" s="1901"/>
      <c r="HA54" s="1901"/>
      <c r="HB54" s="1901"/>
      <c r="HC54" s="1901"/>
      <c r="HD54" s="1901"/>
      <c r="HE54" s="1901"/>
      <c r="HF54" s="1901"/>
      <c r="HG54" s="1901"/>
      <c r="HH54" s="1901"/>
      <c r="HI54" s="1901"/>
      <c r="HJ54" s="1901"/>
      <c r="HK54" s="1901"/>
      <c r="HL54" s="1901"/>
      <c r="HM54" s="1901"/>
      <c r="HN54" s="1901"/>
      <c r="HO54" s="1901"/>
      <c r="HP54" s="1901"/>
      <c r="HQ54" s="1901"/>
      <c r="HR54" s="1901"/>
      <c r="HS54" s="1901"/>
      <c r="HT54" s="1901"/>
      <c r="HU54" s="1901"/>
      <c r="HV54" s="1901"/>
    </row>
    <row r="55" spans="1:230" s="1897" customFormat="1" ht="11.25" customHeight="1">
      <c r="A55" s="1930"/>
      <c r="B55" s="1939" t="s">
        <v>1269</v>
      </c>
      <c r="C55" s="1932"/>
      <c r="D55" s="1932"/>
      <c r="E55" s="1932"/>
      <c r="F55" s="1932"/>
      <c r="G55" s="1932"/>
      <c r="H55" s="1932"/>
      <c r="I55" s="1933"/>
      <c r="J55" s="1933"/>
      <c r="K55" s="1934"/>
      <c r="L55" s="1935"/>
      <c r="M55" s="1901"/>
      <c r="N55" s="1901"/>
      <c r="O55" s="1901"/>
      <c r="P55" s="1901"/>
      <c r="Q55" s="1901"/>
      <c r="R55" s="1901"/>
      <c r="S55" s="1901"/>
      <c r="T55" s="1901"/>
      <c r="U55" s="1901"/>
      <c r="V55" s="1901"/>
      <c r="W55" s="1901"/>
      <c r="X55" s="1901"/>
      <c r="Y55" s="1901"/>
      <c r="Z55" s="1901"/>
      <c r="AA55" s="1901"/>
      <c r="AB55" s="1901"/>
      <c r="AC55" s="1901"/>
      <c r="AD55" s="1901"/>
      <c r="AE55" s="1901"/>
      <c r="AF55" s="1901"/>
      <c r="AG55" s="1901"/>
      <c r="AH55" s="1901"/>
      <c r="AI55" s="1901"/>
      <c r="AJ55" s="1901"/>
      <c r="AK55" s="1901"/>
      <c r="AL55" s="1901"/>
      <c r="AM55" s="1901"/>
      <c r="AN55" s="1901"/>
      <c r="AO55" s="1901"/>
      <c r="AP55" s="1901"/>
      <c r="AQ55" s="1901"/>
      <c r="AR55" s="1901"/>
      <c r="AS55" s="1901"/>
      <c r="AT55" s="1901"/>
      <c r="AU55" s="1901"/>
      <c r="AV55" s="1901"/>
      <c r="AW55" s="1901"/>
      <c r="AX55" s="1901"/>
      <c r="AY55" s="1901"/>
      <c r="AZ55" s="1901"/>
      <c r="BA55" s="1901"/>
      <c r="BB55" s="1901"/>
      <c r="BC55" s="1901"/>
      <c r="BD55" s="1901"/>
      <c r="BE55" s="1901"/>
      <c r="BF55" s="1901"/>
      <c r="BG55" s="1901"/>
      <c r="BH55" s="1901"/>
      <c r="BI55" s="1901"/>
      <c r="BJ55" s="1901"/>
      <c r="BK55" s="1901"/>
      <c r="BL55" s="1901"/>
      <c r="BM55" s="1901"/>
      <c r="BN55" s="1901"/>
      <c r="BO55" s="1901"/>
      <c r="BP55" s="1901"/>
      <c r="BQ55" s="1901"/>
      <c r="BR55" s="1901"/>
      <c r="BS55" s="1901"/>
      <c r="BT55" s="1901"/>
      <c r="BU55" s="1901"/>
      <c r="BV55" s="1901"/>
      <c r="BW55" s="1901"/>
      <c r="BX55" s="1901"/>
      <c r="BY55" s="1901"/>
      <c r="BZ55" s="1901"/>
      <c r="CA55" s="1901"/>
      <c r="CB55" s="1901"/>
      <c r="CC55" s="1901"/>
      <c r="CD55" s="1901"/>
      <c r="CE55" s="1901"/>
      <c r="CF55" s="1901"/>
      <c r="CG55" s="1901"/>
      <c r="CH55" s="1901"/>
      <c r="CI55" s="1901"/>
      <c r="CJ55" s="1901"/>
      <c r="CK55" s="1901"/>
      <c r="CL55" s="1901"/>
      <c r="CM55" s="1901"/>
      <c r="CN55" s="1901"/>
      <c r="CO55" s="1901"/>
      <c r="CP55" s="1901"/>
      <c r="CQ55" s="1901"/>
      <c r="CR55" s="1901"/>
      <c r="CS55" s="1901"/>
      <c r="CT55" s="1901"/>
      <c r="CU55" s="1901"/>
      <c r="CV55" s="1901"/>
      <c r="CW55" s="1901"/>
      <c r="CX55" s="1901"/>
      <c r="CY55" s="1901"/>
      <c r="CZ55" s="1901"/>
      <c r="DA55" s="1901"/>
      <c r="DB55" s="1901"/>
      <c r="DC55" s="1901"/>
      <c r="DD55" s="1901"/>
      <c r="DE55" s="1901"/>
      <c r="DF55" s="1901"/>
      <c r="DG55" s="1901"/>
      <c r="DH55" s="1901"/>
      <c r="DI55" s="1901"/>
      <c r="DJ55" s="1901"/>
      <c r="DK55" s="1901"/>
      <c r="DL55" s="1901"/>
      <c r="DM55" s="1901"/>
      <c r="DN55" s="1901"/>
      <c r="DO55" s="1901"/>
      <c r="DP55" s="1901"/>
      <c r="DQ55" s="1901"/>
      <c r="DR55" s="1901"/>
      <c r="DS55" s="1901"/>
      <c r="DT55" s="1901"/>
      <c r="DU55" s="1901"/>
      <c r="DV55" s="1901"/>
      <c r="DW55" s="1901"/>
      <c r="DX55" s="1901"/>
      <c r="DY55" s="1901"/>
      <c r="DZ55" s="1901"/>
      <c r="EA55" s="1901"/>
      <c r="EB55" s="1901"/>
      <c r="EC55" s="1901"/>
      <c r="ED55" s="1901"/>
      <c r="EE55" s="1901"/>
      <c r="EF55" s="1901"/>
      <c r="EG55" s="1901"/>
      <c r="EH55" s="1901"/>
      <c r="EI55" s="1901"/>
      <c r="EJ55" s="1901"/>
      <c r="EK55" s="1901"/>
      <c r="EL55" s="1901"/>
      <c r="EM55" s="1901"/>
      <c r="EN55" s="1901"/>
      <c r="EO55" s="1901"/>
      <c r="EP55" s="1901"/>
      <c r="EQ55" s="1901"/>
      <c r="ER55" s="1901"/>
      <c r="ES55" s="1901"/>
      <c r="ET55" s="1901"/>
      <c r="EU55" s="1901"/>
      <c r="EV55" s="1901"/>
      <c r="EW55" s="1901"/>
      <c r="EX55" s="1901"/>
      <c r="EY55" s="1901"/>
      <c r="EZ55" s="1901"/>
      <c r="FA55" s="1901"/>
      <c r="FB55" s="1901"/>
      <c r="FC55" s="1901"/>
      <c r="FD55" s="1901"/>
      <c r="FE55" s="1901"/>
      <c r="FF55" s="1901"/>
      <c r="FG55" s="1901"/>
      <c r="FH55" s="1901"/>
      <c r="FI55" s="1901"/>
      <c r="FJ55" s="1901"/>
      <c r="FK55" s="1901"/>
      <c r="FL55" s="1901"/>
      <c r="FM55" s="1901"/>
      <c r="FN55" s="1901"/>
      <c r="FO55" s="1901"/>
      <c r="FP55" s="1901"/>
      <c r="FQ55" s="1901"/>
      <c r="FR55" s="1901"/>
      <c r="FS55" s="1901"/>
      <c r="FT55" s="1901"/>
      <c r="FU55" s="1901"/>
      <c r="FV55" s="1901"/>
      <c r="FW55" s="1901"/>
      <c r="FX55" s="1901"/>
      <c r="FY55" s="1901"/>
      <c r="FZ55" s="1901"/>
      <c r="GA55" s="1901"/>
      <c r="GB55" s="1901"/>
      <c r="GC55" s="1901"/>
      <c r="GD55" s="1901"/>
      <c r="GE55" s="1901"/>
      <c r="GF55" s="1901"/>
      <c r="GG55" s="1901"/>
      <c r="GH55" s="1901"/>
      <c r="GI55" s="1901"/>
      <c r="GJ55" s="1901"/>
      <c r="GK55" s="1901"/>
      <c r="GL55" s="1901"/>
      <c r="GM55" s="1901"/>
      <c r="GN55" s="1901"/>
      <c r="GO55" s="1901"/>
      <c r="GP55" s="1901"/>
      <c r="GQ55" s="1901"/>
      <c r="GR55" s="1901"/>
      <c r="GS55" s="1901"/>
      <c r="GT55" s="1901"/>
      <c r="GU55" s="1901"/>
      <c r="GV55" s="1901"/>
      <c r="GW55" s="1901"/>
      <c r="GX55" s="1901"/>
      <c r="GY55" s="1901"/>
      <c r="GZ55" s="1901"/>
      <c r="HA55" s="1901"/>
      <c r="HB55" s="1901"/>
      <c r="HC55" s="1901"/>
      <c r="HD55" s="1901"/>
      <c r="HE55" s="1901"/>
      <c r="HF55" s="1901"/>
      <c r="HG55" s="1901"/>
      <c r="HH55" s="1901"/>
      <c r="HI55" s="1901"/>
      <c r="HJ55" s="1901"/>
      <c r="HK55" s="1901"/>
      <c r="HL55" s="1901"/>
      <c r="HM55" s="1901"/>
      <c r="HN55" s="1901"/>
      <c r="HO55" s="1901"/>
      <c r="HP55" s="1901"/>
      <c r="HQ55" s="1901"/>
      <c r="HR55" s="1901"/>
      <c r="HS55" s="1901"/>
      <c r="HT55" s="1901"/>
      <c r="HU55" s="1901"/>
      <c r="HV55" s="1901"/>
    </row>
    <row r="56" spans="1:12" ht="30.75" customHeight="1">
      <c r="A56" s="1906" t="s">
        <v>1245</v>
      </c>
      <c r="B56" s="1889" t="s">
        <v>1270</v>
      </c>
      <c r="C56" s="1854">
        <v>17500</v>
      </c>
      <c r="D56" s="1854">
        <v>2500</v>
      </c>
      <c r="E56" s="1854">
        <v>2500</v>
      </c>
      <c r="F56" s="1854">
        <v>2500</v>
      </c>
      <c r="G56" s="1854">
        <v>2500</v>
      </c>
      <c r="H56" s="1854">
        <v>2500</v>
      </c>
      <c r="I56" s="1854">
        <v>2500</v>
      </c>
      <c r="J56" s="1854">
        <v>2500</v>
      </c>
      <c r="K56" s="1956"/>
      <c r="L56" s="1957"/>
    </row>
    <row r="57" spans="1:230" s="1887" customFormat="1" ht="12" customHeight="1">
      <c r="A57" s="1859"/>
      <c r="B57" s="1860" t="s">
        <v>1236</v>
      </c>
      <c r="C57" s="1862"/>
      <c r="D57" s="1862">
        <v>789.5</v>
      </c>
      <c r="E57" s="1862">
        <v>680.9</v>
      </c>
      <c r="F57" s="1862">
        <v>565</v>
      </c>
      <c r="G57" s="1862">
        <v>449.1</v>
      </c>
      <c r="H57" s="1862">
        <v>333.2</v>
      </c>
      <c r="I57" s="1910">
        <v>217.3</v>
      </c>
      <c r="J57" s="1910">
        <v>101.4</v>
      </c>
      <c r="K57" s="1895"/>
      <c r="L57" s="1896"/>
      <c r="M57" s="1866"/>
      <c r="N57" s="1866"/>
      <c r="O57" s="1866"/>
      <c r="P57" s="1866"/>
      <c r="Q57" s="1866"/>
      <c r="R57" s="1866"/>
      <c r="S57" s="1866"/>
      <c r="T57" s="1866"/>
      <c r="U57" s="1866"/>
      <c r="V57" s="1866"/>
      <c r="W57" s="1866"/>
      <c r="X57" s="1866"/>
      <c r="Y57" s="1866"/>
      <c r="Z57" s="1866"/>
      <c r="AA57" s="1866"/>
      <c r="AB57" s="1866"/>
      <c r="AC57" s="1866"/>
      <c r="AD57" s="1866"/>
      <c r="AE57" s="1866"/>
      <c r="AF57" s="1866"/>
      <c r="AG57" s="1866"/>
      <c r="AH57" s="1866"/>
      <c r="AI57" s="1866"/>
      <c r="AJ57" s="1866"/>
      <c r="AK57" s="1866"/>
      <c r="AL57" s="1866"/>
      <c r="AM57" s="1866"/>
      <c r="AN57" s="1866"/>
      <c r="AO57" s="1866"/>
      <c r="AP57" s="1866"/>
      <c r="AQ57" s="1866"/>
      <c r="AR57" s="1866"/>
      <c r="AS57" s="1866"/>
      <c r="AT57" s="1866"/>
      <c r="AU57" s="1866"/>
      <c r="AV57" s="1866"/>
      <c r="AW57" s="1866"/>
      <c r="AX57" s="1866"/>
      <c r="AY57" s="1866"/>
      <c r="AZ57" s="1866"/>
      <c r="BA57" s="1866"/>
      <c r="BB57" s="1866"/>
      <c r="BC57" s="1866"/>
      <c r="BD57" s="1866"/>
      <c r="BE57" s="1866"/>
      <c r="BF57" s="1866"/>
      <c r="BG57" s="1866"/>
      <c r="BH57" s="1866"/>
      <c r="BI57" s="1866"/>
      <c r="BJ57" s="1866"/>
      <c r="BK57" s="1866"/>
      <c r="BL57" s="1866"/>
      <c r="BM57" s="1866"/>
      <c r="BN57" s="1866"/>
      <c r="BO57" s="1866"/>
      <c r="BP57" s="1866"/>
      <c r="BQ57" s="1866"/>
      <c r="BR57" s="1866"/>
      <c r="BS57" s="1866"/>
      <c r="BT57" s="1866"/>
      <c r="BU57" s="1866"/>
      <c r="BV57" s="1866"/>
      <c r="BW57" s="1866"/>
      <c r="BX57" s="1866"/>
      <c r="BY57" s="1866"/>
      <c r="BZ57" s="1866"/>
      <c r="CA57" s="1866"/>
      <c r="CB57" s="1866"/>
      <c r="CC57" s="1866"/>
      <c r="CD57" s="1866"/>
      <c r="CE57" s="1866"/>
      <c r="CF57" s="1866"/>
      <c r="CG57" s="1866"/>
      <c r="CH57" s="1866"/>
      <c r="CI57" s="1866"/>
      <c r="CJ57" s="1866"/>
      <c r="CK57" s="1866"/>
      <c r="CL57" s="1866"/>
      <c r="CM57" s="1866"/>
      <c r="CN57" s="1866"/>
      <c r="CO57" s="1866"/>
      <c r="CP57" s="1866"/>
      <c r="CQ57" s="1866"/>
      <c r="CR57" s="1866"/>
      <c r="CS57" s="1866"/>
      <c r="CT57" s="1866"/>
      <c r="CU57" s="1866"/>
      <c r="CV57" s="1866"/>
      <c r="CW57" s="1866"/>
      <c r="CX57" s="1866"/>
      <c r="CY57" s="1866"/>
      <c r="CZ57" s="1866"/>
      <c r="DA57" s="1866"/>
      <c r="DB57" s="1866"/>
      <c r="DC57" s="1866"/>
      <c r="DD57" s="1866"/>
      <c r="DE57" s="1866"/>
      <c r="DF57" s="1866"/>
      <c r="DG57" s="1866"/>
      <c r="DH57" s="1866"/>
      <c r="DI57" s="1866"/>
      <c r="DJ57" s="1866"/>
      <c r="DK57" s="1866"/>
      <c r="DL57" s="1866"/>
      <c r="DM57" s="1866"/>
      <c r="DN57" s="1866"/>
      <c r="DO57" s="1866"/>
      <c r="DP57" s="1866"/>
      <c r="DQ57" s="1866"/>
      <c r="DR57" s="1866"/>
      <c r="DS57" s="1866"/>
      <c r="DT57" s="1866"/>
      <c r="DU57" s="1866"/>
      <c r="DV57" s="1866"/>
      <c r="DW57" s="1866"/>
      <c r="DX57" s="1866"/>
      <c r="DY57" s="1866"/>
      <c r="DZ57" s="1866"/>
      <c r="EA57" s="1866"/>
      <c r="EB57" s="1866"/>
      <c r="EC57" s="1866"/>
      <c r="ED57" s="1866"/>
      <c r="EE57" s="1866"/>
      <c r="EF57" s="1866"/>
      <c r="EG57" s="1866"/>
      <c r="EH57" s="1866"/>
      <c r="EI57" s="1866"/>
      <c r="EJ57" s="1866"/>
      <c r="EK57" s="1866"/>
      <c r="EL57" s="1866"/>
      <c r="EM57" s="1866"/>
      <c r="EN57" s="1866"/>
      <c r="EO57" s="1866"/>
      <c r="EP57" s="1866"/>
      <c r="EQ57" s="1866"/>
      <c r="ER57" s="1866"/>
      <c r="ES57" s="1866"/>
      <c r="ET57" s="1866"/>
      <c r="EU57" s="1866"/>
      <c r="EV57" s="1866"/>
      <c r="EW57" s="1866"/>
      <c r="EX57" s="1866"/>
      <c r="EY57" s="1866"/>
      <c r="EZ57" s="1866"/>
      <c r="FA57" s="1866"/>
      <c r="FB57" s="1866"/>
      <c r="FC57" s="1866"/>
      <c r="FD57" s="1866"/>
      <c r="FE57" s="1866"/>
      <c r="FF57" s="1866"/>
      <c r="FG57" s="1866"/>
      <c r="FH57" s="1866"/>
      <c r="FI57" s="1866"/>
      <c r="FJ57" s="1866"/>
      <c r="FK57" s="1866"/>
      <c r="FL57" s="1866"/>
      <c r="FM57" s="1866"/>
      <c r="FN57" s="1866"/>
      <c r="FO57" s="1866"/>
      <c r="FP57" s="1866"/>
      <c r="FQ57" s="1866"/>
      <c r="FR57" s="1866"/>
      <c r="FS57" s="1866"/>
      <c r="FT57" s="1866"/>
      <c r="FU57" s="1866"/>
      <c r="FV57" s="1866"/>
      <c r="FW57" s="1866"/>
      <c r="FX57" s="1866"/>
      <c r="FY57" s="1866"/>
      <c r="FZ57" s="1866"/>
      <c r="GA57" s="1866"/>
      <c r="GB57" s="1866"/>
      <c r="GC57" s="1866"/>
      <c r="GD57" s="1866"/>
      <c r="GE57" s="1866"/>
      <c r="GF57" s="1866"/>
      <c r="GG57" s="1866"/>
      <c r="GH57" s="1866"/>
      <c r="GI57" s="1866"/>
      <c r="GJ57" s="1866"/>
      <c r="GK57" s="1866"/>
      <c r="GL57" s="1866"/>
      <c r="GM57" s="1866"/>
      <c r="GN57" s="1866"/>
      <c r="GO57" s="1866"/>
      <c r="GP57" s="1866"/>
      <c r="GQ57" s="1866"/>
      <c r="GR57" s="1866"/>
      <c r="GS57" s="1866"/>
      <c r="GT57" s="1866"/>
      <c r="GU57" s="1866"/>
      <c r="GV57" s="1866"/>
      <c r="GW57" s="1866"/>
      <c r="GX57" s="1866"/>
      <c r="GY57" s="1866"/>
      <c r="GZ57" s="1866"/>
      <c r="HA57" s="1866"/>
      <c r="HB57" s="1866"/>
      <c r="HC57" s="1866"/>
      <c r="HD57" s="1866"/>
      <c r="HE57" s="1866"/>
      <c r="HF57" s="1866"/>
      <c r="HG57" s="1866"/>
      <c r="HH57" s="1866"/>
      <c r="HI57" s="1866"/>
      <c r="HJ57" s="1866"/>
      <c r="HK57" s="1866"/>
      <c r="HL57" s="1866"/>
      <c r="HM57" s="1866"/>
      <c r="HN57" s="1866"/>
      <c r="HO57" s="1866"/>
      <c r="HP57" s="1866"/>
      <c r="HQ57" s="1866"/>
      <c r="HR57" s="1866"/>
      <c r="HS57" s="1866"/>
      <c r="HT57" s="1866"/>
      <c r="HU57" s="1866"/>
      <c r="HV57" s="1866"/>
    </row>
    <row r="58" spans="1:12" ht="31.5" customHeight="1">
      <c r="A58" s="1906" t="s">
        <v>1247</v>
      </c>
      <c r="B58" s="1852" t="s">
        <v>1271</v>
      </c>
      <c r="C58" s="1853">
        <v>15000</v>
      </c>
      <c r="D58" s="1853">
        <v>0</v>
      </c>
      <c r="E58" s="1853">
        <v>4285.7</v>
      </c>
      <c r="F58" s="1853">
        <v>4285.7</v>
      </c>
      <c r="G58" s="1853">
        <v>4285.7</v>
      </c>
      <c r="H58" s="1853">
        <v>2142.9</v>
      </c>
      <c r="I58" s="1853"/>
      <c r="J58" s="1853"/>
      <c r="K58" s="1958"/>
      <c r="L58" s="1959"/>
    </row>
    <row r="59" spans="1:230" s="1887" customFormat="1" ht="12" customHeight="1">
      <c r="A59" s="1859"/>
      <c r="B59" s="1860" t="s">
        <v>1236</v>
      </c>
      <c r="C59" s="1862"/>
      <c r="D59" s="1862">
        <v>739.7</v>
      </c>
      <c r="E59" s="1862">
        <v>700.1</v>
      </c>
      <c r="F59" s="1862">
        <v>502</v>
      </c>
      <c r="G59" s="1862">
        <v>290.6</v>
      </c>
      <c r="H59" s="1862">
        <v>66</v>
      </c>
      <c r="I59" s="1894"/>
      <c r="J59" s="1894"/>
      <c r="K59" s="1895"/>
      <c r="L59" s="1896"/>
      <c r="M59" s="1866"/>
      <c r="N59" s="1866"/>
      <c r="O59" s="1866"/>
      <c r="P59" s="1866"/>
      <c r="Q59" s="1866"/>
      <c r="R59" s="1866"/>
      <c r="S59" s="1866"/>
      <c r="T59" s="1866"/>
      <c r="U59" s="1866"/>
      <c r="V59" s="1866"/>
      <c r="W59" s="1866"/>
      <c r="X59" s="1866"/>
      <c r="Y59" s="1866"/>
      <c r="Z59" s="1866"/>
      <c r="AA59" s="1866"/>
      <c r="AB59" s="1866"/>
      <c r="AC59" s="1866"/>
      <c r="AD59" s="1866"/>
      <c r="AE59" s="1866"/>
      <c r="AF59" s="1866"/>
      <c r="AG59" s="1866"/>
      <c r="AH59" s="1866"/>
      <c r="AI59" s="1866"/>
      <c r="AJ59" s="1866"/>
      <c r="AK59" s="1866"/>
      <c r="AL59" s="1866"/>
      <c r="AM59" s="1866"/>
      <c r="AN59" s="1866"/>
      <c r="AO59" s="1866"/>
      <c r="AP59" s="1866"/>
      <c r="AQ59" s="1866"/>
      <c r="AR59" s="1866"/>
      <c r="AS59" s="1866"/>
      <c r="AT59" s="1866"/>
      <c r="AU59" s="1866"/>
      <c r="AV59" s="1866"/>
      <c r="AW59" s="1866"/>
      <c r="AX59" s="1866"/>
      <c r="AY59" s="1866"/>
      <c r="AZ59" s="1866"/>
      <c r="BA59" s="1866"/>
      <c r="BB59" s="1866"/>
      <c r="BC59" s="1866"/>
      <c r="BD59" s="1866"/>
      <c r="BE59" s="1866"/>
      <c r="BF59" s="1866"/>
      <c r="BG59" s="1866"/>
      <c r="BH59" s="1866"/>
      <c r="BI59" s="1866"/>
      <c r="BJ59" s="1866"/>
      <c r="BK59" s="1866"/>
      <c r="BL59" s="1866"/>
      <c r="BM59" s="1866"/>
      <c r="BN59" s="1866"/>
      <c r="BO59" s="1866"/>
      <c r="BP59" s="1866"/>
      <c r="BQ59" s="1866"/>
      <c r="BR59" s="1866"/>
      <c r="BS59" s="1866"/>
      <c r="BT59" s="1866"/>
      <c r="BU59" s="1866"/>
      <c r="BV59" s="1866"/>
      <c r="BW59" s="1866"/>
      <c r="BX59" s="1866"/>
      <c r="BY59" s="1866"/>
      <c r="BZ59" s="1866"/>
      <c r="CA59" s="1866"/>
      <c r="CB59" s="1866"/>
      <c r="CC59" s="1866"/>
      <c r="CD59" s="1866"/>
      <c r="CE59" s="1866"/>
      <c r="CF59" s="1866"/>
      <c r="CG59" s="1866"/>
      <c r="CH59" s="1866"/>
      <c r="CI59" s="1866"/>
      <c r="CJ59" s="1866"/>
      <c r="CK59" s="1866"/>
      <c r="CL59" s="1866"/>
      <c r="CM59" s="1866"/>
      <c r="CN59" s="1866"/>
      <c r="CO59" s="1866"/>
      <c r="CP59" s="1866"/>
      <c r="CQ59" s="1866"/>
      <c r="CR59" s="1866"/>
      <c r="CS59" s="1866"/>
      <c r="CT59" s="1866"/>
      <c r="CU59" s="1866"/>
      <c r="CV59" s="1866"/>
      <c r="CW59" s="1866"/>
      <c r="CX59" s="1866"/>
      <c r="CY59" s="1866"/>
      <c r="CZ59" s="1866"/>
      <c r="DA59" s="1866"/>
      <c r="DB59" s="1866"/>
      <c r="DC59" s="1866"/>
      <c r="DD59" s="1866"/>
      <c r="DE59" s="1866"/>
      <c r="DF59" s="1866"/>
      <c r="DG59" s="1866"/>
      <c r="DH59" s="1866"/>
      <c r="DI59" s="1866"/>
      <c r="DJ59" s="1866"/>
      <c r="DK59" s="1866"/>
      <c r="DL59" s="1866"/>
      <c r="DM59" s="1866"/>
      <c r="DN59" s="1866"/>
      <c r="DO59" s="1866"/>
      <c r="DP59" s="1866"/>
      <c r="DQ59" s="1866"/>
      <c r="DR59" s="1866"/>
      <c r="DS59" s="1866"/>
      <c r="DT59" s="1866"/>
      <c r="DU59" s="1866"/>
      <c r="DV59" s="1866"/>
      <c r="DW59" s="1866"/>
      <c r="DX59" s="1866"/>
      <c r="DY59" s="1866"/>
      <c r="DZ59" s="1866"/>
      <c r="EA59" s="1866"/>
      <c r="EB59" s="1866"/>
      <c r="EC59" s="1866"/>
      <c r="ED59" s="1866"/>
      <c r="EE59" s="1866"/>
      <c r="EF59" s="1866"/>
      <c r="EG59" s="1866"/>
      <c r="EH59" s="1866"/>
      <c r="EI59" s="1866"/>
      <c r="EJ59" s="1866"/>
      <c r="EK59" s="1866"/>
      <c r="EL59" s="1866"/>
      <c r="EM59" s="1866"/>
      <c r="EN59" s="1866"/>
      <c r="EO59" s="1866"/>
      <c r="EP59" s="1866"/>
      <c r="EQ59" s="1866"/>
      <c r="ER59" s="1866"/>
      <c r="ES59" s="1866"/>
      <c r="ET59" s="1866"/>
      <c r="EU59" s="1866"/>
      <c r="EV59" s="1866"/>
      <c r="EW59" s="1866"/>
      <c r="EX59" s="1866"/>
      <c r="EY59" s="1866"/>
      <c r="EZ59" s="1866"/>
      <c r="FA59" s="1866"/>
      <c r="FB59" s="1866"/>
      <c r="FC59" s="1866"/>
      <c r="FD59" s="1866"/>
      <c r="FE59" s="1866"/>
      <c r="FF59" s="1866"/>
      <c r="FG59" s="1866"/>
      <c r="FH59" s="1866"/>
      <c r="FI59" s="1866"/>
      <c r="FJ59" s="1866"/>
      <c r="FK59" s="1866"/>
      <c r="FL59" s="1866"/>
      <c r="FM59" s="1866"/>
      <c r="FN59" s="1866"/>
      <c r="FO59" s="1866"/>
      <c r="FP59" s="1866"/>
      <c r="FQ59" s="1866"/>
      <c r="FR59" s="1866"/>
      <c r="FS59" s="1866"/>
      <c r="FT59" s="1866"/>
      <c r="FU59" s="1866"/>
      <c r="FV59" s="1866"/>
      <c r="FW59" s="1866"/>
      <c r="FX59" s="1866"/>
      <c r="FY59" s="1866"/>
      <c r="FZ59" s="1866"/>
      <c r="GA59" s="1866"/>
      <c r="GB59" s="1866"/>
      <c r="GC59" s="1866"/>
      <c r="GD59" s="1866"/>
      <c r="GE59" s="1866"/>
      <c r="GF59" s="1866"/>
      <c r="GG59" s="1866"/>
      <c r="GH59" s="1866"/>
      <c r="GI59" s="1866"/>
      <c r="GJ59" s="1866"/>
      <c r="GK59" s="1866"/>
      <c r="GL59" s="1866"/>
      <c r="GM59" s="1866"/>
      <c r="GN59" s="1866"/>
      <c r="GO59" s="1866"/>
      <c r="GP59" s="1866"/>
      <c r="GQ59" s="1866"/>
      <c r="GR59" s="1866"/>
      <c r="GS59" s="1866"/>
      <c r="GT59" s="1866"/>
      <c r="GU59" s="1866"/>
      <c r="GV59" s="1866"/>
      <c r="GW59" s="1866"/>
      <c r="GX59" s="1866"/>
      <c r="GY59" s="1866"/>
      <c r="GZ59" s="1866"/>
      <c r="HA59" s="1866"/>
      <c r="HB59" s="1866"/>
      <c r="HC59" s="1866"/>
      <c r="HD59" s="1866"/>
      <c r="HE59" s="1866"/>
      <c r="HF59" s="1866"/>
      <c r="HG59" s="1866"/>
      <c r="HH59" s="1866"/>
      <c r="HI59" s="1866"/>
      <c r="HJ59" s="1866"/>
      <c r="HK59" s="1866"/>
      <c r="HL59" s="1866"/>
      <c r="HM59" s="1866"/>
      <c r="HN59" s="1866"/>
      <c r="HO59" s="1866"/>
      <c r="HP59" s="1866"/>
      <c r="HQ59" s="1866"/>
      <c r="HR59" s="1866"/>
      <c r="HS59" s="1866"/>
      <c r="HT59" s="1866"/>
      <c r="HU59" s="1866"/>
      <c r="HV59" s="1866"/>
    </row>
    <row r="60" spans="1:230" s="580" customFormat="1" ht="25.5" customHeight="1">
      <c r="A60" s="1876">
        <v>5</v>
      </c>
      <c r="B60" s="1960" t="s">
        <v>1272</v>
      </c>
      <c r="C60" s="1878"/>
      <c r="D60" s="1878"/>
      <c r="E60" s="1878"/>
      <c r="F60" s="1878"/>
      <c r="G60" s="1878"/>
      <c r="H60" s="1878"/>
      <c r="I60" s="1936"/>
      <c r="J60" s="1936"/>
      <c r="K60" s="1937"/>
      <c r="L60" s="1938"/>
      <c r="M60" s="1929"/>
      <c r="N60" s="1929"/>
      <c r="O60" s="1929"/>
      <c r="P60" s="1929"/>
      <c r="Q60" s="1929"/>
      <c r="R60" s="1929"/>
      <c r="S60" s="1929"/>
      <c r="T60" s="1929"/>
      <c r="U60" s="1929"/>
      <c r="V60" s="1929"/>
      <c r="W60" s="1929"/>
      <c r="X60" s="1929"/>
      <c r="Y60" s="1929"/>
      <c r="Z60" s="1929"/>
      <c r="AA60" s="1929"/>
      <c r="AB60" s="1929"/>
      <c r="AC60" s="1929"/>
      <c r="AD60" s="1929"/>
      <c r="AE60" s="1929"/>
      <c r="AF60" s="1929"/>
      <c r="AG60" s="1929"/>
      <c r="AH60" s="1929"/>
      <c r="AI60" s="1929"/>
      <c r="AJ60" s="1929"/>
      <c r="AK60" s="1929"/>
      <c r="AL60" s="1929"/>
      <c r="AM60" s="1929"/>
      <c r="AN60" s="1929"/>
      <c r="AO60" s="1929"/>
      <c r="AP60" s="1929"/>
      <c r="AQ60" s="1929"/>
      <c r="AR60" s="1929"/>
      <c r="AS60" s="1929"/>
      <c r="AT60" s="1929"/>
      <c r="AU60" s="1929"/>
      <c r="AV60" s="1929"/>
      <c r="AW60" s="1929"/>
      <c r="AX60" s="1929"/>
      <c r="AY60" s="1929"/>
      <c r="AZ60" s="1929"/>
      <c r="BA60" s="1929"/>
      <c r="BB60" s="1929"/>
      <c r="BC60" s="1929"/>
      <c r="BD60" s="1929"/>
      <c r="BE60" s="1929"/>
      <c r="BF60" s="1929"/>
      <c r="BG60" s="1929"/>
      <c r="BH60" s="1929"/>
      <c r="BI60" s="1929"/>
      <c r="BJ60" s="1929"/>
      <c r="BK60" s="1929"/>
      <c r="BL60" s="1929"/>
      <c r="BM60" s="1929"/>
      <c r="BN60" s="1929"/>
      <c r="BO60" s="1929"/>
      <c r="BP60" s="1929"/>
      <c r="BQ60" s="1929"/>
      <c r="BR60" s="1929"/>
      <c r="BS60" s="1929"/>
      <c r="BT60" s="1929"/>
      <c r="BU60" s="1929"/>
      <c r="BV60" s="1929"/>
      <c r="BW60" s="1929"/>
      <c r="BX60" s="1929"/>
      <c r="BY60" s="1929"/>
      <c r="BZ60" s="1929"/>
      <c r="CA60" s="1929"/>
      <c r="CB60" s="1929"/>
      <c r="CC60" s="1929"/>
      <c r="CD60" s="1929"/>
      <c r="CE60" s="1929"/>
      <c r="CF60" s="1929"/>
      <c r="CG60" s="1929"/>
      <c r="CH60" s="1929"/>
      <c r="CI60" s="1929"/>
      <c r="CJ60" s="1929"/>
      <c r="CK60" s="1929"/>
      <c r="CL60" s="1929"/>
      <c r="CM60" s="1929"/>
      <c r="CN60" s="1929"/>
      <c r="CO60" s="1929"/>
      <c r="CP60" s="1929"/>
      <c r="CQ60" s="1929"/>
      <c r="CR60" s="1929"/>
      <c r="CS60" s="1929"/>
      <c r="CT60" s="1929"/>
      <c r="CU60" s="1929"/>
      <c r="CV60" s="1929"/>
      <c r="CW60" s="1929"/>
      <c r="CX60" s="1929"/>
      <c r="CY60" s="1929"/>
      <c r="CZ60" s="1929"/>
      <c r="DA60" s="1929"/>
      <c r="DB60" s="1929"/>
      <c r="DC60" s="1929"/>
      <c r="DD60" s="1929"/>
      <c r="DE60" s="1929"/>
      <c r="DF60" s="1929"/>
      <c r="DG60" s="1929"/>
      <c r="DH60" s="1929"/>
      <c r="DI60" s="1929"/>
      <c r="DJ60" s="1929"/>
      <c r="DK60" s="1929"/>
      <c r="DL60" s="1929"/>
      <c r="DM60" s="1929"/>
      <c r="DN60" s="1929"/>
      <c r="DO60" s="1929"/>
      <c r="DP60" s="1929"/>
      <c r="DQ60" s="1929"/>
      <c r="DR60" s="1929"/>
      <c r="DS60" s="1929"/>
      <c r="DT60" s="1929"/>
      <c r="DU60" s="1929"/>
      <c r="DV60" s="1929"/>
      <c r="DW60" s="1929"/>
      <c r="DX60" s="1929"/>
      <c r="DY60" s="1929"/>
      <c r="DZ60" s="1929"/>
      <c r="EA60" s="1929"/>
      <c r="EB60" s="1929"/>
      <c r="EC60" s="1929"/>
      <c r="ED60" s="1929"/>
      <c r="EE60" s="1929"/>
      <c r="EF60" s="1929"/>
      <c r="EG60" s="1929"/>
      <c r="EH60" s="1929"/>
      <c r="EI60" s="1929"/>
      <c r="EJ60" s="1929"/>
      <c r="EK60" s="1929"/>
      <c r="EL60" s="1929"/>
      <c r="EM60" s="1929"/>
      <c r="EN60" s="1929"/>
      <c r="EO60" s="1929"/>
      <c r="EP60" s="1929"/>
      <c r="EQ60" s="1929"/>
      <c r="ER60" s="1929"/>
      <c r="ES60" s="1929"/>
      <c r="ET60" s="1929"/>
      <c r="EU60" s="1929"/>
      <c r="EV60" s="1929"/>
      <c r="EW60" s="1929"/>
      <c r="EX60" s="1929"/>
      <c r="EY60" s="1929"/>
      <c r="EZ60" s="1929"/>
      <c r="FA60" s="1929"/>
      <c r="FB60" s="1929"/>
      <c r="FC60" s="1929"/>
      <c r="FD60" s="1929"/>
      <c r="FE60" s="1929"/>
      <c r="FF60" s="1929"/>
      <c r="FG60" s="1929"/>
      <c r="FH60" s="1929"/>
      <c r="FI60" s="1929"/>
      <c r="FJ60" s="1929"/>
      <c r="FK60" s="1929"/>
      <c r="FL60" s="1929"/>
      <c r="FM60" s="1929"/>
      <c r="FN60" s="1929"/>
      <c r="FO60" s="1929"/>
      <c r="FP60" s="1929"/>
      <c r="FQ60" s="1929"/>
      <c r="FR60" s="1929"/>
      <c r="FS60" s="1929"/>
      <c r="FT60" s="1929"/>
      <c r="FU60" s="1929"/>
      <c r="FV60" s="1929"/>
      <c r="FW60" s="1929"/>
      <c r="FX60" s="1929"/>
      <c r="FY60" s="1929"/>
      <c r="FZ60" s="1929"/>
      <c r="GA60" s="1929"/>
      <c r="GB60" s="1929"/>
      <c r="GC60" s="1929"/>
      <c r="GD60" s="1929"/>
      <c r="GE60" s="1929"/>
      <c r="GF60" s="1929"/>
      <c r="GG60" s="1929"/>
      <c r="GH60" s="1929"/>
      <c r="GI60" s="1929"/>
      <c r="GJ60" s="1929"/>
      <c r="GK60" s="1929"/>
      <c r="GL60" s="1929"/>
      <c r="GM60" s="1929"/>
      <c r="GN60" s="1929"/>
      <c r="GO60" s="1929"/>
      <c r="GP60" s="1929"/>
      <c r="GQ60" s="1929"/>
      <c r="GR60" s="1929"/>
      <c r="GS60" s="1929"/>
      <c r="GT60" s="1929"/>
      <c r="GU60" s="1929"/>
      <c r="GV60" s="1929"/>
      <c r="GW60" s="1929"/>
      <c r="GX60" s="1929"/>
      <c r="GY60" s="1929"/>
      <c r="GZ60" s="1929"/>
      <c r="HA60" s="1929"/>
      <c r="HB60" s="1929"/>
      <c r="HC60" s="1929"/>
      <c r="HD60" s="1929"/>
      <c r="HE60" s="1929"/>
      <c r="HF60" s="1929"/>
      <c r="HG60" s="1929"/>
      <c r="HH60" s="1929"/>
      <c r="HI60" s="1929"/>
      <c r="HJ60" s="1929"/>
      <c r="HK60" s="1929"/>
      <c r="HL60" s="1929"/>
      <c r="HM60" s="1929"/>
      <c r="HN60" s="1929"/>
      <c r="HO60" s="1929"/>
      <c r="HP60" s="1929"/>
      <c r="HQ60" s="1929"/>
      <c r="HR60" s="1929"/>
      <c r="HS60" s="1929"/>
      <c r="HT60" s="1929"/>
      <c r="HU60" s="1929"/>
      <c r="HV60" s="1929"/>
    </row>
    <row r="61" spans="1:230" s="1893" customFormat="1" ht="23.25" customHeight="1">
      <c r="A61" s="1888" t="s">
        <v>1323</v>
      </c>
      <c r="B61" s="1889" t="s">
        <v>1273</v>
      </c>
      <c r="C61" s="1854">
        <v>782.8</v>
      </c>
      <c r="D61" s="1854">
        <v>782.8</v>
      </c>
      <c r="E61" s="1854"/>
      <c r="F61" s="1854"/>
      <c r="G61" s="1854"/>
      <c r="H61" s="1854"/>
      <c r="I61" s="1890"/>
      <c r="J61" s="1890"/>
      <c r="K61" s="1891"/>
      <c r="L61" s="1892"/>
      <c r="M61" s="1858"/>
      <c r="N61" s="1858"/>
      <c r="O61" s="1858"/>
      <c r="P61" s="1858"/>
      <c r="Q61" s="1858"/>
      <c r="R61" s="1858"/>
      <c r="S61" s="1858"/>
      <c r="T61" s="1858"/>
      <c r="U61" s="1858"/>
      <c r="V61" s="1858"/>
      <c r="W61" s="1858"/>
      <c r="X61" s="1858"/>
      <c r="Y61" s="1858"/>
      <c r="Z61" s="1858"/>
      <c r="AA61" s="1858"/>
      <c r="AB61" s="1858"/>
      <c r="AC61" s="1858"/>
      <c r="AD61" s="1858"/>
      <c r="AE61" s="1858"/>
      <c r="AF61" s="1858"/>
      <c r="AG61" s="1858"/>
      <c r="AH61" s="1858"/>
      <c r="AI61" s="1858"/>
      <c r="AJ61" s="1858"/>
      <c r="AK61" s="1858"/>
      <c r="AL61" s="1858"/>
      <c r="AM61" s="1858"/>
      <c r="AN61" s="1858"/>
      <c r="AO61" s="1858"/>
      <c r="AP61" s="1858"/>
      <c r="AQ61" s="1858"/>
      <c r="AR61" s="1858"/>
      <c r="AS61" s="1858"/>
      <c r="AT61" s="1858"/>
      <c r="AU61" s="1858"/>
      <c r="AV61" s="1858"/>
      <c r="AW61" s="1858"/>
      <c r="AX61" s="1858"/>
      <c r="AY61" s="1858"/>
      <c r="AZ61" s="1858"/>
      <c r="BA61" s="1858"/>
      <c r="BB61" s="1858"/>
      <c r="BC61" s="1858"/>
      <c r="BD61" s="1858"/>
      <c r="BE61" s="1858"/>
      <c r="BF61" s="1858"/>
      <c r="BG61" s="1858"/>
      <c r="BH61" s="1858"/>
      <c r="BI61" s="1858"/>
      <c r="BJ61" s="1858"/>
      <c r="BK61" s="1858"/>
      <c r="BL61" s="1858"/>
      <c r="BM61" s="1858"/>
      <c r="BN61" s="1858"/>
      <c r="BO61" s="1858"/>
      <c r="BP61" s="1858"/>
      <c r="BQ61" s="1858"/>
      <c r="BR61" s="1858"/>
      <c r="BS61" s="1858"/>
      <c r="BT61" s="1858"/>
      <c r="BU61" s="1858"/>
      <c r="BV61" s="1858"/>
      <c r="BW61" s="1858"/>
      <c r="BX61" s="1858"/>
      <c r="BY61" s="1858"/>
      <c r="BZ61" s="1858"/>
      <c r="CA61" s="1858"/>
      <c r="CB61" s="1858"/>
      <c r="CC61" s="1858"/>
      <c r="CD61" s="1858"/>
      <c r="CE61" s="1858"/>
      <c r="CF61" s="1858"/>
      <c r="CG61" s="1858"/>
      <c r="CH61" s="1858"/>
      <c r="CI61" s="1858"/>
      <c r="CJ61" s="1858"/>
      <c r="CK61" s="1858"/>
      <c r="CL61" s="1858"/>
      <c r="CM61" s="1858"/>
      <c r="CN61" s="1858"/>
      <c r="CO61" s="1858"/>
      <c r="CP61" s="1858"/>
      <c r="CQ61" s="1858"/>
      <c r="CR61" s="1858"/>
      <c r="CS61" s="1858"/>
      <c r="CT61" s="1858"/>
      <c r="CU61" s="1858"/>
      <c r="CV61" s="1858"/>
      <c r="CW61" s="1858"/>
      <c r="CX61" s="1858"/>
      <c r="CY61" s="1858"/>
      <c r="CZ61" s="1858"/>
      <c r="DA61" s="1858"/>
      <c r="DB61" s="1858"/>
      <c r="DC61" s="1858"/>
      <c r="DD61" s="1858"/>
      <c r="DE61" s="1858"/>
      <c r="DF61" s="1858"/>
      <c r="DG61" s="1858"/>
      <c r="DH61" s="1858"/>
      <c r="DI61" s="1858"/>
      <c r="DJ61" s="1858"/>
      <c r="DK61" s="1858"/>
      <c r="DL61" s="1858"/>
      <c r="DM61" s="1858"/>
      <c r="DN61" s="1858"/>
      <c r="DO61" s="1858"/>
      <c r="DP61" s="1858"/>
      <c r="DQ61" s="1858"/>
      <c r="DR61" s="1858"/>
      <c r="DS61" s="1858"/>
      <c r="DT61" s="1858"/>
      <c r="DU61" s="1858"/>
      <c r="DV61" s="1858"/>
      <c r="DW61" s="1858"/>
      <c r="DX61" s="1858"/>
      <c r="DY61" s="1858"/>
      <c r="DZ61" s="1858"/>
      <c r="EA61" s="1858"/>
      <c r="EB61" s="1858"/>
      <c r="EC61" s="1858"/>
      <c r="ED61" s="1858"/>
      <c r="EE61" s="1858"/>
      <c r="EF61" s="1858"/>
      <c r="EG61" s="1858"/>
      <c r="EH61" s="1858"/>
      <c r="EI61" s="1858"/>
      <c r="EJ61" s="1858"/>
      <c r="EK61" s="1858"/>
      <c r="EL61" s="1858"/>
      <c r="EM61" s="1858"/>
      <c r="EN61" s="1858"/>
      <c r="EO61" s="1858"/>
      <c r="EP61" s="1858"/>
      <c r="EQ61" s="1858"/>
      <c r="ER61" s="1858"/>
      <c r="ES61" s="1858"/>
      <c r="ET61" s="1858"/>
      <c r="EU61" s="1858"/>
      <c r="EV61" s="1858"/>
      <c r="EW61" s="1858"/>
      <c r="EX61" s="1858"/>
      <c r="EY61" s="1858"/>
      <c r="EZ61" s="1858"/>
      <c r="FA61" s="1858"/>
      <c r="FB61" s="1858"/>
      <c r="FC61" s="1858"/>
      <c r="FD61" s="1858"/>
      <c r="FE61" s="1858"/>
      <c r="FF61" s="1858"/>
      <c r="FG61" s="1858"/>
      <c r="FH61" s="1858"/>
      <c r="FI61" s="1858"/>
      <c r="FJ61" s="1858"/>
      <c r="FK61" s="1858"/>
      <c r="FL61" s="1858"/>
      <c r="FM61" s="1858"/>
      <c r="FN61" s="1858"/>
      <c r="FO61" s="1858"/>
      <c r="FP61" s="1858"/>
      <c r="FQ61" s="1858"/>
      <c r="FR61" s="1858"/>
      <c r="FS61" s="1858"/>
      <c r="FT61" s="1858"/>
      <c r="FU61" s="1858"/>
      <c r="FV61" s="1858"/>
      <c r="FW61" s="1858"/>
      <c r="FX61" s="1858"/>
      <c r="FY61" s="1858"/>
      <c r="FZ61" s="1858"/>
      <c r="GA61" s="1858"/>
      <c r="GB61" s="1858"/>
      <c r="GC61" s="1858"/>
      <c r="GD61" s="1858"/>
      <c r="GE61" s="1858"/>
      <c r="GF61" s="1858"/>
      <c r="GG61" s="1858"/>
      <c r="GH61" s="1858"/>
      <c r="GI61" s="1858"/>
      <c r="GJ61" s="1858"/>
      <c r="GK61" s="1858"/>
      <c r="GL61" s="1858"/>
      <c r="GM61" s="1858"/>
      <c r="GN61" s="1858"/>
      <c r="GO61" s="1858"/>
      <c r="GP61" s="1858"/>
      <c r="GQ61" s="1858"/>
      <c r="GR61" s="1858"/>
      <c r="GS61" s="1858"/>
      <c r="GT61" s="1858"/>
      <c r="GU61" s="1858"/>
      <c r="GV61" s="1858"/>
      <c r="GW61" s="1858"/>
      <c r="GX61" s="1858"/>
      <c r="GY61" s="1858"/>
      <c r="GZ61" s="1858"/>
      <c r="HA61" s="1858"/>
      <c r="HB61" s="1858"/>
      <c r="HC61" s="1858"/>
      <c r="HD61" s="1858"/>
      <c r="HE61" s="1858"/>
      <c r="HF61" s="1858"/>
      <c r="HG61" s="1858"/>
      <c r="HH61" s="1858"/>
      <c r="HI61" s="1858"/>
      <c r="HJ61" s="1858"/>
      <c r="HK61" s="1858"/>
      <c r="HL61" s="1858"/>
      <c r="HM61" s="1858"/>
      <c r="HN61" s="1858"/>
      <c r="HO61" s="1858"/>
      <c r="HP61" s="1858"/>
      <c r="HQ61" s="1858"/>
      <c r="HR61" s="1858"/>
      <c r="HS61" s="1858"/>
      <c r="HT61" s="1858"/>
      <c r="HU61" s="1858"/>
      <c r="HV61" s="1858"/>
    </row>
    <row r="62" spans="1:230" s="1902" customFormat="1" ht="12.75" customHeight="1">
      <c r="A62" s="1930"/>
      <c r="B62" s="1939" t="s">
        <v>1254</v>
      </c>
      <c r="C62" s="1932"/>
      <c r="D62" s="1932">
        <v>16.4</v>
      </c>
      <c r="E62" s="1932"/>
      <c r="F62" s="1932"/>
      <c r="G62" s="1932"/>
      <c r="H62" s="1932"/>
      <c r="I62" s="1933"/>
      <c r="J62" s="1933"/>
      <c r="K62" s="1934"/>
      <c r="L62" s="1935"/>
      <c r="M62" s="1901"/>
      <c r="N62" s="1901"/>
      <c r="O62" s="1901"/>
      <c r="P62" s="1901"/>
      <c r="Q62" s="1901"/>
      <c r="R62" s="1901"/>
      <c r="S62" s="1901"/>
      <c r="T62" s="1901"/>
      <c r="U62" s="1901"/>
      <c r="V62" s="1901"/>
      <c r="W62" s="1901"/>
      <c r="X62" s="1901"/>
      <c r="Y62" s="1901"/>
      <c r="Z62" s="1901"/>
      <c r="AA62" s="1901"/>
      <c r="AB62" s="1901"/>
      <c r="AC62" s="1901"/>
      <c r="AD62" s="1901"/>
      <c r="AE62" s="1901"/>
      <c r="AF62" s="1901"/>
      <c r="AG62" s="1901"/>
      <c r="AH62" s="1901"/>
      <c r="AI62" s="1901"/>
      <c r="AJ62" s="1901"/>
      <c r="AK62" s="1901"/>
      <c r="AL62" s="1901"/>
      <c r="AM62" s="1901"/>
      <c r="AN62" s="1901"/>
      <c r="AO62" s="1901"/>
      <c r="AP62" s="1901"/>
      <c r="AQ62" s="1901"/>
      <c r="AR62" s="1901"/>
      <c r="AS62" s="1901"/>
      <c r="AT62" s="1901"/>
      <c r="AU62" s="1901"/>
      <c r="AV62" s="1901"/>
      <c r="AW62" s="1901"/>
      <c r="AX62" s="1901"/>
      <c r="AY62" s="1901"/>
      <c r="AZ62" s="1901"/>
      <c r="BA62" s="1901"/>
      <c r="BB62" s="1901"/>
      <c r="BC62" s="1901"/>
      <c r="BD62" s="1901"/>
      <c r="BE62" s="1901"/>
      <c r="BF62" s="1901"/>
      <c r="BG62" s="1901"/>
      <c r="BH62" s="1901"/>
      <c r="BI62" s="1901"/>
      <c r="BJ62" s="1901"/>
      <c r="BK62" s="1901"/>
      <c r="BL62" s="1901"/>
      <c r="BM62" s="1901"/>
      <c r="BN62" s="1901"/>
      <c r="BO62" s="1901"/>
      <c r="BP62" s="1901"/>
      <c r="BQ62" s="1901"/>
      <c r="BR62" s="1901"/>
      <c r="BS62" s="1901"/>
      <c r="BT62" s="1901"/>
      <c r="BU62" s="1901"/>
      <c r="BV62" s="1901"/>
      <c r="BW62" s="1901"/>
      <c r="BX62" s="1901"/>
      <c r="BY62" s="1901"/>
      <c r="BZ62" s="1901"/>
      <c r="CA62" s="1901"/>
      <c r="CB62" s="1901"/>
      <c r="CC62" s="1901"/>
      <c r="CD62" s="1901"/>
      <c r="CE62" s="1901"/>
      <c r="CF62" s="1901"/>
      <c r="CG62" s="1901"/>
      <c r="CH62" s="1901"/>
      <c r="CI62" s="1901"/>
      <c r="CJ62" s="1901"/>
      <c r="CK62" s="1901"/>
      <c r="CL62" s="1901"/>
      <c r="CM62" s="1901"/>
      <c r="CN62" s="1901"/>
      <c r="CO62" s="1901"/>
      <c r="CP62" s="1901"/>
      <c r="CQ62" s="1901"/>
      <c r="CR62" s="1901"/>
      <c r="CS62" s="1901"/>
      <c r="CT62" s="1901"/>
      <c r="CU62" s="1901"/>
      <c r="CV62" s="1901"/>
      <c r="CW62" s="1901"/>
      <c r="CX62" s="1901"/>
      <c r="CY62" s="1901"/>
      <c r="CZ62" s="1901"/>
      <c r="DA62" s="1901"/>
      <c r="DB62" s="1901"/>
      <c r="DC62" s="1901"/>
      <c r="DD62" s="1901"/>
      <c r="DE62" s="1901"/>
      <c r="DF62" s="1901"/>
      <c r="DG62" s="1901"/>
      <c r="DH62" s="1901"/>
      <c r="DI62" s="1901"/>
      <c r="DJ62" s="1901"/>
      <c r="DK62" s="1901"/>
      <c r="DL62" s="1901"/>
      <c r="DM62" s="1901"/>
      <c r="DN62" s="1901"/>
      <c r="DO62" s="1901"/>
      <c r="DP62" s="1901"/>
      <c r="DQ62" s="1901"/>
      <c r="DR62" s="1901"/>
      <c r="DS62" s="1901"/>
      <c r="DT62" s="1901"/>
      <c r="DU62" s="1901"/>
      <c r="DV62" s="1901"/>
      <c r="DW62" s="1901"/>
      <c r="DX62" s="1901"/>
      <c r="DY62" s="1901"/>
      <c r="DZ62" s="1901"/>
      <c r="EA62" s="1901"/>
      <c r="EB62" s="1901"/>
      <c r="EC62" s="1901"/>
      <c r="ED62" s="1901"/>
      <c r="EE62" s="1901"/>
      <c r="EF62" s="1901"/>
      <c r="EG62" s="1901"/>
      <c r="EH62" s="1901"/>
      <c r="EI62" s="1901"/>
      <c r="EJ62" s="1901"/>
      <c r="EK62" s="1901"/>
      <c r="EL62" s="1901"/>
      <c r="EM62" s="1901"/>
      <c r="EN62" s="1901"/>
      <c r="EO62" s="1901"/>
      <c r="EP62" s="1901"/>
      <c r="EQ62" s="1901"/>
      <c r="ER62" s="1901"/>
      <c r="ES62" s="1901"/>
      <c r="ET62" s="1901"/>
      <c r="EU62" s="1901"/>
      <c r="EV62" s="1901"/>
      <c r="EW62" s="1901"/>
      <c r="EX62" s="1901"/>
      <c r="EY62" s="1901"/>
      <c r="EZ62" s="1901"/>
      <c r="FA62" s="1901"/>
      <c r="FB62" s="1901"/>
      <c r="FC62" s="1901"/>
      <c r="FD62" s="1901"/>
      <c r="FE62" s="1901"/>
      <c r="FF62" s="1901"/>
      <c r="FG62" s="1901"/>
      <c r="FH62" s="1901"/>
      <c r="FI62" s="1901"/>
      <c r="FJ62" s="1901"/>
      <c r="FK62" s="1901"/>
      <c r="FL62" s="1901"/>
      <c r="FM62" s="1901"/>
      <c r="FN62" s="1901"/>
      <c r="FO62" s="1901"/>
      <c r="FP62" s="1901"/>
      <c r="FQ62" s="1901"/>
      <c r="FR62" s="1901"/>
      <c r="FS62" s="1901"/>
      <c r="FT62" s="1901"/>
      <c r="FU62" s="1901"/>
      <c r="FV62" s="1901"/>
      <c r="FW62" s="1901"/>
      <c r="FX62" s="1901"/>
      <c r="FY62" s="1901"/>
      <c r="FZ62" s="1901"/>
      <c r="GA62" s="1901"/>
      <c r="GB62" s="1901"/>
      <c r="GC62" s="1901"/>
      <c r="GD62" s="1901"/>
      <c r="GE62" s="1901"/>
      <c r="GF62" s="1901"/>
      <c r="GG62" s="1901"/>
      <c r="GH62" s="1901"/>
      <c r="GI62" s="1901"/>
      <c r="GJ62" s="1901"/>
      <c r="GK62" s="1901"/>
      <c r="GL62" s="1901"/>
      <c r="GM62" s="1901"/>
      <c r="GN62" s="1901"/>
      <c r="GO62" s="1901"/>
      <c r="GP62" s="1901"/>
      <c r="GQ62" s="1901"/>
      <c r="GR62" s="1901"/>
      <c r="GS62" s="1901"/>
      <c r="GT62" s="1901"/>
      <c r="GU62" s="1901"/>
      <c r="GV62" s="1901"/>
      <c r="GW62" s="1901"/>
      <c r="GX62" s="1901"/>
      <c r="GY62" s="1901"/>
      <c r="GZ62" s="1901"/>
      <c r="HA62" s="1901"/>
      <c r="HB62" s="1901"/>
      <c r="HC62" s="1901"/>
      <c r="HD62" s="1901"/>
      <c r="HE62" s="1901"/>
      <c r="HF62" s="1901"/>
      <c r="HG62" s="1901"/>
      <c r="HH62" s="1901"/>
      <c r="HI62" s="1901"/>
      <c r="HJ62" s="1901"/>
      <c r="HK62" s="1901"/>
      <c r="HL62" s="1901"/>
      <c r="HM62" s="1901"/>
      <c r="HN62" s="1901"/>
      <c r="HO62" s="1901"/>
      <c r="HP62" s="1901"/>
      <c r="HQ62" s="1901"/>
      <c r="HR62" s="1901"/>
      <c r="HS62" s="1901"/>
      <c r="HT62" s="1901"/>
      <c r="HU62" s="1901"/>
      <c r="HV62" s="1901"/>
    </row>
    <row r="63" spans="1:230" s="1893" customFormat="1" ht="21.75" customHeight="1">
      <c r="A63" s="1851" t="s">
        <v>1389</v>
      </c>
      <c r="B63" s="1852" t="s">
        <v>1274</v>
      </c>
      <c r="C63" s="1853">
        <v>3789.9</v>
      </c>
      <c r="D63" s="1853">
        <v>937.8</v>
      </c>
      <c r="E63" s="1853">
        <v>902.2</v>
      </c>
      <c r="F63" s="1853">
        <v>902.1</v>
      </c>
      <c r="G63" s="1853">
        <v>1047.8</v>
      </c>
      <c r="H63" s="1853"/>
      <c r="I63" s="1961"/>
      <c r="J63" s="1867"/>
      <c r="K63" s="1868"/>
      <c r="L63" s="1869"/>
      <c r="M63" s="1858"/>
      <c r="N63" s="1858"/>
      <c r="O63" s="1858"/>
      <c r="P63" s="1858"/>
      <c r="Q63" s="1858"/>
      <c r="R63" s="1858"/>
      <c r="S63" s="1858"/>
      <c r="T63" s="1858"/>
      <c r="U63" s="1858"/>
      <c r="V63" s="1858"/>
      <c r="W63" s="1858"/>
      <c r="X63" s="1858"/>
      <c r="Y63" s="1858"/>
      <c r="Z63" s="1858"/>
      <c r="AA63" s="1858"/>
      <c r="AB63" s="1858"/>
      <c r="AC63" s="1858"/>
      <c r="AD63" s="1858"/>
      <c r="AE63" s="1858"/>
      <c r="AF63" s="1858"/>
      <c r="AG63" s="1858"/>
      <c r="AH63" s="1858"/>
      <c r="AI63" s="1858"/>
      <c r="AJ63" s="1858"/>
      <c r="AK63" s="1858"/>
      <c r="AL63" s="1858"/>
      <c r="AM63" s="1858"/>
      <c r="AN63" s="1858"/>
      <c r="AO63" s="1858"/>
      <c r="AP63" s="1858"/>
      <c r="AQ63" s="1858"/>
      <c r="AR63" s="1858"/>
      <c r="AS63" s="1858"/>
      <c r="AT63" s="1858"/>
      <c r="AU63" s="1858"/>
      <c r="AV63" s="1858"/>
      <c r="AW63" s="1858"/>
      <c r="AX63" s="1858"/>
      <c r="AY63" s="1858"/>
      <c r="AZ63" s="1858"/>
      <c r="BA63" s="1858"/>
      <c r="BB63" s="1858"/>
      <c r="BC63" s="1858"/>
      <c r="BD63" s="1858"/>
      <c r="BE63" s="1858"/>
      <c r="BF63" s="1858"/>
      <c r="BG63" s="1858"/>
      <c r="BH63" s="1858"/>
      <c r="BI63" s="1858"/>
      <c r="BJ63" s="1858"/>
      <c r="BK63" s="1858"/>
      <c r="BL63" s="1858"/>
      <c r="BM63" s="1858"/>
      <c r="BN63" s="1858"/>
      <c r="BO63" s="1858"/>
      <c r="BP63" s="1858"/>
      <c r="BQ63" s="1858"/>
      <c r="BR63" s="1858"/>
      <c r="BS63" s="1858"/>
      <c r="BT63" s="1858"/>
      <c r="BU63" s="1858"/>
      <c r="BV63" s="1858"/>
      <c r="BW63" s="1858"/>
      <c r="BX63" s="1858"/>
      <c r="BY63" s="1858"/>
      <c r="BZ63" s="1858"/>
      <c r="CA63" s="1858"/>
      <c r="CB63" s="1858"/>
      <c r="CC63" s="1858"/>
      <c r="CD63" s="1858"/>
      <c r="CE63" s="1858"/>
      <c r="CF63" s="1858"/>
      <c r="CG63" s="1858"/>
      <c r="CH63" s="1858"/>
      <c r="CI63" s="1858"/>
      <c r="CJ63" s="1858"/>
      <c r="CK63" s="1858"/>
      <c r="CL63" s="1858"/>
      <c r="CM63" s="1858"/>
      <c r="CN63" s="1858"/>
      <c r="CO63" s="1858"/>
      <c r="CP63" s="1858"/>
      <c r="CQ63" s="1858"/>
      <c r="CR63" s="1858"/>
      <c r="CS63" s="1858"/>
      <c r="CT63" s="1858"/>
      <c r="CU63" s="1858"/>
      <c r="CV63" s="1858"/>
      <c r="CW63" s="1858"/>
      <c r="CX63" s="1858"/>
      <c r="CY63" s="1858"/>
      <c r="CZ63" s="1858"/>
      <c r="DA63" s="1858"/>
      <c r="DB63" s="1858"/>
      <c r="DC63" s="1858"/>
      <c r="DD63" s="1858"/>
      <c r="DE63" s="1858"/>
      <c r="DF63" s="1858"/>
      <c r="DG63" s="1858"/>
      <c r="DH63" s="1858"/>
      <c r="DI63" s="1858"/>
      <c r="DJ63" s="1858"/>
      <c r="DK63" s="1858"/>
      <c r="DL63" s="1858"/>
      <c r="DM63" s="1858"/>
      <c r="DN63" s="1858"/>
      <c r="DO63" s="1858"/>
      <c r="DP63" s="1858"/>
      <c r="DQ63" s="1858"/>
      <c r="DR63" s="1858"/>
      <c r="DS63" s="1858"/>
      <c r="DT63" s="1858"/>
      <c r="DU63" s="1858"/>
      <c r="DV63" s="1858"/>
      <c r="DW63" s="1858"/>
      <c r="DX63" s="1858"/>
      <c r="DY63" s="1858"/>
      <c r="DZ63" s="1858"/>
      <c r="EA63" s="1858"/>
      <c r="EB63" s="1858"/>
      <c r="EC63" s="1858"/>
      <c r="ED63" s="1858"/>
      <c r="EE63" s="1858"/>
      <c r="EF63" s="1858"/>
      <c r="EG63" s="1858"/>
      <c r="EH63" s="1858"/>
      <c r="EI63" s="1858"/>
      <c r="EJ63" s="1858"/>
      <c r="EK63" s="1858"/>
      <c r="EL63" s="1858"/>
      <c r="EM63" s="1858"/>
      <c r="EN63" s="1858"/>
      <c r="EO63" s="1858"/>
      <c r="EP63" s="1858"/>
      <c r="EQ63" s="1858"/>
      <c r="ER63" s="1858"/>
      <c r="ES63" s="1858"/>
      <c r="ET63" s="1858"/>
      <c r="EU63" s="1858"/>
      <c r="EV63" s="1858"/>
      <c r="EW63" s="1858"/>
      <c r="EX63" s="1858"/>
      <c r="EY63" s="1858"/>
      <c r="EZ63" s="1858"/>
      <c r="FA63" s="1858"/>
      <c r="FB63" s="1858"/>
      <c r="FC63" s="1858"/>
      <c r="FD63" s="1858"/>
      <c r="FE63" s="1858"/>
      <c r="FF63" s="1858"/>
      <c r="FG63" s="1858"/>
      <c r="FH63" s="1858"/>
      <c r="FI63" s="1858"/>
      <c r="FJ63" s="1858"/>
      <c r="FK63" s="1858"/>
      <c r="FL63" s="1858"/>
      <c r="FM63" s="1858"/>
      <c r="FN63" s="1858"/>
      <c r="FO63" s="1858"/>
      <c r="FP63" s="1858"/>
      <c r="FQ63" s="1858"/>
      <c r="FR63" s="1858"/>
      <c r="FS63" s="1858"/>
      <c r="FT63" s="1858"/>
      <c r="FU63" s="1858"/>
      <c r="FV63" s="1858"/>
      <c r="FW63" s="1858"/>
      <c r="FX63" s="1858"/>
      <c r="FY63" s="1858"/>
      <c r="FZ63" s="1858"/>
      <c r="GA63" s="1858"/>
      <c r="GB63" s="1858"/>
      <c r="GC63" s="1858"/>
      <c r="GD63" s="1858"/>
      <c r="GE63" s="1858"/>
      <c r="GF63" s="1858"/>
      <c r="GG63" s="1858"/>
      <c r="GH63" s="1858"/>
      <c r="GI63" s="1858"/>
      <c r="GJ63" s="1858"/>
      <c r="GK63" s="1858"/>
      <c r="GL63" s="1858"/>
      <c r="GM63" s="1858"/>
      <c r="GN63" s="1858"/>
      <c r="GO63" s="1858"/>
      <c r="GP63" s="1858"/>
      <c r="GQ63" s="1858"/>
      <c r="GR63" s="1858"/>
      <c r="GS63" s="1858"/>
      <c r="GT63" s="1858"/>
      <c r="GU63" s="1858"/>
      <c r="GV63" s="1858"/>
      <c r="GW63" s="1858"/>
      <c r="GX63" s="1858"/>
      <c r="GY63" s="1858"/>
      <c r="GZ63" s="1858"/>
      <c r="HA63" s="1858"/>
      <c r="HB63" s="1858"/>
      <c r="HC63" s="1858"/>
      <c r="HD63" s="1858"/>
      <c r="HE63" s="1858"/>
      <c r="HF63" s="1858"/>
      <c r="HG63" s="1858"/>
      <c r="HH63" s="1858"/>
      <c r="HI63" s="1858"/>
      <c r="HJ63" s="1858"/>
      <c r="HK63" s="1858"/>
      <c r="HL63" s="1858"/>
      <c r="HM63" s="1858"/>
      <c r="HN63" s="1858"/>
      <c r="HO63" s="1858"/>
      <c r="HP63" s="1858"/>
      <c r="HQ63" s="1858"/>
      <c r="HR63" s="1858"/>
      <c r="HS63" s="1858"/>
      <c r="HT63" s="1858"/>
      <c r="HU63" s="1858"/>
      <c r="HV63" s="1858"/>
    </row>
    <row r="64" spans="1:230" s="1902" customFormat="1" ht="11.25" customHeight="1">
      <c r="A64" s="1930"/>
      <c r="B64" s="1939" t="s">
        <v>1236</v>
      </c>
      <c r="C64" s="1932"/>
      <c r="D64" s="1932">
        <v>93.4</v>
      </c>
      <c r="E64" s="1932">
        <v>70.9</v>
      </c>
      <c r="F64" s="1932">
        <v>47.5</v>
      </c>
      <c r="G64" s="1932">
        <v>19.5</v>
      </c>
      <c r="H64" s="1932"/>
      <c r="I64" s="1962"/>
      <c r="J64" s="1933"/>
      <c r="K64" s="1934"/>
      <c r="L64" s="1935"/>
      <c r="M64" s="1901"/>
      <c r="N64" s="1901"/>
      <c r="O64" s="1901"/>
      <c r="P64" s="1901"/>
      <c r="Q64" s="1901"/>
      <c r="R64" s="1901"/>
      <c r="S64" s="1901"/>
      <c r="T64" s="1901"/>
      <c r="U64" s="1901"/>
      <c r="V64" s="1901"/>
      <c r="W64" s="1901"/>
      <c r="X64" s="1901"/>
      <c r="Y64" s="1901"/>
      <c r="Z64" s="1901"/>
      <c r="AA64" s="1901"/>
      <c r="AB64" s="1901"/>
      <c r="AC64" s="1901"/>
      <c r="AD64" s="1901"/>
      <c r="AE64" s="1901"/>
      <c r="AF64" s="1901"/>
      <c r="AG64" s="1901"/>
      <c r="AH64" s="1901"/>
      <c r="AI64" s="1901"/>
      <c r="AJ64" s="1901"/>
      <c r="AK64" s="1901"/>
      <c r="AL64" s="1901"/>
      <c r="AM64" s="1901"/>
      <c r="AN64" s="1901"/>
      <c r="AO64" s="1901"/>
      <c r="AP64" s="1901"/>
      <c r="AQ64" s="1901"/>
      <c r="AR64" s="1901"/>
      <c r="AS64" s="1901"/>
      <c r="AT64" s="1901"/>
      <c r="AU64" s="1901"/>
      <c r="AV64" s="1901"/>
      <c r="AW64" s="1901"/>
      <c r="AX64" s="1901"/>
      <c r="AY64" s="1901"/>
      <c r="AZ64" s="1901"/>
      <c r="BA64" s="1901"/>
      <c r="BB64" s="1901"/>
      <c r="BC64" s="1901"/>
      <c r="BD64" s="1901"/>
      <c r="BE64" s="1901"/>
      <c r="BF64" s="1901"/>
      <c r="BG64" s="1901"/>
      <c r="BH64" s="1901"/>
      <c r="BI64" s="1901"/>
      <c r="BJ64" s="1901"/>
      <c r="BK64" s="1901"/>
      <c r="BL64" s="1901"/>
      <c r="BM64" s="1901"/>
      <c r="BN64" s="1901"/>
      <c r="BO64" s="1901"/>
      <c r="BP64" s="1901"/>
      <c r="BQ64" s="1901"/>
      <c r="BR64" s="1901"/>
      <c r="BS64" s="1901"/>
      <c r="BT64" s="1901"/>
      <c r="BU64" s="1901"/>
      <c r="BV64" s="1901"/>
      <c r="BW64" s="1901"/>
      <c r="BX64" s="1901"/>
      <c r="BY64" s="1901"/>
      <c r="BZ64" s="1901"/>
      <c r="CA64" s="1901"/>
      <c r="CB64" s="1901"/>
      <c r="CC64" s="1901"/>
      <c r="CD64" s="1901"/>
      <c r="CE64" s="1901"/>
      <c r="CF64" s="1901"/>
      <c r="CG64" s="1901"/>
      <c r="CH64" s="1901"/>
      <c r="CI64" s="1901"/>
      <c r="CJ64" s="1901"/>
      <c r="CK64" s="1901"/>
      <c r="CL64" s="1901"/>
      <c r="CM64" s="1901"/>
      <c r="CN64" s="1901"/>
      <c r="CO64" s="1901"/>
      <c r="CP64" s="1901"/>
      <c r="CQ64" s="1901"/>
      <c r="CR64" s="1901"/>
      <c r="CS64" s="1901"/>
      <c r="CT64" s="1901"/>
      <c r="CU64" s="1901"/>
      <c r="CV64" s="1901"/>
      <c r="CW64" s="1901"/>
      <c r="CX64" s="1901"/>
      <c r="CY64" s="1901"/>
      <c r="CZ64" s="1901"/>
      <c r="DA64" s="1901"/>
      <c r="DB64" s="1901"/>
      <c r="DC64" s="1901"/>
      <c r="DD64" s="1901"/>
      <c r="DE64" s="1901"/>
      <c r="DF64" s="1901"/>
      <c r="DG64" s="1901"/>
      <c r="DH64" s="1901"/>
      <c r="DI64" s="1901"/>
      <c r="DJ64" s="1901"/>
      <c r="DK64" s="1901"/>
      <c r="DL64" s="1901"/>
      <c r="DM64" s="1901"/>
      <c r="DN64" s="1901"/>
      <c r="DO64" s="1901"/>
      <c r="DP64" s="1901"/>
      <c r="DQ64" s="1901"/>
      <c r="DR64" s="1901"/>
      <c r="DS64" s="1901"/>
      <c r="DT64" s="1901"/>
      <c r="DU64" s="1901"/>
      <c r="DV64" s="1901"/>
      <c r="DW64" s="1901"/>
      <c r="DX64" s="1901"/>
      <c r="DY64" s="1901"/>
      <c r="DZ64" s="1901"/>
      <c r="EA64" s="1901"/>
      <c r="EB64" s="1901"/>
      <c r="EC64" s="1901"/>
      <c r="ED64" s="1901"/>
      <c r="EE64" s="1901"/>
      <c r="EF64" s="1901"/>
      <c r="EG64" s="1901"/>
      <c r="EH64" s="1901"/>
      <c r="EI64" s="1901"/>
      <c r="EJ64" s="1901"/>
      <c r="EK64" s="1901"/>
      <c r="EL64" s="1901"/>
      <c r="EM64" s="1901"/>
      <c r="EN64" s="1901"/>
      <c r="EO64" s="1901"/>
      <c r="EP64" s="1901"/>
      <c r="EQ64" s="1901"/>
      <c r="ER64" s="1901"/>
      <c r="ES64" s="1901"/>
      <c r="ET64" s="1901"/>
      <c r="EU64" s="1901"/>
      <c r="EV64" s="1901"/>
      <c r="EW64" s="1901"/>
      <c r="EX64" s="1901"/>
      <c r="EY64" s="1901"/>
      <c r="EZ64" s="1901"/>
      <c r="FA64" s="1901"/>
      <c r="FB64" s="1901"/>
      <c r="FC64" s="1901"/>
      <c r="FD64" s="1901"/>
      <c r="FE64" s="1901"/>
      <c r="FF64" s="1901"/>
      <c r="FG64" s="1901"/>
      <c r="FH64" s="1901"/>
      <c r="FI64" s="1901"/>
      <c r="FJ64" s="1901"/>
      <c r="FK64" s="1901"/>
      <c r="FL64" s="1901"/>
      <c r="FM64" s="1901"/>
      <c r="FN64" s="1901"/>
      <c r="FO64" s="1901"/>
      <c r="FP64" s="1901"/>
      <c r="FQ64" s="1901"/>
      <c r="FR64" s="1901"/>
      <c r="FS64" s="1901"/>
      <c r="FT64" s="1901"/>
      <c r="FU64" s="1901"/>
      <c r="FV64" s="1901"/>
      <c r="FW64" s="1901"/>
      <c r="FX64" s="1901"/>
      <c r="FY64" s="1901"/>
      <c r="FZ64" s="1901"/>
      <c r="GA64" s="1901"/>
      <c r="GB64" s="1901"/>
      <c r="GC64" s="1901"/>
      <c r="GD64" s="1901"/>
      <c r="GE64" s="1901"/>
      <c r="GF64" s="1901"/>
      <c r="GG64" s="1901"/>
      <c r="GH64" s="1901"/>
      <c r="GI64" s="1901"/>
      <c r="GJ64" s="1901"/>
      <c r="GK64" s="1901"/>
      <c r="GL64" s="1901"/>
      <c r="GM64" s="1901"/>
      <c r="GN64" s="1901"/>
      <c r="GO64" s="1901"/>
      <c r="GP64" s="1901"/>
      <c r="GQ64" s="1901"/>
      <c r="GR64" s="1901"/>
      <c r="GS64" s="1901"/>
      <c r="GT64" s="1901"/>
      <c r="GU64" s="1901"/>
      <c r="GV64" s="1901"/>
      <c r="GW64" s="1901"/>
      <c r="GX64" s="1901"/>
      <c r="GY64" s="1901"/>
      <c r="GZ64" s="1901"/>
      <c r="HA64" s="1901"/>
      <c r="HB64" s="1901"/>
      <c r="HC64" s="1901"/>
      <c r="HD64" s="1901"/>
      <c r="HE64" s="1901"/>
      <c r="HF64" s="1901"/>
      <c r="HG64" s="1901"/>
      <c r="HH64" s="1901"/>
      <c r="HI64" s="1901"/>
      <c r="HJ64" s="1901"/>
      <c r="HK64" s="1901"/>
      <c r="HL64" s="1901"/>
      <c r="HM64" s="1901"/>
      <c r="HN64" s="1901"/>
      <c r="HO64" s="1901"/>
      <c r="HP64" s="1901"/>
      <c r="HQ64" s="1901"/>
      <c r="HR64" s="1901"/>
      <c r="HS64" s="1901"/>
      <c r="HT64" s="1901"/>
      <c r="HU64" s="1901"/>
      <c r="HV64" s="1901"/>
    </row>
    <row r="65" spans="1:230" s="1969" customFormat="1" ht="21.75" customHeight="1">
      <c r="A65" s="1963"/>
      <c r="B65" s="1964" t="s">
        <v>1275</v>
      </c>
      <c r="C65" s="1965"/>
      <c r="D65" s="1965"/>
      <c r="E65" s="1965"/>
      <c r="F65" s="1965"/>
      <c r="G65" s="1965"/>
      <c r="H65" s="1965"/>
      <c r="I65" s="1966"/>
      <c r="J65" s="1966"/>
      <c r="K65" s="1966"/>
      <c r="L65" s="1967"/>
      <c r="M65" s="1968"/>
      <c r="N65" s="1968"/>
      <c r="O65" s="1968"/>
      <c r="P65" s="1968"/>
      <c r="Q65" s="1968"/>
      <c r="R65" s="1968"/>
      <c r="S65" s="1968"/>
      <c r="T65" s="1968"/>
      <c r="U65" s="1968"/>
      <c r="V65" s="1968"/>
      <c r="W65" s="1968"/>
      <c r="X65" s="1968"/>
      <c r="Y65" s="1968"/>
      <c r="Z65" s="1968"/>
      <c r="AA65" s="1968"/>
      <c r="AB65" s="1968"/>
      <c r="AC65" s="1968"/>
      <c r="AD65" s="1968"/>
      <c r="AE65" s="1968"/>
      <c r="AF65" s="1968"/>
      <c r="AG65" s="1968"/>
      <c r="AH65" s="1968"/>
      <c r="AI65" s="1968"/>
      <c r="AJ65" s="1968"/>
      <c r="AK65" s="1968"/>
      <c r="AL65" s="1968"/>
      <c r="AM65" s="1968"/>
      <c r="AN65" s="1968"/>
      <c r="AO65" s="1968"/>
      <c r="AP65" s="1968"/>
      <c r="AQ65" s="1968"/>
      <c r="AR65" s="1968"/>
      <c r="AS65" s="1968"/>
      <c r="AT65" s="1968"/>
      <c r="AU65" s="1968"/>
      <c r="AV65" s="1968"/>
      <c r="AW65" s="1968"/>
      <c r="AX65" s="1968"/>
      <c r="AY65" s="1968"/>
      <c r="AZ65" s="1968"/>
      <c r="BA65" s="1968"/>
      <c r="BB65" s="1968"/>
      <c r="BC65" s="1968"/>
      <c r="BD65" s="1968"/>
      <c r="BE65" s="1968"/>
      <c r="BF65" s="1968"/>
      <c r="BG65" s="1968"/>
      <c r="BH65" s="1968"/>
      <c r="BI65" s="1968"/>
      <c r="BJ65" s="1968"/>
      <c r="BK65" s="1968"/>
      <c r="BL65" s="1968"/>
      <c r="BM65" s="1968"/>
      <c r="BN65" s="1968"/>
      <c r="BO65" s="1968"/>
      <c r="BP65" s="1968"/>
      <c r="BQ65" s="1968"/>
      <c r="BR65" s="1968"/>
      <c r="BS65" s="1968"/>
      <c r="BT65" s="1968"/>
      <c r="BU65" s="1968"/>
      <c r="BV65" s="1968"/>
      <c r="BW65" s="1968"/>
      <c r="BX65" s="1968"/>
      <c r="BY65" s="1968"/>
      <c r="BZ65" s="1968"/>
      <c r="CA65" s="1968"/>
      <c r="CB65" s="1968"/>
      <c r="CC65" s="1968"/>
      <c r="CD65" s="1968"/>
      <c r="CE65" s="1968"/>
      <c r="CF65" s="1968"/>
      <c r="CG65" s="1968"/>
      <c r="CH65" s="1968"/>
      <c r="CI65" s="1968"/>
      <c r="CJ65" s="1968"/>
      <c r="CK65" s="1968"/>
      <c r="CL65" s="1968"/>
      <c r="CM65" s="1968"/>
      <c r="CN65" s="1968"/>
      <c r="CO65" s="1968"/>
      <c r="CP65" s="1968"/>
      <c r="CQ65" s="1968"/>
      <c r="CR65" s="1968"/>
      <c r="CS65" s="1968"/>
      <c r="CT65" s="1968"/>
      <c r="CU65" s="1968"/>
      <c r="CV65" s="1968"/>
      <c r="CW65" s="1968"/>
      <c r="CX65" s="1968"/>
      <c r="CY65" s="1968"/>
      <c r="CZ65" s="1968"/>
      <c r="DA65" s="1968"/>
      <c r="DB65" s="1968"/>
      <c r="DC65" s="1968"/>
      <c r="DD65" s="1968"/>
      <c r="DE65" s="1968"/>
      <c r="DF65" s="1968"/>
      <c r="DG65" s="1968"/>
      <c r="DH65" s="1968"/>
      <c r="DI65" s="1968"/>
      <c r="DJ65" s="1968"/>
      <c r="DK65" s="1968"/>
      <c r="DL65" s="1968"/>
      <c r="DM65" s="1968"/>
      <c r="DN65" s="1968"/>
      <c r="DO65" s="1968"/>
      <c r="DP65" s="1968"/>
      <c r="DQ65" s="1968"/>
      <c r="DR65" s="1968"/>
      <c r="DS65" s="1968"/>
      <c r="DT65" s="1968"/>
      <c r="DU65" s="1968"/>
      <c r="DV65" s="1968"/>
      <c r="DW65" s="1968"/>
      <c r="DX65" s="1968"/>
      <c r="DY65" s="1968"/>
      <c r="DZ65" s="1968"/>
      <c r="EA65" s="1968"/>
      <c r="EB65" s="1968"/>
      <c r="EC65" s="1968"/>
      <c r="ED65" s="1968"/>
      <c r="EE65" s="1968"/>
      <c r="EF65" s="1968"/>
      <c r="EG65" s="1968"/>
      <c r="EH65" s="1968"/>
      <c r="EI65" s="1968"/>
      <c r="EJ65" s="1968"/>
      <c r="EK65" s="1968"/>
      <c r="EL65" s="1968"/>
      <c r="EM65" s="1968"/>
      <c r="EN65" s="1968"/>
      <c r="EO65" s="1968"/>
      <c r="EP65" s="1968"/>
      <c r="EQ65" s="1968"/>
      <c r="ER65" s="1968"/>
      <c r="ES65" s="1968"/>
      <c r="ET65" s="1968"/>
      <c r="EU65" s="1968"/>
      <c r="EV65" s="1968"/>
      <c r="EW65" s="1968"/>
      <c r="EX65" s="1968"/>
      <c r="EY65" s="1968"/>
      <c r="EZ65" s="1968"/>
      <c r="FA65" s="1968"/>
      <c r="FB65" s="1968"/>
      <c r="FC65" s="1968"/>
      <c r="FD65" s="1968"/>
      <c r="FE65" s="1968"/>
      <c r="FF65" s="1968"/>
      <c r="FG65" s="1968"/>
      <c r="FH65" s="1968"/>
      <c r="FI65" s="1968"/>
      <c r="FJ65" s="1968"/>
      <c r="FK65" s="1968"/>
      <c r="FL65" s="1968"/>
      <c r="FM65" s="1968"/>
      <c r="FN65" s="1968"/>
      <c r="FO65" s="1968"/>
      <c r="FP65" s="1968"/>
      <c r="FQ65" s="1968"/>
      <c r="FR65" s="1968"/>
      <c r="FS65" s="1968"/>
      <c r="FT65" s="1968"/>
      <c r="FU65" s="1968"/>
      <c r="FV65" s="1968"/>
      <c r="FW65" s="1968"/>
      <c r="FX65" s="1968"/>
      <c r="FY65" s="1968"/>
      <c r="FZ65" s="1968"/>
      <c r="GA65" s="1968"/>
      <c r="GB65" s="1968"/>
      <c r="GC65" s="1968"/>
      <c r="GD65" s="1968"/>
      <c r="GE65" s="1968"/>
      <c r="GF65" s="1968"/>
      <c r="GG65" s="1968"/>
      <c r="GH65" s="1968"/>
      <c r="GI65" s="1968"/>
      <c r="GJ65" s="1968"/>
      <c r="GK65" s="1968"/>
      <c r="GL65" s="1968"/>
      <c r="GM65" s="1968"/>
      <c r="GN65" s="1968"/>
      <c r="GO65" s="1968"/>
      <c r="GP65" s="1968"/>
      <c r="GQ65" s="1968"/>
      <c r="GR65" s="1968"/>
      <c r="GS65" s="1968"/>
      <c r="GT65" s="1968"/>
      <c r="GU65" s="1968"/>
      <c r="GV65" s="1968"/>
      <c r="GW65" s="1968"/>
      <c r="GX65" s="1968"/>
      <c r="GY65" s="1968"/>
      <c r="GZ65" s="1968"/>
      <c r="HA65" s="1968"/>
      <c r="HB65" s="1968"/>
      <c r="HC65" s="1968"/>
      <c r="HD65" s="1968"/>
      <c r="HE65" s="1968"/>
      <c r="HF65" s="1968"/>
      <c r="HG65" s="1968"/>
      <c r="HH65" s="1968"/>
      <c r="HI65" s="1968"/>
      <c r="HJ65" s="1968"/>
      <c r="HK65" s="1968"/>
      <c r="HL65" s="1968"/>
      <c r="HM65" s="1968"/>
      <c r="HN65" s="1968"/>
      <c r="HO65" s="1968"/>
      <c r="HP65" s="1968"/>
      <c r="HQ65" s="1968"/>
      <c r="HR65" s="1968"/>
      <c r="HS65" s="1968"/>
      <c r="HT65" s="1968"/>
      <c r="HU65" s="1968"/>
      <c r="HV65" s="1968"/>
    </row>
    <row r="66" spans="1:41" ht="12" customHeight="1" hidden="1">
      <c r="A66" s="1970"/>
      <c r="B66" s="1971"/>
      <c r="C66" s="1972"/>
      <c r="D66" s="1972"/>
      <c r="E66" s="1972"/>
      <c r="F66" s="1973"/>
      <c r="G66" s="1972"/>
      <c r="H66" s="1972"/>
      <c r="I66" s="1973"/>
      <c r="J66" s="1972"/>
      <c r="K66" s="1974"/>
      <c r="L66" s="1912"/>
      <c r="M66" s="1866"/>
      <c r="N66" s="1866"/>
      <c r="O66" s="1866"/>
      <c r="P66" s="1866"/>
      <c r="Q66" s="1866"/>
      <c r="R66" s="1866"/>
      <c r="S66" s="1866"/>
      <c r="T66" s="1866"/>
      <c r="U66" s="1866"/>
      <c r="V66" s="1866"/>
      <c r="W66" s="1866"/>
      <c r="X66" s="1866"/>
      <c r="Y66" s="1866"/>
      <c r="Z66" s="1866"/>
      <c r="AA66" s="1866"/>
      <c r="AB66" s="1866"/>
      <c r="AC66" s="1866"/>
      <c r="AD66" s="1866"/>
      <c r="AE66" s="1866"/>
      <c r="AF66" s="1866"/>
      <c r="AG66" s="1866"/>
      <c r="AH66" s="1866"/>
      <c r="AI66" s="1866"/>
      <c r="AJ66" s="1866"/>
      <c r="AK66" s="1866"/>
      <c r="AL66" s="1866"/>
      <c r="AM66" s="1866"/>
      <c r="AN66" s="1866"/>
      <c r="AO66" s="1866"/>
    </row>
    <row r="67" spans="1:41" ht="32.25" customHeight="1">
      <c r="A67" s="1913" t="s">
        <v>1323</v>
      </c>
      <c r="B67" s="1852" t="s">
        <v>1276</v>
      </c>
      <c r="C67" s="1866"/>
      <c r="D67" s="1975"/>
      <c r="E67" s="1975"/>
      <c r="F67" s="1976">
        <v>3333.3</v>
      </c>
      <c r="G67" s="1853">
        <v>3333.3</v>
      </c>
      <c r="H67" s="1853">
        <v>3333.3</v>
      </c>
      <c r="I67" s="1853">
        <v>3333.3</v>
      </c>
      <c r="J67" s="1853">
        <v>3333.3</v>
      </c>
      <c r="K67" s="1977">
        <v>3333.5</v>
      </c>
      <c r="L67" s="1978"/>
      <c r="M67" s="1866"/>
      <c r="N67" s="1866"/>
      <c r="O67" s="1866"/>
      <c r="P67" s="1866"/>
      <c r="Q67" s="1866"/>
      <c r="R67" s="1866"/>
      <c r="S67" s="1866"/>
      <c r="T67" s="1866"/>
      <c r="U67" s="1866"/>
      <c r="V67" s="1866"/>
      <c r="W67" s="1866"/>
      <c r="X67" s="1866"/>
      <c r="Y67" s="1866"/>
      <c r="Z67" s="1866"/>
      <c r="AA67" s="1866"/>
      <c r="AB67" s="1866"/>
      <c r="AC67" s="1866"/>
      <c r="AD67" s="1866"/>
      <c r="AE67" s="1866"/>
      <c r="AF67" s="1866"/>
      <c r="AG67" s="1866"/>
      <c r="AH67" s="1866"/>
      <c r="AI67" s="1866"/>
      <c r="AJ67" s="1866"/>
      <c r="AK67" s="1866"/>
      <c r="AL67" s="1866"/>
      <c r="AM67" s="1866"/>
      <c r="AN67" s="1866"/>
      <c r="AO67" s="1866"/>
    </row>
    <row r="68" spans="1:230" s="1902" customFormat="1" ht="12.75" customHeight="1">
      <c r="A68" s="1930"/>
      <c r="B68" s="1860" t="s">
        <v>1254</v>
      </c>
      <c r="C68" s="1979"/>
      <c r="D68" s="1862">
        <v>347.7</v>
      </c>
      <c r="E68" s="1862">
        <v>1390.5</v>
      </c>
      <c r="F68" s="1980">
        <v>1347.2</v>
      </c>
      <c r="G68" s="1862">
        <v>1129.9</v>
      </c>
      <c r="H68" s="1862">
        <v>898.2</v>
      </c>
      <c r="I68" s="1862">
        <v>666.4</v>
      </c>
      <c r="J68" s="1862">
        <v>434.6</v>
      </c>
      <c r="K68" s="1895">
        <v>202.7</v>
      </c>
      <c r="L68" s="1896"/>
      <c r="M68" s="1901"/>
      <c r="N68" s="1901"/>
      <c r="O68" s="1901"/>
      <c r="P68" s="1901"/>
      <c r="Q68" s="1901"/>
      <c r="R68" s="1901"/>
      <c r="S68" s="1901"/>
      <c r="T68" s="1901"/>
      <c r="U68" s="1901"/>
      <c r="V68" s="1901"/>
      <c r="W68" s="1901"/>
      <c r="X68" s="1901"/>
      <c r="Y68" s="1901"/>
      <c r="Z68" s="1901"/>
      <c r="AA68" s="1901"/>
      <c r="AB68" s="1901"/>
      <c r="AC68" s="1901"/>
      <c r="AD68" s="1901"/>
      <c r="AE68" s="1901"/>
      <c r="AF68" s="1901"/>
      <c r="AG68" s="1901"/>
      <c r="AH68" s="1901"/>
      <c r="AI68" s="1901"/>
      <c r="AJ68" s="1901"/>
      <c r="AK68" s="1901"/>
      <c r="AL68" s="1901"/>
      <c r="AM68" s="1901"/>
      <c r="AN68" s="1901"/>
      <c r="AO68" s="1901"/>
      <c r="AP68" s="1901"/>
      <c r="AQ68" s="1901"/>
      <c r="AR68" s="1901"/>
      <c r="AS68" s="1901"/>
      <c r="AT68" s="1901"/>
      <c r="AU68" s="1901"/>
      <c r="AV68" s="1901"/>
      <c r="AW68" s="1901"/>
      <c r="AX68" s="1901"/>
      <c r="AY68" s="1901"/>
      <c r="AZ68" s="1901"/>
      <c r="BA68" s="1901"/>
      <c r="BB68" s="1901"/>
      <c r="BC68" s="1901"/>
      <c r="BD68" s="1901"/>
      <c r="BE68" s="1901"/>
      <c r="BF68" s="1901"/>
      <c r="BG68" s="1901"/>
      <c r="BH68" s="1901"/>
      <c r="BI68" s="1901"/>
      <c r="BJ68" s="1901"/>
      <c r="BK68" s="1901"/>
      <c r="BL68" s="1901"/>
      <c r="BM68" s="1901"/>
      <c r="BN68" s="1901"/>
      <c r="BO68" s="1901"/>
      <c r="BP68" s="1901"/>
      <c r="BQ68" s="1901"/>
      <c r="BR68" s="1901"/>
      <c r="BS68" s="1901"/>
      <c r="BT68" s="1901"/>
      <c r="BU68" s="1901"/>
      <c r="BV68" s="1901"/>
      <c r="BW68" s="1901"/>
      <c r="BX68" s="1901"/>
      <c r="BY68" s="1901"/>
      <c r="BZ68" s="1901"/>
      <c r="CA68" s="1901"/>
      <c r="CB68" s="1901"/>
      <c r="CC68" s="1901"/>
      <c r="CD68" s="1901"/>
      <c r="CE68" s="1901"/>
      <c r="CF68" s="1901"/>
      <c r="CG68" s="1901"/>
      <c r="CH68" s="1901"/>
      <c r="CI68" s="1901"/>
      <c r="CJ68" s="1901"/>
      <c r="CK68" s="1901"/>
      <c r="CL68" s="1901"/>
      <c r="CM68" s="1901"/>
      <c r="CN68" s="1901"/>
      <c r="CO68" s="1901"/>
      <c r="CP68" s="1901"/>
      <c r="CQ68" s="1901"/>
      <c r="CR68" s="1901"/>
      <c r="CS68" s="1901"/>
      <c r="CT68" s="1901"/>
      <c r="CU68" s="1901"/>
      <c r="CV68" s="1901"/>
      <c r="CW68" s="1901"/>
      <c r="CX68" s="1901"/>
      <c r="CY68" s="1901"/>
      <c r="CZ68" s="1901"/>
      <c r="DA68" s="1901"/>
      <c r="DB68" s="1901"/>
      <c r="DC68" s="1901"/>
      <c r="DD68" s="1901"/>
      <c r="DE68" s="1901"/>
      <c r="DF68" s="1901"/>
      <c r="DG68" s="1901"/>
      <c r="DH68" s="1901"/>
      <c r="DI68" s="1901"/>
      <c r="DJ68" s="1901"/>
      <c r="DK68" s="1901"/>
      <c r="DL68" s="1901"/>
      <c r="DM68" s="1901"/>
      <c r="DN68" s="1901"/>
      <c r="DO68" s="1901"/>
      <c r="DP68" s="1901"/>
      <c r="DQ68" s="1901"/>
      <c r="DR68" s="1901"/>
      <c r="DS68" s="1901"/>
      <c r="DT68" s="1901"/>
      <c r="DU68" s="1901"/>
      <c r="DV68" s="1901"/>
      <c r="DW68" s="1901"/>
      <c r="DX68" s="1901"/>
      <c r="DY68" s="1901"/>
      <c r="DZ68" s="1901"/>
      <c r="EA68" s="1901"/>
      <c r="EB68" s="1901"/>
      <c r="EC68" s="1901"/>
      <c r="ED68" s="1901"/>
      <c r="EE68" s="1901"/>
      <c r="EF68" s="1901"/>
      <c r="EG68" s="1901"/>
      <c r="EH68" s="1901"/>
      <c r="EI68" s="1901"/>
      <c r="EJ68" s="1901"/>
      <c r="EK68" s="1901"/>
      <c r="EL68" s="1901"/>
      <c r="EM68" s="1901"/>
      <c r="EN68" s="1901"/>
      <c r="EO68" s="1901"/>
      <c r="EP68" s="1901"/>
      <c r="EQ68" s="1901"/>
      <c r="ER68" s="1901"/>
      <c r="ES68" s="1901"/>
      <c r="ET68" s="1901"/>
      <c r="EU68" s="1901"/>
      <c r="EV68" s="1901"/>
      <c r="EW68" s="1901"/>
      <c r="EX68" s="1901"/>
      <c r="EY68" s="1901"/>
      <c r="EZ68" s="1901"/>
      <c r="FA68" s="1901"/>
      <c r="FB68" s="1901"/>
      <c r="FC68" s="1901"/>
      <c r="FD68" s="1901"/>
      <c r="FE68" s="1901"/>
      <c r="FF68" s="1901"/>
      <c r="FG68" s="1901"/>
      <c r="FH68" s="1901"/>
      <c r="FI68" s="1901"/>
      <c r="FJ68" s="1901"/>
      <c r="FK68" s="1901"/>
      <c r="FL68" s="1901"/>
      <c r="FM68" s="1901"/>
      <c r="FN68" s="1901"/>
      <c r="FO68" s="1901"/>
      <c r="FP68" s="1901"/>
      <c r="FQ68" s="1901"/>
      <c r="FR68" s="1901"/>
      <c r="FS68" s="1901"/>
      <c r="FT68" s="1901"/>
      <c r="FU68" s="1901"/>
      <c r="FV68" s="1901"/>
      <c r="FW68" s="1901"/>
      <c r="FX68" s="1901"/>
      <c r="FY68" s="1901"/>
      <c r="FZ68" s="1901"/>
      <c r="GA68" s="1901"/>
      <c r="GB68" s="1901"/>
      <c r="GC68" s="1901"/>
      <c r="GD68" s="1901"/>
      <c r="GE68" s="1901"/>
      <c r="GF68" s="1901"/>
      <c r="GG68" s="1901"/>
      <c r="GH68" s="1901"/>
      <c r="GI68" s="1901"/>
      <c r="GJ68" s="1901"/>
      <c r="GK68" s="1901"/>
      <c r="GL68" s="1901"/>
      <c r="GM68" s="1901"/>
      <c r="GN68" s="1901"/>
      <c r="GO68" s="1901"/>
      <c r="GP68" s="1901"/>
      <c r="GQ68" s="1901"/>
      <c r="GR68" s="1901"/>
      <c r="GS68" s="1901"/>
      <c r="GT68" s="1901"/>
      <c r="GU68" s="1901"/>
      <c r="GV68" s="1901"/>
      <c r="GW68" s="1901"/>
      <c r="GX68" s="1901"/>
      <c r="GY68" s="1901"/>
      <c r="GZ68" s="1901"/>
      <c r="HA68" s="1901"/>
      <c r="HB68" s="1901"/>
      <c r="HC68" s="1901"/>
      <c r="HD68" s="1901"/>
      <c r="HE68" s="1901"/>
      <c r="HF68" s="1901"/>
      <c r="HG68" s="1901"/>
      <c r="HH68" s="1901"/>
      <c r="HI68" s="1901"/>
      <c r="HJ68" s="1901"/>
      <c r="HK68" s="1901"/>
      <c r="HL68" s="1901"/>
      <c r="HM68" s="1901"/>
      <c r="HN68" s="1901"/>
      <c r="HO68" s="1901"/>
      <c r="HP68" s="1901"/>
      <c r="HQ68" s="1901"/>
      <c r="HR68" s="1901"/>
      <c r="HS68" s="1901"/>
      <c r="HT68" s="1901"/>
      <c r="HU68" s="1901"/>
      <c r="HV68" s="1901"/>
    </row>
    <row r="69" spans="1:230" s="1988" customFormat="1" ht="19.5" customHeight="1">
      <c r="A69" s="1981"/>
      <c r="B69" s="1982" t="s">
        <v>1277</v>
      </c>
      <c r="C69" s="1983"/>
      <c r="D69" s="1984"/>
      <c r="E69" s="1983"/>
      <c r="F69" s="1964" t="s">
        <v>1278</v>
      </c>
      <c r="G69" s="1985"/>
      <c r="H69" s="1985"/>
      <c r="I69" s="1964"/>
      <c r="J69" s="1964"/>
      <c r="K69" s="1964"/>
      <c r="L69" s="1986"/>
      <c r="M69" s="1987"/>
      <c r="N69" s="1987"/>
      <c r="O69" s="1987"/>
      <c r="P69" s="1987"/>
      <c r="Q69" s="1987"/>
      <c r="R69" s="1987"/>
      <c r="S69" s="1987"/>
      <c r="T69" s="1987"/>
      <c r="U69" s="1987"/>
      <c r="V69" s="1987"/>
      <c r="W69" s="1987"/>
      <c r="X69" s="1987"/>
      <c r="Y69" s="1987"/>
      <c r="Z69" s="1987"/>
      <c r="AA69" s="1987"/>
      <c r="AB69" s="1987"/>
      <c r="AC69" s="1987"/>
      <c r="AD69" s="1987"/>
      <c r="AE69" s="1987"/>
      <c r="AF69" s="1987"/>
      <c r="AG69" s="1987"/>
      <c r="AH69" s="1987"/>
      <c r="AI69" s="1987"/>
      <c r="AJ69" s="1987"/>
      <c r="AK69" s="1987"/>
      <c r="AL69" s="1987"/>
      <c r="AM69" s="1987"/>
      <c r="AN69" s="1987"/>
      <c r="AO69" s="1987"/>
      <c r="AP69" s="1987"/>
      <c r="AQ69" s="1987"/>
      <c r="AR69" s="1987"/>
      <c r="AS69" s="1987"/>
      <c r="AT69" s="1987"/>
      <c r="AU69" s="1987"/>
      <c r="AV69" s="1987"/>
      <c r="AW69" s="1987"/>
      <c r="AX69" s="1987"/>
      <c r="AY69" s="1987"/>
      <c r="AZ69" s="1987"/>
      <c r="BA69" s="1987"/>
      <c r="BB69" s="1987"/>
      <c r="BC69" s="1987"/>
      <c r="BD69" s="1987"/>
      <c r="BE69" s="1987"/>
      <c r="BF69" s="1987"/>
      <c r="BG69" s="1987"/>
      <c r="BH69" s="1987"/>
      <c r="BI69" s="1987"/>
      <c r="BJ69" s="1987"/>
      <c r="BK69" s="1987"/>
      <c r="BL69" s="1987"/>
      <c r="BM69" s="1987"/>
      <c r="BN69" s="1987"/>
      <c r="BO69" s="1987"/>
      <c r="BP69" s="1987"/>
      <c r="BQ69" s="1987"/>
      <c r="BR69" s="1987"/>
      <c r="BS69" s="1987"/>
      <c r="BT69" s="1987"/>
      <c r="BU69" s="1987"/>
      <c r="BV69" s="1987"/>
      <c r="BW69" s="1987"/>
      <c r="BX69" s="1987"/>
      <c r="BY69" s="1987"/>
      <c r="BZ69" s="1987"/>
      <c r="CA69" s="1987"/>
      <c r="CB69" s="1987"/>
      <c r="CC69" s="1987"/>
      <c r="CD69" s="1987"/>
      <c r="CE69" s="1987"/>
      <c r="CF69" s="1987"/>
      <c r="CG69" s="1987"/>
      <c r="CH69" s="1987"/>
      <c r="CI69" s="1987"/>
      <c r="CJ69" s="1987"/>
      <c r="CK69" s="1987"/>
      <c r="CL69" s="1987"/>
      <c r="CM69" s="1987"/>
      <c r="CN69" s="1987"/>
      <c r="CO69" s="1987"/>
      <c r="CP69" s="1987"/>
      <c r="CQ69" s="1987"/>
      <c r="CR69" s="1987"/>
      <c r="CS69" s="1987"/>
      <c r="CT69" s="1987"/>
      <c r="CU69" s="1987"/>
      <c r="CV69" s="1987"/>
      <c r="CW69" s="1987"/>
      <c r="CX69" s="1987"/>
      <c r="CY69" s="1987"/>
      <c r="CZ69" s="1987"/>
      <c r="DA69" s="1987"/>
      <c r="DB69" s="1987"/>
      <c r="DC69" s="1987"/>
      <c r="DD69" s="1987"/>
      <c r="DE69" s="1987"/>
      <c r="DF69" s="1987"/>
      <c r="DG69" s="1987"/>
      <c r="DH69" s="1987"/>
      <c r="DI69" s="1987"/>
      <c r="DJ69" s="1987"/>
      <c r="DK69" s="1987"/>
      <c r="DL69" s="1987"/>
      <c r="DM69" s="1987"/>
      <c r="DN69" s="1987"/>
      <c r="DO69" s="1987"/>
      <c r="DP69" s="1987"/>
      <c r="DQ69" s="1987"/>
      <c r="DR69" s="1987"/>
      <c r="DS69" s="1987"/>
      <c r="DT69" s="1987"/>
      <c r="DU69" s="1987"/>
      <c r="DV69" s="1987"/>
      <c r="DW69" s="1987"/>
      <c r="DX69" s="1987"/>
      <c r="DY69" s="1987"/>
      <c r="DZ69" s="1987"/>
      <c r="EA69" s="1987"/>
      <c r="EB69" s="1987"/>
      <c r="EC69" s="1987"/>
      <c r="ED69" s="1987"/>
      <c r="EE69" s="1987"/>
      <c r="EF69" s="1987"/>
      <c r="EG69" s="1987"/>
      <c r="EH69" s="1987"/>
      <c r="EI69" s="1987"/>
      <c r="EJ69" s="1987"/>
      <c r="EK69" s="1987"/>
      <c r="EL69" s="1987"/>
      <c r="EM69" s="1987"/>
      <c r="EN69" s="1987"/>
      <c r="EO69" s="1987"/>
      <c r="EP69" s="1987"/>
      <c r="EQ69" s="1987"/>
      <c r="ER69" s="1987"/>
      <c r="ES69" s="1987"/>
      <c r="ET69" s="1987"/>
      <c r="EU69" s="1987"/>
      <c r="EV69" s="1987"/>
      <c r="EW69" s="1987"/>
      <c r="EX69" s="1987"/>
      <c r="EY69" s="1987"/>
      <c r="EZ69" s="1987"/>
      <c r="FA69" s="1987"/>
      <c r="FB69" s="1987"/>
      <c r="FC69" s="1987"/>
      <c r="FD69" s="1987"/>
      <c r="FE69" s="1987"/>
      <c r="FF69" s="1987"/>
      <c r="FG69" s="1987"/>
      <c r="FH69" s="1987"/>
      <c r="FI69" s="1987"/>
      <c r="FJ69" s="1987"/>
      <c r="FK69" s="1987"/>
      <c r="FL69" s="1987"/>
      <c r="FM69" s="1987"/>
      <c r="FN69" s="1987"/>
      <c r="FO69" s="1987"/>
      <c r="FP69" s="1987"/>
      <c r="FQ69" s="1987"/>
      <c r="FR69" s="1987"/>
      <c r="FS69" s="1987"/>
      <c r="FT69" s="1987"/>
      <c r="FU69" s="1987"/>
      <c r="FV69" s="1987"/>
      <c r="FW69" s="1987"/>
      <c r="FX69" s="1987"/>
      <c r="FY69" s="1987"/>
      <c r="FZ69" s="1987"/>
      <c r="GA69" s="1987"/>
      <c r="GB69" s="1987"/>
      <c r="GC69" s="1987"/>
      <c r="GD69" s="1987"/>
      <c r="GE69" s="1987"/>
      <c r="GF69" s="1987"/>
      <c r="GG69" s="1987"/>
      <c r="GH69" s="1987"/>
      <c r="GI69" s="1987"/>
      <c r="GJ69" s="1987"/>
      <c r="GK69" s="1987"/>
      <c r="GL69" s="1987"/>
      <c r="GM69" s="1987"/>
      <c r="GN69" s="1987"/>
      <c r="GO69" s="1987"/>
      <c r="GP69" s="1987"/>
      <c r="GQ69" s="1987"/>
      <c r="GR69" s="1987"/>
      <c r="GS69" s="1987"/>
      <c r="GT69" s="1987"/>
      <c r="GU69" s="1987"/>
      <c r="GV69" s="1987"/>
      <c r="GW69" s="1987"/>
      <c r="GX69" s="1987"/>
      <c r="GY69" s="1987"/>
      <c r="GZ69" s="1987"/>
      <c r="HA69" s="1987"/>
      <c r="HB69" s="1987"/>
      <c r="HC69" s="1987"/>
      <c r="HD69" s="1987"/>
      <c r="HE69" s="1987"/>
      <c r="HF69" s="1987"/>
      <c r="HG69" s="1987"/>
      <c r="HH69" s="1987"/>
      <c r="HI69" s="1987"/>
      <c r="HJ69" s="1987"/>
      <c r="HK69" s="1987"/>
      <c r="HL69" s="1987"/>
      <c r="HM69" s="1987"/>
      <c r="HN69" s="1987"/>
      <c r="HO69" s="1987"/>
      <c r="HP69" s="1987"/>
      <c r="HQ69" s="1987"/>
      <c r="HR69" s="1987"/>
      <c r="HS69" s="1987"/>
      <c r="HT69" s="1987"/>
      <c r="HU69" s="1987"/>
      <c r="HV69" s="1987"/>
    </row>
    <row r="70" spans="1:230" s="1902" customFormat="1" ht="13.5" customHeight="1">
      <c r="A70" s="1953"/>
      <c r="B70" s="1871" t="s">
        <v>1279</v>
      </c>
      <c r="C70" s="1955"/>
      <c r="D70" s="1872"/>
      <c r="E70" s="1872"/>
      <c r="F70" s="1872"/>
      <c r="G70" s="1853">
        <v>4166.7</v>
      </c>
      <c r="H70" s="1853">
        <v>4166.7</v>
      </c>
      <c r="I70" s="1853">
        <v>4166.7</v>
      </c>
      <c r="J70" s="1853">
        <v>4166.7</v>
      </c>
      <c r="K70" s="1977">
        <v>4166.7</v>
      </c>
      <c r="L70" s="1978">
        <v>4166.5</v>
      </c>
      <c r="M70" s="1901"/>
      <c r="N70" s="1901"/>
      <c r="O70" s="1901"/>
      <c r="P70" s="1901"/>
      <c r="Q70" s="1901"/>
      <c r="R70" s="1901"/>
      <c r="S70" s="1901"/>
      <c r="T70" s="1901"/>
      <c r="U70" s="1901"/>
      <c r="V70" s="1901"/>
      <c r="W70" s="1901"/>
      <c r="X70" s="1901"/>
      <c r="Y70" s="1901"/>
      <c r="Z70" s="1901"/>
      <c r="AA70" s="1901"/>
      <c r="AB70" s="1901"/>
      <c r="AC70" s="1901"/>
      <c r="AD70" s="1901"/>
      <c r="AE70" s="1901"/>
      <c r="AF70" s="1901"/>
      <c r="AG70" s="1901"/>
      <c r="AH70" s="1901"/>
      <c r="AI70" s="1901"/>
      <c r="AJ70" s="1901"/>
      <c r="AK70" s="1901"/>
      <c r="AL70" s="1901"/>
      <c r="AM70" s="1901"/>
      <c r="AN70" s="1901"/>
      <c r="AO70" s="1901"/>
      <c r="AP70" s="1901"/>
      <c r="AQ70" s="1901"/>
      <c r="AR70" s="1901"/>
      <c r="AS70" s="1901"/>
      <c r="AT70" s="1901"/>
      <c r="AU70" s="1901"/>
      <c r="AV70" s="1901"/>
      <c r="AW70" s="1901"/>
      <c r="AX70" s="1901"/>
      <c r="AY70" s="1901"/>
      <c r="AZ70" s="1901"/>
      <c r="BA70" s="1901"/>
      <c r="BB70" s="1901"/>
      <c r="BC70" s="1901"/>
      <c r="BD70" s="1901"/>
      <c r="BE70" s="1901"/>
      <c r="BF70" s="1901"/>
      <c r="BG70" s="1901"/>
      <c r="BH70" s="1901"/>
      <c r="BI70" s="1901"/>
      <c r="BJ70" s="1901"/>
      <c r="BK70" s="1901"/>
      <c r="BL70" s="1901"/>
      <c r="BM70" s="1901"/>
      <c r="BN70" s="1901"/>
      <c r="BO70" s="1901"/>
      <c r="BP70" s="1901"/>
      <c r="BQ70" s="1901"/>
      <c r="BR70" s="1901"/>
      <c r="BS70" s="1901"/>
      <c r="BT70" s="1901"/>
      <c r="BU70" s="1901"/>
      <c r="BV70" s="1901"/>
      <c r="BW70" s="1901"/>
      <c r="BX70" s="1901"/>
      <c r="BY70" s="1901"/>
      <c r="BZ70" s="1901"/>
      <c r="CA70" s="1901"/>
      <c r="CB70" s="1901"/>
      <c r="CC70" s="1901"/>
      <c r="CD70" s="1901"/>
      <c r="CE70" s="1901"/>
      <c r="CF70" s="1901"/>
      <c r="CG70" s="1901"/>
      <c r="CH70" s="1901"/>
      <c r="CI70" s="1901"/>
      <c r="CJ70" s="1901"/>
      <c r="CK70" s="1901"/>
      <c r="CL70" s="1901"/>
      <c r="CM70" s="1901"/>
      <c r="CN70" s="1901"/>
      <c r="CO70" s="1901"/>
      <c r="CP70" s="1901"/>
      <c r="CQ70" s="1901"/>
      <c r="CR70" s="1901"/>
      <c r="CS70" s="1901"/>
      <c r="CT70" s="1901"/>
      <c r="CU70" s="1901"/>
      <c r="CV70" s="1901"/>
      <c r="CW70" s="1901"/>
      <c r="CX70" s="1901"/>
      <c r="CY70" s="1901"/>
      <c r="CZ70" s="1901"/>
      <c r="DA70" s="1901"/>
      <c r="DB70" s="1901"/>
      <c r="DC70" s="1901"/>
      <c r="DD70" s="1901"/>
      <c r="DE70" s="1901"/>
      <c r="DF70" s="1901"/>
      <c r="DG70" s="1901"/>
      <c r="DH70" s="1901"/>
      <c r="DI70" s="1901"/>
      <c r="DJ70" s="1901"/>
      <c r="DK70" s="1901"/>
      <c r="DL70" s="1901"/>
      <c r="DM70" s="1901"/>
      <c r="DN70" s="1901"/>
      <c r="DO70" s="1901"/>
      <c r="DP70" s="1901"/>
      <c r="DQ70" s="1901"/>
      <c r="DR70" s="1901"/>
      <c r="DS70" s="1901"/>
      <c r="DT70" s="1901"/>
      <c r="DU70" s="1901"/>
      <c r="DV70" s="1901"/>
      <c r="DW70" s="1901"/>
      <c r="DX70" s="1901"/>
      <c r="DY70" s="1901"/>
      <c r="DZ70" s="1901"/>
      <c r="EA70" s="1901"/>
      <c r="EB70" s="1901"/>
      <c r="EC70" s="1901"/>
      <c r="ED70" s="1901"/>
      <c r="EE70" s="1901"/>
      <c r="EF70" s="1901"/>
      <c r="EG70" s="1901"/>
      <c r="EH70" s="1901"/>
      <c r="EI70" s="1901"/>
      <c r="EJ70" s="1901"/>
      <c r="EK70" s="1901"/>
      <c r="EL70" s="1901"/>
      <c r="EM70" s="1901"/>
      <c r="EN70" s="1901"/>
      <c r="EO70" s="1901"/>
      <c r="EP70" s="1901"/>
      <c r="EQ70" s="1901"/>
      <c r="ER70" s="1901"/>
      <c r="ES70" s="1901"/>
      <c r="ET70" s="1901"/>
      <c r="EU70" s="1901"/>
      <c r="EV70" s="1901"/>
      <c r="EW70" s="1901"/>
      <c r="EX70" s="1901"/>
      <c r="EY70" s="1901"/>
      <c r="EZ70" s="1901"/>
      <c r="FA70" s="1901"/>
      <c r="FB70" s="1901"/>
      <c r="FC70" s="1901"/>
      <c r="FD70" s="1901"/>
      <c r="FE70" s="1901"/>
      <c r="FF70" s="1901"/>
      <c r="FG70" s="1901"/>
      <c r="FH70" s="1901"/>
      <c r="FI70" s="1901"/>
      <c r="FJ70" s="1901"/>
      <c r="FK70" s="1901"/>
      <c r="FL70" s="1901"/>
      <c r="FM70" s="1901"/>
      <c r="FN70" s="1901"/>
      <c r="FO70" s="1901"/>
      <c r="FP70" s="1901"/>
      <c r="FQ70" s="1901"/>
      <c r="FR70" s="1901"/>
      <c r="FS70" s="1901"/>
      <c r="FT70" s="1901"/>
      <c r="FU70" s="1901"/>
      <c r="FV70" s="1901"/>
      <c r="FW70" s="1901"/>
      <c r="FX70" s="1901"/>
      <c r="FY70" s="1901"/>
      <c r="FZ70" s="1901"/>
      <c r="GA70" s="1901"/>
      <c r="GB70" s="1901"/>
      <c r="GC70" s="1901"/>
      <c r="GD70" s="1901"/>
      <c r="GE70" s="1901"/>
      <c r="GF70" s="1901"/>
      <c r="GG70" s="1901"/>
      <c r="GH70" s="1901"/>
      <c r="GI70" s="1901"/>
      <c r="GJ70" s="1901"/>
      <c r="GK70" s="1901"/>
      <c r="GL70" s="1901"/>
      <c r="GM70" s="1901"/>
      <c r="GN70" s="1901"/>
      <c r="GO70" s="1901"/>
      <c r="GP70" s="1901"/>
      <c r="GQ70" s="1901"/>
      <c r="GR70" s="1901"/>
      <c r="GS70" s="1901"/>
      <c r="GT70" s="1901"/>
      <c r="GU70" s="1901"/>
      <c r="GV70" s="1901"/>
      <c r="GW70" s="1901"/>
      <c r="GX70" s="1901"/>
      <c r="GY70" s="1901"/>
      <c r="GZ70" s="1901"/>
      <c r="HA70" s="1901"/>
      <c r="HB70" s="1901"/>
      <c r="HC70" s="1901"/>
      <c r="HD70" s="1901"/>
      <c r="HE70" s="1901"/>
      <c r="HF70" s="1901"/>
      <c r="HG70" s="1901"/>
      <c r="HH70" s="1901"/>
      <c r="HI70" s="1901"/>
      <c r="HJ70" s="1901"/>
      <c r="HK70" s="1901"/>
      <c r="HL70" s="1901"/>
      <c r="HM70" s="1901"/>
      <c r="HN70" s="1901"/>
      <c r="HO70" s="1901"/>
      <c r="HP70" s="1901"/>
      <c r="HQ70" s="1901"/>
      <c r="HR70" s="1901"/>
      <c r="HS70" s="1901"/>
      <c r="HT70" s="1901"/>
      <c r="HU70" s="1901"/>
      <c r="HV70" s="1901"/>
    </row>
    <row r="71" spans="1:230" s="1990" customFormat="1" ht="12.75" customHeight="1">
      <c r="A71" s="1953"/>
      <c r="B71" s="1954" t="s">
        <v>1254</v>
      </c>
      <c r="C71" s="1955"/>
      <c r="D71" s="1872"/>
      <c r="E71" s="1872"/>
      <c r="F71" s="1872">
        <v>1738.4</v>
      </c>
      <c r="G71" s="1872">
        <v>1684</v>
      </c>
      <c r="H71" s="1872">
        <v>1412.4</v>
      </c>
      <c r="I71" s="1872">
        <v>1122.7</v>
      </c>
      <c r="J71" s="1872">
        <v>833</v>
      </c>
      <c r="K71" s="1872">
        <v>543.2</v>
      </c>
      <c r="L71" s="1886">
        <v>253.5</v>
      </c>
      <c r="M71" s="1989"/>
      <c r="N71" s="1989"/>
      <c r="O71" s="1989"/>
      <c r="P71" s="1989"/>
      <c r="Q71" s="1989"/>
      <c r="R71" s="1989"/>
      <c r="S71" s="1989"/>
      <c r="T71" s="1989"/>
      <c r="U71" s="1989"/>
      <c r="V71" s="1989"/>
      <c r="W71" s="1989"/>
      <c r="X71" s="1989"/>
      <c r="Y71" s="1989"/>
      <c r="Z71" s="1989"/>
      <c r="AA71" s="1989"/>
      <c r="AB71" s="1989"/>
      <c r="AC71" s="1989"/>
      <c r="AD71" s="1989"/>
      <c r="AE71" s="1989"/>
      <c r="AF71" s="1989"/>
      <c r="AG71" s="1989"/>
      <c r="AH71" s="1989"/>
      <c r="AI71" s="1989"/>
      <c r="AJ71" s="1989"/>
      <c r="AK71" s="1989"/>
      <c r="AL71" s="1989"/>
      <c r="AM71" s="1989"/>
      <c r="AN71" s="1989"/>
      <c r="AO71" s="1989"/>
      <c r="AP71" s="1989"/>
      <c r="AQ71" s="1989"/>
      <c r="AR71" s="1989"/>
      <c r="AS71" s="1989"/>
      <c r="AT71" s="1989"/>
      <c r="AU71" s="1989"/>
      <c r="AV71" s="1989"/>
      <c r="AW71" s="1989"/>
      <c r="AX71" s="1989"/>
      <c r="AY71" s="1989"/>
      <c r="AZ71" s="1989"/>
      <c r="BA71" s="1989"/>
      <c r="BB71" s="1989"/>
      <c r="BC71" s="1989"/>
      <c r="BD71" s="1989"/>
      <c r="BE71" s="1989"/>
      <c r="BF71" s="1989"/>
      <c r="BG71" s="1989"/>
      <c r="BH71" s="1989"/>
      <c r="BI71" s="1989"/>
      <c r="BJ71" s="1989"/>
      <c r="BK71" s="1989"/>
      <c r="BL71" s="1989"/>
      <c r="BM71" s="1989"/>
      <c r="BN71" s="1989"/>
      <c r="BO71" s="1989"/>
      <c r="BP71" s="1989"/>
      <c r="BQ71" s="1989"/>
      <c r="BR71" s="1989"/>
      <c r="BS71" s="1989"/>
      <c r="BT71" s="1989"/>
      <c r="BU71" s="1989"/>
      <c r="BV71" s="1989"/>
      <c r="BW71" s="1989"/>
      <c r="BX71" s="1989"/>
      <c r="BY71" s="1989"/>
      <c r="BZ71" s="1989"/>
      <c r="CA71" s="1989"/>
      <c r="CB71" s="1989"/>
      <c r="CC71" s="1989"/>
      <c r="CD71" s="1989"/>
      <c r="CE71" s="1989"/>
      <c r="CF71" s="1989"/>
      <c r="CG71" s="1989"/>
      <c r="CH71" s="1989"/>
      <c r="CI71" s="1989"/>
      <c r="CJ71" s="1989"/>
      <c r="CK71" s="1989"/>
      <c r="CL71" s="1989"/>
      <c r="CM71" s="1989"/>
      <c r="CN71" s="1989"/>
      <c r="CO71" s="1989"/>
      <c r="CP71" s="1989"/>
      <c r="CQ71" s="1989"/>
      <c r="CR71" s="1989"/>
      <c r="CS71" s="1989"/>
      <c r="CT71" s="1989"/>
      <c r="CU71" s="1989"/>
      <c r="CV71" s="1989"/>
      <c r="CW71" s="1989"/>
      <c r="CX71" s="1989"/>
      <c r="CY71" s="1989"/>
      <c r="CZ71" s="1989"/>
      <c r="DA71" s="1989"/>
      <c r="DB71" s="1989"/>
      <c r="DC71" s="1989"/>
      <c r="DD71" s="1989"/>
      <c r="DE71" s="1989"/>
      <c r="DF71" s="1989"/>
      <c r="DG71" s="1989"/>
      <c r="DH71" s="1989"/>
      <c r="DI71" s="1989"/>
      <c r="DJ71" s="1989"/>
      <c r="DK71" s="1989"/>
      <c r="DL71" s="1989"/>
      <c r="DM71" s="1989"/>
      <c r="DN71" s="1989"/>
      <c r="DO71" s="1989"/>
      <c r="DP71" s="1989"/>
      <c r="DQ71" s="1989"/>
      <c r="DR71" s="1989"/>
      <c r="DS71" s="1989"/>
      <c r="DT71" s="1989"/>
      <c r="DU71" s="1989"/>
      <c r="DV71" s="1989"/>
      <c r="DW71" s="1989"/>
      <c r="DX71" s="1989"/>
      <c r="DY71" s="1989"/>
      <c r="DZ71" s="1989"/>
      <c r="EA71" s="1989"/>
      <c r="EB71" s="1989"/>
      <c r="EC71" s="1989"/>
      <c r="ED71" s="1989"/>
      <c r="EE71" s="1989"/>
      <c r="EF71" s="1989"/>
      <c r="EG71" s="1989"/>
      <c r="EH71" s="1989"/>
      <c r="EI71" s="1989"/>
      <c r="EJ71" s="1989"/>
      <c r="EK71" s="1989"/>
      <c r="EL71" s="1989"/>
      <c r="EM71" s="1989"/>
      <c r="EN71" s="1989"/>
      <c r="EO71" s="1989"/>
      <c r="EP71" s="1989"/>
      <c r="EQ71" s="1989"/>
      <c r="ER71" s="1989"/>
      <c r="ES71" s="1989"/>
      <c r="ET71" s="1989"/>
      <c r="EU71" s="1989"/>
      <c r="EV71" s="1989"/>
      <c r="EW71" s="1989"/>
      <c r="EX71" s="1989"/>
      <c r="EY71" s="1989"/>
      <c r="EZ71" s="1989"/>
      <c r="FA71" s="1989"/>
      <c r="FB71" s="1989"/>
      <c r="FC71" s="1989"/>
      <c r="FD71" s="1989"/>
      <c r="FE71" s="1989"/>
      <c r="FF71" s="1989"/>
      <c r="FG71" s="1989"/>
      <c r="FH71" s="1989"/>
      <c r="FI71" s="1989"/>
      <c r="FJ71" s="1989"/>
      <c r="FK71" s="1989"/>
      <c r="FL71" s="1989"/>
      <c r="FM71" s="1989"/>
      <c r="FN71" s="1989"/>
      <c r="FO71" s="1989"/>
      <c r="FP71" s="1989"/>
      <c r="FQ71" s="1989"/>
      <c r="FR71" s="1989"/>
      <c r="FS71" s="1989"/>
      <c r="FT71" s="1989"/>
      <c r="FU71" s="1989"/>
      <c r="FV71" s="1989"/>
      <c r="FW71" s="1989"/>
      <c r="FX71" s="1989"/>
      <c r="FY71" s="1989"/>
      <c r="FZ71" s="1989"/>
      <c r="GA71" s="1989"/>
      <c r="GB71" s="1989"/>
      <c r="GC71" s="1989"/>
      <c r="GD71" s="1989"/>
      <c r="GE71" s="1989"/>
      <c r="GF71" s="1989"/>
      <c r="GG71" s="1989"/>
      <c r="GH71" s="1989"/>
      <c r="GI71" s="1989"/>
      <c r="GJ71" s="1989"/>
      <c r="GK71" s="1989"/>
      <c r="GL71" s="1989"/>
      <c r="GM71" s="1989"/>
      <c r="GN71" s="1989"/>
      <c r="GO71" s="1989"/>
      <c r="GP71" s="1989"/>
      <c r="GQ71" s="1989"/>
      <c r="GR71" s="1989"/>
      <c r="GS71" s="1989"/>
      <c r="GT71" s="1989"/>
      <c r="GU71" s="1989"/>
      <c r="GV71" s="1989"/>
      <c r="GW71" s="1989"/>
      <c r="GX71" s="1989"/>
      <c r="GY71" s="1989"/>
      <c r="GZ71" s="1989"/>
      <c r="HA71" s="1989"/>
      <c r="HB71" s="1989"/>
      <c r="HC71" s="1989"/>
      <c r="HD71" s="1989"/>
      <c r="HE71" s="1989"/>
      <c r="HF71" s="1989"/>
      <c r="HG71" s="1989"/>
      <c r="HH71" s="1989"/>
      <c r="HI71" s="1989"/>
      <c r="HJ71" s="1989"/>
      <c r="HK71" s="1989"/>
      <c r="HL71" s="1989"/>
      <c r="HM71" s="1989"/>
      <c r="HN71" s="1989"/>
      <c r="HO71" s="1989"/>
      <c r="HP71" s="1989"/>
      <c r="HQ71" s="1989"/>
      <c r="HR71" s="1989"/>
      <c r="HS71" s="1989"/>
      <c r="HT71" s="1989"/>
      <c r="HU71" s="1989"/>
      <c r="HV71" s="1989"/>
    </row>
    <row r="72" spans="1:230" s="1990" customFormat="1" ht="12.75" customHeight="1">
      <c r="A72" s="1953"/>
      <c r="B72" s="1871" t="s">
        <v>1280</v>
      </c>
      <c r="C72" s="1955"/>
      <c r="D72" s="1872"/>
      <c r="E72" s="1872"/>
      <c r="F72" s="1872"/>
      <c r="G72" s="1853"/>
      <c r="H72" s="1853">
        <v>1250</v>
      </c>
      <c r="I72" s="1853">
        <v>1250</v>
      </c>
      <c r="J72" s="1853">
        <v>1250</v>
      </c>
      <c r="K72" s="1977">
        <v>1250</v>
      </c>
      <c r="L72" s="1978"/>
      <c r="M72" s="1989"/>
      <c r="N72" s="1989"/>
      <c r="O72" s="1989"/>
      <c r="P72" s="1989"/>
      <c r="Q72" s="1989"/>
      <c r="R72" s="1989"/>
      <c r="S72" s="1989"/>
      <c r="T72" s="1989"/>
      <c r="U72" s="1989"/>
      <c r="V72" s="1989"/>
      <c r="W72" s="1989"/>
      <c r="X72" s="1989"/>
      <c r="Y72" s="1989"/>
      <c r="Z72" s="1989"/>
      <c r="AA72" s="1989"/>
      <c r="AB72" s="1989"/>
      <c r="AC72" s="1989"/>
      <c r="AD72" s="1989"/>
      <c r="AE72" s="1989"/>
      <c r="AF72" s="1989"/>
      <c r="AG72" s="1989"/>
      <c r="AH72" s="1989"/>
      <c r="AI72" s="1989"/>
      <c r="AJ72" s="1989"/>
      <c r="AK72" s="1989"/>
      <c r="AL72" s="1989"/>
      <c r="AM72" s="1989"/>
      <c r="AN72" s="1989"/>
      <c r="AO72" s="1989"/>
      <c r="AP72" s="1989"/>
      <c r="AQ72" s="1989"/>
      <c r="AR72" s="1989"/>
      <c r="AS72" s="1989"/>
      <c r="AT72" s="1989"/>
      <c r="AU72" s="1989"/>
      <c r="AV72" s="1989"/>
      <c r="AW72" s="1989"/>
      <c r="AX72" s="1989"/>
      <c r="AY72" s="1989"/>
      <c r="AZ72" s="1989"/>
      <c r="BA72" s="1989"/>
      <c r="BB72" s="1989"/>
      <c r="BC72" s="1989"/>
      <c r="BD72" s="1989"/>
      <c r="BE72" s="1989"/>
      <c r="BF72" s="1989"/>
      <c r="BG72" s="1989"/>
      <c r="BH72" s="1989"/>
      <c r="BI72" s="1989"/>
      <c r="BJ72" s="1989"/>
      <c r="BK72" s="1989"/>
      <c r="BL72" s="1989"/>
      <c r="BM72" s="1989"/>
      <c r="BN72" s="1989"/>
      <c r="BO72" s="1989"/>
      <c r="BP72" s="1989"/>
      <c r="BQ72" s="1989"/>
      <c r="BR72" s="1989"/>
      <c r="BS72" s="1989"/>
      <c r="BT72" s="1989"/>
      <c r="BU72" s="1989"/>
      <c r="BV72" s="1989"/>
      <c r="BW72" s="1989"/>
      <c r="BX72" s="1989"/>
      <c r="BY72" s="1989"/>
      <c r="BZ72" s="1989"/>
      <c r="CA72" s="1989"/>
      <c r="CB72" s="1989"/>
      <c r="CC72" s="1989"/>
      <c r="CD72" s="1989"/>
      <c r="CE72" s="1989"/>
      <c r="CF72" s="1989"/>
      <c r="CG72" s="1989"/>
      <c r="CH72" s="1989"/>
      <c r="CI72" s="1989"/>
      <c r="CJ72" s="1989"/>
      <c r="CK72" s="1989"/>
      <c r="CL72" s="1989"/>
      <c r="CM72" s="1989"/>
      <c r="CN72" s="1989"/>
      <c r="CO72" s="1989"/>
      <c r="CP72" s="1989"/>
      <c r="CQ72" s="1989"/>
      <c r="CR72" s="1989"/>
      <c r="CS72" s="1989"/>
      <c r="CT72" s="1989"/>
      <c r="CU72" s="1989"/>
      <c r="CV72" s="1989"/>
      <c r="CW72" s="1989"/>
      <c r="CX72" s="1989"/>
      <c r="CY72" s="1989"/>
      <c r="CZ72" s="1989"/>
      <c r="DA72" s="1989"/>
      <c r="DB72" s="1989"/>
      <c r="DC72" s="1989"/>
      <c r="DD72" s="1989"/>
      <c r="DE72" s="1989"/>
      <c r="DF72" s="1989"/>
      <c r="DG72" s="1989"/>
      <c r="DH72" s="1989"/>
      <c r="DI72" s="1989"/>
      <c r="DJ72" s="1989"/>
      <c r="DK72" s="1989"/>
      <c r="DL72" s="1989"/>
      <c r="DM72" s="1989"/>
      <c r="DN72" s="1989"/>
      <c r="DO72" s="1989"/>
      <c r="DP72" s="1989"/>
      <c r="DQ72" s="1989"/>
      <c r="DR72" s="1989"/>
      <c r="DS72" s="1989"/>
      <c r="DT72" s="1989"/>
      <c r="DU72" s="1989"/>
      <c r="DV72" s="1989"/>
      <c r="DW72" s="1989"/>
      <c r="DX72" s="1989"/>
      <c r="DY72" s="1989"/>
      <c r="DZ72" s="1989"/>
      <c r="EA72" s="1989"/>
      <c r="EB72" s="1989"/>
      <c r="EC72" s="1989"/>
      <c r="ED72" s="1989"/>
      <c r="EE72" s="1989"/>
      <c r="EF72" s="1989"/>
      <c r="EG72" s="1989"/>
      <c r="EH72" s="1989"/>
      <c r="EI72" s="1989"/>
      <c r="EJ72" s="1989"/>
      <c r="EK72" s="1989"/>
      <c r="EL72" s="1989"/>
      <c r="EM72" s="1989"/>
      <c r="EN72" s="1989"/>
      <c r="EO72" s="1989"/>
      <c r="EP72" s="1989"/>
      <c r="EQ72" s="1989"/>
      <c r="ER72" s="1989"/>
      <c r="ES72" s="1989"/>
      <c r="ET72" s="1989"/>
      <c r="EU72" s="1989"/>
      <c r="EV72" s="1989"/>
      <c r="EW72" s="1989"/>
      <c r="EX72" s="1989"/>
      <c r="EY72" s="1989"/>
      <c r="EZ72" s="1989"/>
      <c r="FA72" s="1989"/>
      <c r="FB72" s="1989"/>
      <c r="FC72" s="1989"/>
      <c r="FD72" s="1989"/>
      <c r="FE72" s="1989"/>
      <c r="FF72" s="1989"/>
      <c r="FG72" s="1989"/>
      <c r="FH72" s="1989"/>
      <c r="FI72" s="1989"/>
      <c r="FJ72" s="1989"/>
      <c r="FK72" s="1989"/>
      <c r="FL72" s="1989"/>
      <c r="FM72" s="1989"/>
      <c r="FN72" s="1989"/>
      <c r="FO72" s="1989"/>
      <c r="FP72" s="1989"/>
      <c r="FQ72" s="1989"/>
      <c r="FR72" s="1989"/>
      <c r="FS72" s="1989"/>
      <c r="FT72" s="1989"/>
      <c r="FU72" s="1989"/>
      <c r="FV72" s="1989"/>
      <c r="FW72" s="1989"/>
      <c r="FX72" s="1989"/>
      <c r="FY72" s="1989"/>
      <c r="FZ72" s="1989"/>
      <c r="GA72" s="1989"/>
      <c r="GB72" s="1989"/>
      <c r="GC72" s="1989"/>
      <c r="GD72" s="1989"/>
      <c r="GE72" s="1989"/>
      <c r="GF72" s="1989"/>
      <c r="GG72" s="1989"/>
      <c r="GH72" s="1989"/>
      <c r="GI72" s="1989"/>
      <c r="GJ72" s="1989"/>
      <c r="GK72" s="1989"/>
      <c r="GL72" s="1989"/>
      <c r="GM72" s="1989"/>
      <c r="GN72" s="1989"/>
      <c r="GO72" s="1989"/>
      <c r="GP72" s="1989"/>
      <c r="GQ72" s="1989"/>
      <c r="GR72" s="1989"/>
      <c r="GS72" s="1989"/>
      <c r="GT72" s="1989"/>
      <c r="GU72" s="1989"/>
      <c r="GV72" s="1989"/>
      <c r="GW72" s="1989"/>
      <c r="GX72" s="1989"/>
      <c r="GY72" s="1989"/>
      <c r="GZ72" s="1989"/>
      <c r="HA72" s="1989"/>
      <c r="HB72" s="1989"/>
      <c r="HC72" s="1989"/>
      <c r="HD72" s="1989"/>
      <c r="HE72" s="1989"/>
      <c r="HF72" s="1989"/>
      <c r="HG72" s="1989"/>
      <c r="HH72" s="1989"/>
      <c r="HI72" s="1989"/>
      <c r="HJ72" s="1989"/>
      <c r="HK72" s="1989"/>
      <c r="HL72" s="1989"/>
      <c r="HM72" s="1989"/>
      <c r="HN72" s="1989"/>
      <c r="HO72" s="1989"/>
      <c r="HP72" s="1989"/>
      <c r="HQ72" s="1989"/>
      <c r="HR72" s="1989"/>
      <c r="HS72" s="1989"/>
      <c r="HT72" s="1989"/>
      <c r="HU72" s="1989"/>
      <c r="HV72" s="1989"/>
    </row>
    <row r="73" spans="1:230" s="1990" customFormat="1" ht="12" customHeight="1">
      <c r="A73" s="1953"/>
      <c r="B73" s="1954" t="s">
        <v>1254</v>
      </c>
      <c r="C73" s="1955"/>
      <c r="D73" s="1872"/>
      <c r="E73" s="1872"/>
      <c r="F73" s="1872"/>
      <c r="G73" s="1872">
        <v>347.7</v>
      </c>
      <c r="H73" s="1872">
        <v>331.4</v>
      </c>
      <c r="I73" s="1872">
        <v>249.9</v>
      </c>
      <c r="J73" s="1872">
        <v>163</v>
      </c>
      <c r="K73" s="1885">
        <v>76.1</v>
      </c>
      <c r="L73" s="1886"/>
      <c r="M73" s="1989"/>
      <c r="N73" s="1989"/>
      <c r="O73" s="1989"/>
      <c r="P73" s="1989"/>
      <c r="Q73" s="1989"/>
      <c r="R73" s="1989"/>
      <c r="S73" s="1989"/>
      <c r="T73" s="1989"/>
      <c r="U73" s="1989"/>
      <c r="V73" s="1989"/>
      <c r="W73" s="1989"/>
      <c r="X73" s="1989"/>
      <c r="Y73" s="1989"/>
      <c r="Z73" s="1989"/>
      <c r="AA73" s="1989"/>
      <c r="AB73" s="1989"/>
      <c r="AC73" s="1989"/>
      <c r="AD73" s="1989"/>
      <c r="AE73" s="1989"/>
      <c r="AF73" s="1989"/>
      <c r="AG73" s="1989"/>
      <c r="AH73" s="1989"/>
      <c r="AI73" s="1989"/>
      <c r="AJ73" s="1989"/>
      <c r="AK73" s="1989"/>
      <c r="AL73" s="1989"/>
      <c r="AM73" s="1989"/>
      <c r="AN73" s="1989"/>
      <c r="AO73" s="1989"/>
      <c r="AP73" s="1989"/>
      <c r="AQ73" s="1989"/>
      <c r="AR73" s="1989"/>
      <c r="AS73" s="1989"/>
      <c r="AT73" s="1989"/>
      <c r="AU73" s="1989"/>
      <c r="AV73" s="1989"/>
      <c r="AW73" s="1989"/>
      <c r="AX73" s="1989"/>
      <c r="AY73" s="1989"/>
      <c r="AZ73" s="1989"/>
      <c r="BA73" s="1989"/>
      <c r="BB73" s="1989"/>
      <c r="BC73" s="1989"/>
      <c r="BD73" s="1989"/>
      <c r="BE73" s="1989"/>
      <c r="BF73" s="1989"/>
      <c r="BG73" s="1989"/>
      <c r="BH73" s="1989"/>
      <c r="BI73" s="1989"/>
      <c r="BJ73" s="1989"/>
      <c r="BK73" s="1989"/>
      <c r="BL73" s="1989"/>
      <c r="BM73" s="1989"/>
      <c r="BN73" s="1989"/>
      <c r="BO73" s="1989"/>
      <c r="BP73" s="1989"/>
      <c r="BQ73" s="1989"/>
      <c r="BR73" s="1989"/>
      <c r="BS73" s="1989"/>
      <c r="BT73" s="1989"/>
      <c r="BU73" s="1989"/>
      <c r="BV73" s="1989"/>
      <c r="BW73" s="1989"/>
      <c r="BX73" s="1989"/>
      <c r="BY73" s="1989"/>
      <c r="BZ73" s="1989"/>
      <c r="CA73" s="1989"/>
      <c r="CB73" s="1989"/>
      <c r="CC73" s="1989"/>
      <c r="CD73" s="1989"/>
      <c r="CE73" s="1989"/>
      <c r="CF73" s="1989"/>
      <c r="CG73" s="1989"/>
      <c r="CH73" s="1989"/>
      <c r="CI73" s="1989"/>
      <c r="CJ73" s="1989"/>
      <c r="CK73" s="1989"/>
      <c r="CL73" s="1989"/>
      <c r="CM73" s="1989"/>
      <c r="CN73" s="1989"/>
      <c r="CO73" s="1989"/>
      <c r="CP73" s="1989"/>
      <c r="CQ73" s="1989"/>
      <c r="CR73" s="1989"/>
      <c r="CS73" s="1989"/>
      <c r="CT73" s="1989"/>
      <c r="CU73" s="1989"/>
      <c r="CV73" s="1989"/>
      <c r="CW73" s="1989"/>
      <c r="CX73" s="1989"/>
      <c r="CY73" s="1989"/>
      <c r="CZ73" s="1989"/>
      <c r="DA73" s="1989"/>
      <c r="DB73" s="1989"/>
      <c r="DC73" s="1989"/>
      <c r="DD73" s="1989"/>
      <c r="DE73" s="1989"/>
      <c r="DF73" s="1989"/>
      <c r="DG73" s="1989"/>
      <c r="DH73" s="1989"/>
      <c r="DI73" s="1989"/>
      <c r="DJ73" s="1989"/>
      <c r="DK73" s="1989"/>
      <c r="DL73" s="1989"/>
      <c r="DM73" s="1989"/>
      <c r="DN73" s="1989"/>
      <c r="DO73" s="1989"/>
      <c r="DP73" s="1989"/>
      <c r="DQ73" s="1989"/>
      <c r="DR73" s="1989"/>
      <c r="DS73" s="1989"/>
      <c r="DT73" s="1989"/>
      <c r="DU73" s="1989"/>
      <c r="DV73" s="1989"/>
      <c r="DW73" s="1989"/>
      <c r="DX73" s="1989"/>
      <c r="DY73" s="1989"/>
      <c r="DZ73" s="1989"/>
      <c r="EA73" s="1989"/>
      <c r="EB73" s="1989"/>
      <c r="EC73" s="1989"/>
      <c r="ED73" s="1989"/>
      <c r="EE73" s="1989"/>
      <c r="EF73" s="1989"/>
      <c r="EG73" s="1989"/>
      <c r="EH73" s="1989"/>
      <c r="EI73" s="1989"/>
      <c r="EJ73" s="1989"/>
      <c r="EK73" s="1989"/>
      <c r="EL73" s="1989"/>
      <c r="EM73" s="1989"/>
      <c r="EN73" s="1989"/>
      <c r="EO73" s="1989"/>
      <c r="EP73" s="1989"/>
      <c r="EQ73" s="1989"/>
      <c r="ER73" s="1989"/>
      <c r="ES73" s="1989"/>
      <c r="ET73" s="1989"/>
      <c r="EU73" s="1989"/>
      <c r="EV73" s="1989"/>
      <c r="EW73" s="1989"/>
      <c r="EX73" s="1989"/>
      <c r="EY73" s="1989"/>
      <c r="EZ73" s="1989"/>
      <c r="FA73" s="1989"/>
      <c r="FB73" s="1989"/>
      <c r="FC73" s="1989"/>
      <c r="FD73" s="1989"/>
      <c r="FE73" s="1989"/>
      <c r="FF73" s="1989"/>
      <c r="FG73" s="1989"/>
      <c r="FH73" s="1989"/>
      <c r="FI73" s="1989"/>
      <c r="FJ73" s="1989"/>
      <c r="FK73" s="1989"/>
      <c r="FL73" s="1989"/>
      <c r="FM73" s="1989"/>
      <c r="FN73" s="1989"/>
      <c r="FO73" s="1989"/>
      <c r="FP73" s="1989"/>
      <c r="FQ73" s="1989"/>
      <c r="FR73" s="1989"/>
      <c r="FS73" s="1989"/>
      <c r="FT73" s="1989"/>
      <c r="FU73" s="1989"/>
      <c r="FV73" s="1989"/>
      <c r="FW73" s="1989"/>
      <c r="FX73" s="1989"/>
      <c r="FY73" s="1989"/>
      <c r="FZ73" s="1989"/>
      <c r="GA73" s="1989"/>
      <c r="GB73" s="1989"/>
      <c r="GC73" s="1989"/>
      <c r="GD73" s="1989"/>
      <c r="GE73" s="1989"/>
      <c r="GF73" s="1989"/>
      <c r="GG73" s="1989"/>
      <c r="GH73" s="1989"/>
      <c r="GI73" s="1989"/>
      <c r="GJ73" s="1989"/>
      <c r="GK73" s="1989"/>
      <c r="GL73" s="1989"/>
      <c r="GM73" s="1989"/>
      <c r="GN73" s="1989"/>
      <c r="GO73" s="1989"/>
      <c r="GP73" s="1989"/>
      <c r="GQ73" s="1989"/>
      <c r="GR73" s="1989"/>
      <c r="GS73" s="1989"/>
      <c r="GT73" s="1989"/>
      <c r="GU73" s="1989"/>
      <c r="GV73" s="1989"/>
      <c r="GW73" s="1989"/>
      <c r="GX73" s="1989"/>
      <c r="GY73" s="1989"/>
      <c r="GZ73" s="1989"/>
      <c r="HA73" s="1989"/>
      <c r="HB73" s="1989"/>
      <c r="HC73" s="1989"/>
      <c r="HD73" s="1989"/>
      <c r="HE73" s="1989"/>
      <c r="HF73" s="1989"/>
      <c r="HG73" s="1989"/>
      <c r="HH73" s="1989"/>
      <c r="HI73" s="1989"/>
      <c r="HJ73" s="1989"/>
      <c r="HK73" s="1989"/>
      <c r="HL73" s="1989"/>
      <c r="HM73" s="1989"/>
      <c r="HN73" s="1989"/>
      <c r="HO73" s="1989"/>
      <c r="HP73" s="1989"/>
      <c r="HQ73" s="1989"/>
      <c r="HR73" s="1989"/>
      <c r="HS73" s="1989"/>
      <c r="HT73" s="1989"/>
      <c r="HU73" s="1989"/>
      <c r="HV73" s="1989"/>
    </row>
    <row r="74" spans="1:230" s="1990" customFormat="1" ht="13.5" customHeight="1">
      <c r="A74" s="1953"/>
      <c r="B74" s="1871" t="s">
        <v>1280</v>
      </c>
      <c r="C74" s="1955"/>
      <c r="D74" s="1872"/>
      <c r="E74" s="1872"/>
      <c r="F74" s="1872"/>
      <c r="G74" s="1872"/>
      <c r="H74" s="1872"/>
      <c r="I74" s="1853">
        <v>1666.7</v>
      </c>
      <c r="J74" s="1853">
        <v>1666.7</v>
      </c>
      <c r="K74" s="1977">
        <v>1666.6</v>
      </c>
      <c r="L74" s="1978"/>
      <c r="M74" s="1989"/>
      <c r="N74" s="1989"/>
      <c r="O74" s="1989"/>
      <c r="P74" s="1989"/>
      <c r="Q74" s="1989"/>
      <c r="R74" s="1989"/>
      <c r="S74" s="1989"/>
      <c r="T74" s="1989"/>
      <c r="U74" s="1989"/>
      <c r="V74" s="1989"/>
      <c r="W74" s="1989"/>
      <c r="X74" s="1989"/>
      <c r="Y74" s="1989"/>
      <c r="Z74" s="1989"/>
      <c r="AA74" s="1989"/>
      <c r="AB74" s="1989"/>
      <c r="AC74" s="1989"/>
      <c r="AD74" s="1989"/>
      <c r="AE74" s="1989"/>
      <c r="AF74" s="1989"/>
      <c r="AG74" s="1989"/>
      <c r="AH74" s="1989"/>
      <c r="AI74" s="1989"/>
      <c r="AJ74" s="1989"/>
      <c r="AK74" s="1989"/>
      <c r="AL74" s="1989"/>
      <c r="AM74" s="1989"/>
      <c r="AN74" s="1989"/>
      <c r="AO74" s="1989"/>
      <c r="AP74" s="1989"/>
      <c r="AQ74" s="1989"/>
      <c r="AR74" s="1989"/>
      <c r="AS74" s="1989"/>
      <c r="AT74" s="1989"/>
      <c r="AU74" s="1989"/>
      <c r="AV74" s="1989"/>
      <c r="AW74" s="1989"/>
      <c r="AX74" s="1989"/>
      <c r="AY74" s="1989"/>
      <c r="AZ74" s="1989"/>
      <c r="BA74" s="1989"/>
      <c r="BB74" s="1989"/>
      <c r="BC74" s="1989"/>
      <c r="BD74" s="1989"/>
      <c r="BE74" s="1989"/>
      <c r="BF74" s="1989"/>
      <c r="BG74" s="1989"/>
      <c r="BH74" s="1989"/>
      <c r="BI74" s="1989"/>
      <c r="BJ74" s="1989"/>
      <c r="BK74" s="1989"/>
      <c r="BL74" s="1989"/>
      <c r="BM74" s="1989"/>
      <c r="BN74" s="1989"/>
      <c r="BO74" s="1989"/>
      <c r="BP74" s="1989"/>
      <c r="BQ74" s="1989"/>
      <c r="BR74" s="1989"/>
      <c r="BS74" s="1989"/>
      <c r="BT74" s="1989"/>
      <c r="BU74" s="1989"/>
      <c r="BV74" s="1989"/>
      <c r="BW74" s="1989"/>
      <c r="BX74" s="1989"/>
      <c r="BY74" s="1989"/>
      <c r="BZ74" s="1989"/>
      <c r="CA74" s="1989"/>
      <c r="CB74" s="1989"/>
      <c r="CC74" s="1989"/>
      <c r="CD74" s="1989"/>
      <c r="CE74" s="1989"/>
      <c r="CF74" s="1989"/>
      <c r="CG74" s="1989"/>
      <c r="CH74" s="1989"/>
      <c r="CI74" s="1989"/>
      <c r="CJ74" s="1989"/>
      <c r="CK74" s="1989"/>
      <c r="CL74" s="1989"/>
      <c r="CM74" s="1989"/>
      <c r="CN74" s="1989"/>
      <c r="CO74" s="1989"/>
      <c r="CP74" s="1989"/>
      <c r="CQ74" s="1989"/>
      <c r="CR74" s="1989"/>
      <c r="CS74" s="1989"/>
      <c r="CT74" s="1989"/>
      <c r="CU74" s="1989"/>
      <c r="CV74" s="1989"/>
      <c r="CW74" s="1989"/>
      <c r="CX74" s="1989"/>
      <c r="CY74" s="1989"/>
      <c r="CZ74" s="1989"/>
      <c r="DA74" s="1989"/>
      <c r="DB74" s="1989"/>
      <c r="DC74" s="1989"/>
      <c r="DD74" s="1989"/>
      <c r="DE74" s="1989"/>
      <c r="DF74" s="1989"/>
      <c r="DG74" s="1989"/>
      <c r="DH74" s="1989"/>
      <c r="DI74" s="1989"/>
      <c r="DJ74" s="1989"/>
      <c r="DK74" s="1989"/>
      <c r="DL74" s="1989"/>
      <c r="DM74" s="1989"/>
      <c r="DN74" s="1989"/>
      <c r="DO74" s="1989"/>
      <c r="DP74" s="1989"/>
      <c r="DQ74" s="1989"/>
      <c r="DR74" s="1989"/>
      <c r="DS74" s="1989"/>
      <c r="DT74" s="1989"/>
      <c r="DU74" s="1989"/>
      <c r="DV74" s="1989"/>
      <c r="DW74" s="1989"/>
      <c r="DX74" s="1989"/>
      <c r="DY74" s="1989"/>
      <c r="DZ74" s="1989"/>
      <c r="EA74" s="1989"/>
      <c r="EB74" s="1989"/>
      <c r="EC74" s="1989"/>
      <c r="ED74" s="1989"/>
      <c r="EE74" s="1989"/>
      <c r="EF74" s="1989"/>
      <c r="EG74" s="1989"/>
      <c r="EH74" s="1989"/>
      <c r="EI74" s="1989"/>
      <c r="EJ74" s="1989"/>
      <c r="EK74" s="1989"/>
      <c r="EL74" s="1989"/>
      <c r="EM74" s="1989"/>
      <c r="EN74" s="1989"/>
      <c r="EO74" s="1989"/>
      <c r="EP74" s="1989"/>
      <c r="EQ74" s="1989"/>
      <c r="ER74" s="1989"/>
      <c r="ES74" s="1989"/>
      <c r="ET74" s="1989"/>
      <c r="EU74" s="1989"/>
      <c r="EV74" s="1989"/>
      <c r="EW74" s="1989"/>
      <c r="EX74" s="1989"/>
      <c r="EY74" s="1989"/>
      <c r="EZ74" s="1989"/>
      <c r="FA74" s="1989"/>
      <c r="FB74" s="1989"/>
      <c r="FC74" s="1989"/>
      <c r="FD74" s="1989"/>
      <c r="FE74" s="1989"/>
      <c r="FF74" s="1989"/>
      <c r="FG74" s="1989"/>
      <c r="FH74" s="1989"/>
      <c r="FI74" s="1989"/>
      <c r="FJ74" s="1989"/>
      <c r="FK74" s="1989"/>
      <c r="FL74" s="1989"/>
      <c r="FM74" s="1989"/>
      <c r="FN74" s="1989"/>
      <c r="FO74" s="1989"/>
      <c r="FP74" s="1989"/>
      <c r="FQ74" s="1989"/>
      <c r="FR74" s="1989"/>
      <c r="FS74" s="1989"/>
      <c r="FT74" s="1989"/>
      <c r="FU74" s="1989"/>
      <c r="FV74" s="1989"/>
      <c r="FW74" s="1989"/>
      <c r="FX74" s="1989"/>
      <c r="FY74" s="1989"/>
      <c r="FZ74" s="1989"/>
      <c r="GA74" s="1989"/>
      <c r="GB74" s="1989"/>
      <c r="GC74" s="1989"/>
      <c r="GD74" s="1989"/>
      <c r="GE74" s="1989"/>
      <c r="GF74" s="1989"/>
      <c r="GG74" s="1989"/>
      <c r="GH74" s="1989"/>
      <c r="GI74" s="1989"/>
      <c r="GJ74" s="1989"/>
      <c r="GK74" s="1989"/>
      <c r="GL74" s="1989"/>
      <c r="GM74" s="1989"/>
      <c r="GN74" s="1989"/>
      <c r="GO74" s="1989"/>
      <c r="GP74" s="1989"/>
      <c r="GQ74" s="1989"/>
      <c r="GR74" s="1989"/>
      <c r="GS74" s="1989"/>
      <c r="GT74" s="1989"/>
      <c r="GU74" s="1989"/>
      <c r="GV74" s="1989"/>
      <c r="GW74" s="1989"/>
      <c r="GX74" s="1989"/>
      <c r="GY74" s="1989"/>
      <c r="GZ74" s="1989"/>
      <c r="HA74" s="1989"/>
      <c r="HB74" s="1989"/>
      <c r="HC74" s="1989"/>
      <c r="HD74" s="1989"/>
      <c r="HE74" s="1989"/>
      <c r="HF74" s="1989"/>
      <c r="HG74" s="1989"/>
      <c r="HH74" s="1989"/>
      <c r="HI74" s="1989"/>
      <c r="HJ74" s="1989"/>
      <c r="HK74" s="1989"/>
      <c r="HL74" s="1989"/>
      <c r="HM74" s="1989"/>
      <c r="HN74" s="1989"/>
      <c r="HO74" s="1989"/>
      <c r="HP74" s="1989"/>
      <c r="HQ74" s="1989"/>
      <c r="HR74" s="1989"/>
      <c r="HS74" s="1989"/>
      <c r="HT74" s="1989"/>
      <c r="HU74" s="1989"/>
      <c r="HV74" s="1989"/>
    </row>
    <row r="75" spans="1:230" s="1990" customFormat="1" ht="12.75" customHeight="1">
      <c r="A75" s="1930"/>
      <c r="B75" s="1939" t="s">
        <v>1254</v>
      </c>
      <c r="C75" s="1932"/>
      <c r="D75" s="1862"/>
      <c r="E75" s="1862"/>
      <c r="F75" s="1862"/>
      <c r="G75" s="1862"/>
      <c r="H75" s="1862">
        <v>347.7</v>
      </c>
      <c r="I75" s="1862">
        <v>325.9</v>
      </c>
      <c r="J75" s="1862">
        <v>217.3</v>
      </c>
      <c r="K75" s="1991">
        <v>101.4</v>
      </c>
      <c r="L75" s="1967"/>
      <c r="M75" s="1989"/>
      <c r="N75" s="1989"/>
      <c r="O75" s="1989"/>
      <c r="P75" s="1989"/>
      <c r="Q75" s="1989"/>
      <c r="R75" s="1989"/>
      <c r="S75" s="1989"/>
      <c r="T75" s="1989"/>
      <c r="U75" s="1989"/>
      <c r="V75" s="1989"/>
      <c r="W75" s="1989"/>
      <c r="X75" s="1989"/>
      <c r="Y75" s="1989"/>
      <c r="Z75" s="1989"/>
      <c r="AA75" s="1989"/>
      <c r="AB75" s="1989"/>
      <c r="AC75" s="1989"/>
      <c r="AD75" s="1989"/>
      <c r="AE75" s="1989"/>
      <c r="AF75" s="1989"/>
      <c r="AG75" s="1989"/>
      <c r="AH75" s="1989"/>
      <c r="AI75" s="1989"/>
      <c r="AJ75" s="1989"/>
      <c r="AK75" s="1989"/>
      <c r="AL75" s="1989"/>
      <c r="AM75" s="1989"/>
      <c r="AN75" s="1989"/>
      <c r="AO75" s="1989"/>
      <c r="AP75" s="1989"/>
      <c r="AQ75" s="1989"/>
      <c r="AR75" s="1989"/>
      <c r="AS75" s="1989"/>
      <c r="AT75" s="1989"/>
      <c r="AU75" s="1989"/>
      <c r="AV75" s="1989"/>
      <c r="AW75" s="1989"/>
      <c r="AX75" s="1989"/>
      <c r="AY75" s="1989"/>
      <c r="AZ75" s="1989"/>
      <c r="BA75" s="1989"/>
      <c r="BB75" s="1989"/>
      <c r="BC75" s="1989"/>
      <c r="BD75" s="1989"/>
      <c r="BE75" s="1989"/>
      <c r="BF75" s="1989"/>
      <c r="BG75" s="1989"/>
      <c r="BH75" s="1989"/>
      <c r="BI75" s="1989"/>
      <c r="BJ75" s="1989"/>
      <c r="BK75" s="1989"/>
      <c r="BL75" s="1989"/>
      <c r="BM75" s="1989"/>
      <c r="BN75" s="1989"/>
      <c r="BO75" s="1989"/>
      <c r="BP75" s="1989"/>
      <c r="BQ75" s="1989"/>
      <c r="BR75" s="1989"/>
      <c r="BS75" s="1989"/>
      <c r="BT75" s="1989"/>
      <c r="BU75" s="1989"/>
      <c r="BV75" s="1989"/>
      <c r="BW75" s="1989"/>
      <c r="BX75" s="1989"/>
      <c r="BY75" s="1989"/>
      <c r="BZ75" s="1989"/>
      <c r="CA75" s="1989"/>
      <c r="CB75" s="1989"/>
      <c r="CC75" s="1989"/>
      <c r="CD75" s="1989"/>
      <c r="CE75" s="1989"/>
      <c r="CF75" s="1989"/>
      <c r="CG75" s="1989"/>
      <c r="CH75" s="1989"/>
      <c r="CI75" s="1989"/>
      <c r="CJ75" s="1989"/>
      <c r="CK75" s="1989"/>
      <c r="CL75" s="1989"/>
      <c r="CM75" s="1989"/>
      <c r="CN75" s="1989"/>
      <c r="CO75" s="1989"/>
      <c r="CP75" s="1989"/>
      <c r="CQ75" s="1989"/>
      <c r="CR75" s="1989"/>
      <c r="CS75" s="1989"/>
      <c r="CT75" s="1989"/>
      <c r="CU75" s="1989"/>
      <c r="CV75" s="1989"/>
      <c r="CW75" s="1989"/>
      <c r="CX75" s="1989"/>
      <c r="CY75" s="1989"/>
      <c r="CZ75" s="1989"/>
      <c r="DA75" s="1989"/>
      <c r="DB75" s="1989"/>
      <c r="DC75" s="1989"/>
      <c r="DD75" s="1989"/>
      <c r="DE75" s="1989"/>
      <c r="DF75" s="1989"/>
      <c r="DG75" s="1989"/>
      <c r="DH75" s="1989"/>
      <c r="DI75" s="1989"/>
      <c r="DJ75" s="1989"/>
      <c r="DK75" s="1989"/>
      <c r="DL75" s="1989"/>
      <c r="DM75" s="1989"/>
      <c r="DN75" s="1989"/>
      <c r="DO75" s="1989"/>
      <c r="DP75" s="1989"/>
      <c r="DQ75" s="1989"/>
      <c r="DR75" s="1989"/>
      <c r="DS75" s="1989"/>
      <c r="DT75" s="1989"/>
      <c r="DU75" s="1989"/>
      <c r="DV75" s="1989"/>
      <c r="DW75" s="1989"/>
      <c r="DX75" s="1989"/>
      <c r="DY75" s="1989"/>
      <c r="DZ75" s="1989"/>
      <c r="EA75" s="1989"/>
      <c r="EB75" s="1989"/>
      <c r="EC75" s="1989"/>
      <c r="ED75" s="1989"/>
      <c r="EE75" s="1989"/>
      <c r="EF75" s="1989"/>
      <c r="EG75" s="1989"/>
      <c r="EH75" s="1989"/>
      <c r="EI75" s="1989"/>
      <c r="EJ75" s="1989"/>
      <c r="EK75" s="1989"/>
      <c r="EL75" s="1989"/>
      <c r="EM75" s="1989"/>
      <c r="EN75" s="1989"/>
      <c r="EO75" s="1989"/>
      <c r="EP75" s="1989"/>
      <c r="EQ75" s="1989"/>
      <c r="ER75" s="1989"/>
      <c r="ES75" s="1989"/>
      <c r="ET75" s="1989"/>
      <c r="EU75" s="1989"/>
      <c r="EV75" s="1989"/>
      <c r="EW75" s="1989"/>
      <c r="EX75" s="1989"/>
      <c r="EY75" s="1989"/>
      <c r="EZ75" s="1989"/>
      <c r="FA75" s="1989"/>
      <c r="FB75" s="1989"/>
      <c r="FC75" s="1989"/>
      <c r="FD75" s="1989"/>
      <c r="FE75" s="1989"/>
      <c r="FF75" s="1989"/>
      <c r="FG75" s="1989"/>
      <c r="FH75" s="1989"/>
      <c r="FI75" s="1989"/>
      <c r="FJ75" s="1989"/>
      <c r="FK75" s="1989"/>
      <c r="FL75" s="1989"/>
      <c r="FM75" s="1989"/>
      <c r="FN75" s="1989"/>
      <c r="FO75" s="1989"/>
      <c r="FP75" s="1989"/>
      <c r="FQ75" s="1989"/>
      <c r="FR75" s="1989"/>
      <c r="FS75" s="1989"/>
      <c r="FT75" s="1989"/>
      <c r="FU75" s="1989"/>
      <c r="FV75" s="1989"/>
      <c r="FW75" s="1989"/>
      <c r="FX75" s="1989"/>
      <c r="FY75" s="1989"/>
      <c r="FZ75" s="1989"/>
      <c r="GA75" s="1989"/>
      <c r="GB75" s="1989"/>
      <c r="GC75" s="1989"/>
      <c r="GD75" s="1989"/>
      <c r="GE75" s="1989"/>
      <c r="GF75" s="1989"/>
      <c r="GG75" s="1989"/>
      <c r="GH75" s="1989"/>
      <c r="GI75" s="1989"/>
      <c r="GJ75" s="1989"/>
      <c r="GK75" s="1989"/>
      <c r="GL75" s="1989"/>
      <c r="GM75" s="1989"/>
      <c r="GN75" s="1989"/>
      <c r="GO75" s="1989"/>
      <c r="GP75" s="1989"/>
      <c r="GQ75" s="1989"/>
      <c r="GR75" s="1989"/>
      <c r="GS75" s="1989"/>
      <c r="GT75" s="1989"/>
      <c r="GU75" s="1989"/>
      <c r="GV75" s="1989"/>
      <c r="GW75" s="1989"/>
      <c r="GX75" s="1989"/>
      <c r="GY75" s="1989"/>
      <c r="GZ75" s="1989"/>
      <c r="HA75" s="1989"/>
      <c r="HB75" s="1989"/>
      <c r="HC75" s="1989"/>
      <c r="HD75" s="1989"/>
      <c r="HE75" s="1989"/>
      <c r="HF75" s="1989"/>
      <c r="HG75" s="1989"/>
      <c r="HH75" s="1989"/>
      <c r="HI75" s="1989"/>
      <c r="HJ75" s="1989"/>
      <c r="HK75" s="1989"/>
      <c r="HL75" s="1989"/>
      <c r="HM75" s="1989"/>
      <c r="HN75" s="1989"/>
      <c r="HO75" s="1989"/>
      <c r="HP75" s="1989"/>
      <c r="HQ75" s="1989"/>
      <c r="HR75" s="1989"/>
      <c r="HS75" s="1989"/>
      <c r="HT75" s="1989"/>
      <c r="HU75" s="1989"/>
      <c r="HV75" s="1989"/>
    </row>
    <row r="76" spans="1:12" s="1858" customFormat="1" ht="16.5" customHeight="1" thickBot="1">
      <c r="A76" s="1992"/>
      <c r="B76" s="1993" t="s">
        <v>1281</v>
      </c>
      <c r="C76" s="1994"/>
      <c r="D76" s="1994">
        <f aca="true" t="shared" si="0" ref="D76:L76">D8+D10+D13+D15+D17+D19+D21+D32+D35+D37+D39+D41+D43+D45+D61+D63+D56+D23+D25+D58+D27+D29+D67+D70+D72+D74</f>
        <v>10800.9</v>
      </c>
      <c r="E76" s="1994">
        <f t="shared" si="0"/>
        <v>12813.199999999999</v>
      </c>
      <c r="F76" s="1994">
        <f t="shared" si="0"/>
        <v>12737.5</v>
      </c>
      <c r="G76" s="1994">
        <f t="shared" si="0"/>
        <v>16516.9</v>
      </c>
      <c r="H76" s="1994">
        <f t="shared" si="0"/>
        <v>14342.5</v>
      </c>
      <c r="I76" s="1994">
        <f t="shared" si="0"/>
        <v>13546.3</v>
      </c>
      <c r="J76" s="1994">
        <f t="shared" si="0"/>
        <v>13566.900000000001</v>
      </c>
      <c r="K76" s="1994">
        <f t="shared" si="0"/>
        <v>10784.5</v>
      </c>
      <c r="L76" s="1994">
        <f t="shared" si="0"/>
        <v>4166.5</v>
      </c>
    </row>
    <row r="77" spans="1:12" s="1901" customFormat="1" ht="14.25" customHeight="1">
      <c r="A77" s="1930"/>
      <c r="B77" s="1939" t="s">
        <v>1282</v>
      </c>
      <c r="C77" s="1995"/>
      <c r="D77" s="1932">
        <f aca="true" t="shared" si="1" ref="D77:L77">D32+D35+D37+D39+D41+D43+D45+D61+D63+D56+D58+D67+D70+D72+D74</f>
        <v>8758.900000000001</v>
      </c>
      <c r="E77" s="1932">
        <f t="shared" si="1"/>
        <v>10820.3</v>
      </c>
      <c r="F77" s="1932">
        <f t="shared" si="1"/>
        <v>11494.099999999999</v>
      </c>
      <c r="G77" s="1932">
        <f t="shared" si="1"/>
        <v>15333.5</v>
      </c>
      <c r="H77" s="1932">
        <f t="shared" si="1"/>
        <v>13392.9</v>
      </c>
      <c r="I77" s="1932">
        <f t="shared" si="1"/>
        <v>12916.7</v>
      </c>
      <c r="J77" s="1932">
        <f t="shared" si="1"/>
        <v>12916.7</v>
      </c>
      <c r="K77" s="1979">
        <f t="shared" si="1"/>
        <v>10416.800000000001</v>
      </c>
      <c r="L77" s="1996">
        <f t="shared" si="1"/>
        <v>4166.5</v>
      </c>
    </row>
    <row r="78" spans="1:12" s="1901" customFormat="1" ht="13.5" customHeight="1">
      <c r="A78" s="1953"/>
      <c r="B78" s="1954" t="s">
        <v>1283</v>
      </c>
      <c r="C78" s="1949"/>
      <c r="D78" s="1955">
        <f>D8+D10+D13+D15+D17+D19+D21+D23+D25+D27+D29</f>
        <v>2042</v>
      </c>
      <c r="E78" s="1955">
        <f aca="true" t="shared" si="2" ref="E78:L78">E8+E10+E13+E15+E17+E19+E21+E23+E25+E27+E29</f>
        <v>1992.8999999999999</v>
      </c>
      <c r="F78" s="1955">
        <f t="shared" si="2"/>
        <v>1243.4</v>
      </c>
      <c r="G78" s="1955">
        <f t="shared" si="2"/>
        <v>1183.4</v>
      </c>
      <c r="H78" s="1955">
        <f t="shared" si="2"/>
        <v>949.6</v>
      </c>
      <c r="I78" s="1955">
        <f t="shared" si="2"/>
        <v>629.6</v>
      </c>
      <c r="J78" s="1955">
        <f t="shared" si="2"/>
        <v>650.2</v>
      </c>
      <c r="K78" s="1955">
        <f t="shared" si="2"/>
        <v>367.7</v>
      </c>
      <c r="L78" s="1955">
        <f t="shared" si="2"/>
        <v>0</v>
      </c>
    </row>
    <row r="79" spans="1:12" s="1858" customFormat="1" ht="12.75" customHeight="1">
      <c r="A79" s="1851"/>
      <c r="B79" s="1997" t="s">
        <v>1284</v>
      </c>
      <c r="C79" s="1853"/>
      <c r="D79" s="1853">
        <f aca="true" t="shared" si="3" ref="D79:L79">SUM(D80:D81)</f>
        <v>2542.8999999999996</v>
      </c>
      <c r="E79" s="1853">
        <f t="shared" si="3"/>
        <v>3230.4</v>
      </c>
      <c r="F79" s="1853">
        <f t="shared" si="3"/>
        <v>4395.300000000001</v>
      </c>
      <c r="G79" s="1853">
        <f t="shared" si="3"/>
        <v>4057.9</v>
      </c>
      <c r="H79" s="1853">
        <f t="shared" si="3"/>
        <v>3481.1</v>
      </c>
      <c r="I79" s="1853">
        <f t="shared" si="3"/>
        <v>2628.2000000000003</v>
      </c>
      <c r="J79" s="1853">
        <f t="shared" si="3"/>
        <v>1776.7</v>
      </c>
      <c r="K79" s="1977">
        <f t="shared" si="3"/>
        <v>933.2</v>
      </c>
      <c r="L79" s="1978">
        <f t="shared" si="3"/>
        <v>253.5</v>
      </c>
    </row>
    <row r="80" spans="1:12" s="1901" customFormat="1" ht="12.75">
      <c r="A80" s="1953"/>
      <c r="B80" s="1998" t="s">
        <v>1285</v>
      </c>
      <c r="C80" s="1955"/>
      <c r="D80" s="1955">
        <f>D33+D36+D38+D40+D42+D44+D46+D62+D64+D57+D59+D68</f>
        <v>2304.6</v>
      </c>
      <c r="E80" s="1955">
        <f>E33+E36+E38+E40+E42+E44+E46+E62+E64+E57+E59+E68</f>
        <v>2987.4</v>
      </c>
      <c r="F80" s="1955">
        <f>F33+F36+F38+F40+F42+F44+F46+F62+F64+F57+F59+F68+F71</f>
        <v>4211.700000000001</v>
      </c>
      <c r="G80" s="1955">
        <f>G33+G36+G38+G40+G42+G44+G46+G62+G64+G57+G59+G68+G71+G73</f>
        <v>3920.8</v>
      </c>
      <c r="H80" s="1955">
        <f>H33+H36+H38+H40+H42+H44+H46+H62+H64+H57+H59+H68+H71+H73+H75</f>
        <v>3388.9</v>
      </c>
      <c r="I80" s="1955">
        <f>I33+I36+I38+I40+I42+I44+I46+I62+I64+I57+I59+I68+I71+I73+I75</f>
        <v>2582.2000000000003</v>
      </c>
      <c r="J80" s="1955">
        <f>J33+J36+J38+J40+J42+J44+J46+J62+J64+J57+J59+J68+J71+J73+J75</f>
        <v>1749.3</v>
      </c>
      <c r="K80" s="1999">
        <f>K33+K36+K38+K40+K42+K44+K46+K62+K64+K57+K59+K68+K71+K73+K75</f>
        <v>923.4000000000001</v>
      </c>
      <c r="L80" s="2000">
        <f>L33+L36+L38+L40+L42+L44+L46+L62+L64+L57+L59+L68+L71+L73+L75</f>
        <v>253.5</v>
      </c>
    </row>
    <row r="81" spans="1:12" s="1901" customFormat="1" ht="13.5" thickBot="1">
      <c r="A81" s="1953"/>
      <c r="B81" s="1998" t="s">
        <v>1286</v>
      </c>
      <c r="C81" s="1955"/>
      <c r="D81" s="1955">
        <f>D9+D11+D14+D16+D18+D20+D22+D24+D26+D28+D30</f>
        <v>238.29999999999995</v>
      </c>
      <c r="E81" s="1955">
        <f aca="true" t="shared" si="4" ref="E81:L81">E9+E11+E14+E16+E18+E20+E22+E24+E26+E28+E30</f>
        <v>243</v>
      </c>
      <c r="F81" s="1955">
        <f t="shared" si="4"/>
        <v>183.59999999999997</v>
      </c>
      <c r="G81" s="1955">
        <f t="shared" si="4"/>
        <v>137.1</v>
      </c>
      <c r="H81" s="1955">
        <f t="shared" si="4"/>
        <v>92.2</v>
      </c>
      <c r="I81" s="1955">
        <f t="shared" si="4"/>
        <v>46</v>
      </c>
      <c r="J81" s="1955">
        <f t="shared" si="4"/>
        <v>27.4</v>
      </c>
      <c r="K81" s="1955">
        <f t="shared" si="4"/>
        <v>9.8</v>
      </c>
      <c r="L81" s="1955">
        <f t="shared" si="4"/>
        <v>0</v>
      </c>
    </row>
    <row r="82" spans="1:12" s="1858" customFormat="1" ht="19.5" customHeight="1" thickBot="1">
      <c r="A82" s="2001"/>
      <c r="B82" s="2002" t="s">
        <v>1287</v>
      </c>
      <c r="C82" s="2003"/>
      <c r="D82" s="2003">
        <f aca="true" t="shared" si="5" ref="D82:L82">SUM(D76+D79)</f>
        <v>13343.8</v>
      </c>
      <c r="E82" s="2003">
        <f t="shared" si="5"/>
        <v>16043.599999999999</v>
      </c>
      <c r="F82" s="2003">
        <f t="shared" si="5"/>
        <v>17132.800000000003</v>
      </c>
      <c r="G82" s="2003">
        <f t="shared" si="5"/>
        <v>20574.800000000003</v>
      </c>
      <c r="H82" s="2003">
        <f>SUM(H76+H79)</f>
        <v>17823.6</v>
      </c>
      <c r="I82" s="2003">
        <f t="shared" si="5"/>
        <v>16174.5</v>
      </c>
      <c r="J82" s="2003">
        <f t="shared" si="5"/>
        <v>15343.600000000002</v>
      </c>
      <c r="K82" s="2004">
        <f t="shared" si="5"/>
        <v>11717.7</v>
      </c>
      <c r="L82" s="2005">
        <f t="shared" si="5"/>
        <v>4420</v>
      </c>
    </row>
    <row r="83" spans="1:12" s="1858" customFormat="1" ht="14.25" customHeight="1">
      <c r="A83" s="2006"/>
      <c r="B83" s="1827"/>
      <c r="C83" s="2007"/>
      <c r="D83" s="2007"/>
      <c r="E83" s="2007"/>
      <c r="F83" s="2007"/>
      <c r="G83" s="2007"/>
      <c r="H83" s="2007"/>
      <c r="I83" s="2007"/>
      <c r="J83" s="2007"/>
      <c r="K83" s="2007"/>
      <c r="L83" s="2007"/>
    </row>
    <row r="84" spans="1:12" s="1858" customFormat="1" ht="12.75" customHeight="1">
      <c r="A84" s="2006"/>
      <c r="B84" s="1827"/>
      <c r="C84" s="2007"/>
      <c r="D84" s="2007"/>
      <c r="E84" s="2007"/>
      <c r="F84" s="2007"/>
      <c r="G84" s="2007"/>
      <c r="H84" s="2007"/>
      <c r="I84" s="2007"/>
      <c r="J84" s="2007"/>
      <c r="K84" s="2007"/>
      <c r="L84" s="2007"/>
    </row>
    <row r="85" spans="1:12" s="1858" customFormat="1" ht="90.75" customHeight="1">
      <c r="A85" s="2006"/>
      <c r="B85" s="1827"/>
      <c r="C85" s="2007"/>
      <c r="D85" s="2007"/>
      <c r="E85" s="2007"/>
      <c r="F85" s="2007"/>
      <c r="G85" s="2007"/>
      <c r="H85" s="2007"/>
      <c r="I85" s="2007"/>
      <c r="J85" s="2007"/>
      <c r="K85" s="2007"/>
      <c r="L85" s="2007"/>
    </row>
    <row r="86" spans="2:12" ht="15.75">
      <c r="B86" s="1818" t="s">
        <v>1288</v>
      </c>
      <c r="C86" s="1820"/>
      <c r="D86" s="2008">
        <f>D77+D80</f>
        <v>11063.500000000002</v>
      </c>
      <c r="E86" s="2008">
        <f aca="true" t="shared" si="6" ref="E86:L87">E77+E80</f>
        <v>13807.699999999999</v>
      </c>
      <c r="F86" s="2008">
        <f t="shared" si="6"/>
        <v>15705.8</v>
      </c>
      <c r="G86" s="2008">
        <f t="shared" si="6"/>
        <v>19254.3</v>
      </c>
      <c r="H86" s="2008">
        <f t="shared" si="6"/>
        <v>16781.8</v>
      </c>
      <c r="I86" s="2008">
        <f t="shared" si="6"/>
        <v>15498.900000000001</v>
      </c>
      <c r="J86" s="2008">
        <f t="shared" si="6"/>
        <v>14666</v>
      </c>
      <c r="K86" s="2008">
        <f t="shared" si="6"/>
        <v>11340.2</v>
      </c>
      <c r="L86" s="2008">
        <f t="shared" si="6"/>
        <v>4420</v>
      </c>
    </row>
    <row r="87" spans="2:12" ht="15.75">
      <c r="B87" s="1818" t="s">
        <v>1289</v>
      </c>
      <c r="C87" s="1820"/>
      <c r="D87" s="2008">
        <f>D78+D81</f>
        <v>2280.3</v>
      </c>
      <c r="E87" s="2008">
        <f t="shared" si="6"/>
        <v>2235.8999999999996</v>
      </c>
      <c r="F87" s="2008">
        <f t="shared" si="6"/>
        <v>1427</v>
      </c>
      <c r="G87" s="2008">
        <f t="shared" si="6"/>
        <v>1320.5</v>
      </c>
      <c r="H87" s="2008">
        <f t="shared" si="6"/>
        <v>1041.8</v>
      </c>
      <c r="I87" s="2008">
        <f t="shared" si="6"/>
        <v>675.6</v>
      </c>
      <c r="J87" s="2008">
        <f t="shared" si="6"/>
        <v>677.6</v>
      </c>
      <c r="K87" s="2008">
        <f t="shared" si="6"/>
        <v>377.5</v>
      </c>
      <c r="L87" s="2008">
        <f t="shared" si="6"/>
        <v>0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H9" sqref="H9"/>
    </sheetView>
  </sheetViews>
  <sheetFormatPr defaultColWidth="9.00390625" defaultRowHeight="12.75"/>
  <cols>
    <col min="1" max="1" width="4.125" style="760" customWidth="1"/>
    <col min="2" max="2" width="37.875" style="760" customWidth="1"/>
    <col min="3" max="3" width="11.75390625" style="760" customWidth="1"/>
    <col min="4" max="4" width="11.375" style="760" customWidth="1"/>
    <col min="5" max="5" width="11.625" style="760" customWidth="1"/>
    <col min="6" max="6" width="11.00390625" style="760" customWidth="1"/>
    <col min="7" max="7" width="10.125" style="760" customWidth="1"/>
    <col min="8" max="8" width="11.25390625" style="760" customWidth="1"/>
    <col min="9" max="9" width="11.875" style="760" customWidth="1"/>
    <col min="10" max="10" width="10.75390625" style="760" customWidth="1"/>
    <col min="11" max="16384" width="10.00390625" style="760" customWidth="1"/>
  </cols>
  <sheetData>
    <row r="1" ht="21" customHeight="1">
      <c r="J1" s="2009" t="s">
        <v>1290</v>
      </c>
    </row>
    <row r="2" spans="1:10" s="2012" customFormat="1" ht="30" customHeight="1">
      <c r="A2" s="2010" t="s">
        <v>1291</v>
      </c>
      <c r="B2" s="2011"/>
      <c r="C2" s="2011"/>
      <c r="D2" s="2011"/>
      <c r="E2" s="2011"/>
      <c r="F2" s="2011"/>
      <c r="G2" s="2011"/>
      <c r="H2" s="2011"/>
      <c r="I2" s="2011"/>
      <c r="J2" s="2011"/>
    </row>
    <row r="3" spans="1:10" s="633" customFormat="1" ht="17.25" customHeight="1" thickBot="1">
      <c r="A3" s="2013"/>
      <c r="B3" s="2014"/>
      <c r="C3" s="2014"/>
      <c r="D3" s="2014"/>
      <c r="E3" s="2014"/>
      <c r="F3" s="2015"/>
      <c r="G3" s="2015"/>
      <c r="J3" s="2016" t="s">
        <v>1420</v>
      </c>
    </row>
    <row r="4" spans="1:10" s="577" customFormat="1" ht="30" customHeight="1" thickBot="1" thickTop="1">
      <c r="A4" s="2017"/>
      <c r="B4" s="2018"/>
      <c r="C4" s="2019" t="s">
        <v>1292</v>
      </c>
      <c r="D4" s="2020"/>
      <c r="E4" s="2021" t="s">
        <v>1293</v>
      </c>
      <c r="F4" s="2022"/>
      <c r="G4" s="2022"/>
      <c r="H4" s="2023" t="s">
        <v>1294</v>
      </c>
      <c r="I4" s="2024"/>
      <c r="J4" s="2022"/>
    </row>
    <row r="5" spans="1:10" s="2033" customFormat="1" ht="39.75" customHeight="1" thickBot="1" thickTop="1">
      <c r="A5" s="2025" t="s">
        <v>1295</v>
      </c>
      <c r="B5" s="2026" t="s">
        <v>460</v>
      </c>
      <c r="C5" s="2027" t="s">
        <v>1296</v>
      </c>
      <c r="D5" s="2028" t="s">
        <v>1297</v>
      </c>
      <c r="E5" s="2027" t="s">
        <v>1296</v>
      </c>
      <c r="F5" s="2029" t="s">
        <v>1297</v>
      </c>
      <c r="G5" s="2030" t="s">
        <v>1298</v>
      </c>
      <c r="H5" s="2027" t="s">
        <v>1296</v>
      </c>
      <c r="I5" s="2031" t="s">
        <v>1297</v>
      </c>
      <c r="J5" s="2032" t="s">
        <v>1299</v>
      </c>
    </row>
    <row r="6" spans="1:10" s="2040" customFormat="1" ht="10.5" customHeight="1" thickBot="1" thickTop="1">
      <c r="A6" s="2034">
        <v>1</v>
      </c>
      <c r="B6" s="2035">
        <v>2</v>
      </c>
      <c r="C6" s="2036">
        <v>3</v>
      </c>
      <c r="D6" s="2037">
        <v>4</v>
      </c>
      <c r="E6" s="2038">
        <v>5</v>
      </c>
      <c r="F6" s="2038">
        <v>6</v>
      </c>
      <c r="G6" s="2037">
        <v>7</v>
      </c>
      <c r="H6" s="2036">
        <v>8</v>
      </c>
      <c r="I6" s="2038">
        <v>9</v>
      </c>
      <c r="J6" s="2039">
        <v>10</v>
      </c>
    </row>
    <row r="7" spans="1:10" s="2050" customFormat="1" ht="21.75" customHeight="1" thickTop="1">
      <c r="A7" s="2041">
        <v>1</v>
      </c>
      <c r="B7" s="2042" t="s">
        <v>400</v>
      </c>
      <c r="C7" s="2043">
        <v>29.65</v>
      </c>
      <c r="D7" s="2044">
        <v>32</v>
      </c>
      <c r="E7" s="2045">
        <f>H7/C7/12</f>
        <v>2779.370432827431</v>
      </c>
      <c r="F7" s="2045">
        <f aca="true" t="shared" si="0" ref="F7:F19">E7*G7/100</f>
        <v>2821.060989319843</v>
      </c>
      <c r="G7" s="2046">
        <v>101.5</v>
      </c>
      <c r="H7" s="2047">
        <v>988900</v>
      </c>
      <c r="I7" s="2048">
        <f>F7*D7*12</f>
        <v>1083287.4198988196</v>
      </c>
      <c r="J7" s="2049">
        <f aca="true" t="shared" si="1" ref="J7:J20">I7/H7*100</f>
        <v>109.54468802698145</v>
      </c>
    </row>
    <row r="8" spans="1:10" s="2056" customFormat="1" ht="20.25" customHeight="1">
      <c r="A8" s="2051">
        <v>2</v>
      </c>
      <c r="B8" s="2052" t="s">
        <v>1300</v>
      </c>
      <c r="C8" s="2053">
        <v>199.6</v>
      </c>
      <c r="D8" s="2054">
        <v>211.7</v>
      </c>
      <c r="E8" s="2045">
        <f aca="true" t="shared" si="2" ref="E8:E19">H8/C8/12</f>
        <v>1969.9607548430195</v>
      </c>
      <c r="F8" s="2045">
        <f t="shared" si="0"/>
        <v>1999.510166165665</v>
      </c>
      <c r="G8" s="2046">
        <v>101.5</v>
      </c>
      <c r="H8" s="2055">
        <v>4718450</v>
      </c>
      <c r="I8" s="2048">
        <f>F8*D8*12</f>
        <v>5079555.626127254</v>
      </c>
      <c r="J8" s="2049">
        <f t="shared" si="1"/>
        <v>107.65305611222445</v>
      </c>
    </row>
    <row r="9" spans="1:10" s="2050" customFormat="1" ht="21.75" customHeight="1">
      <c r="A9" s="2041">
        <v>3</v>
      </c>
      <c r="B9" s="2042" t="s">
        <v>1301</v>
      </c>
      <c r="C9" s="2057">
        <v>89</v>
      </c>
      <c r="D9" s="2044">
        <v>89</v>
      </c>
      <c r="E9" s="2045">
        <f t="shared" si="2"/>
        <v>2531.554307116105</v>
      </c>
      <c r="F9" s="2045">
        <f t="shared" si="0"/>
        <v>2569.5276217228466</v>
      </c>
      <c r="G9" s="2046">
        <v>101.5</v>
      </c>
      <c r="H9" s="2047">
        <v>2703700</v>
      </c>
      <c r="I9" s="2048">
        <f aca="true" t="shared" si="3" ref="I9:I19">F9*D9*12</f>
        <v>2744255.5</v>
      </c>
      <c r="J9" s="2049">
        <f t="shared" si="1"/>
        <v>101.49999999999999</v>
      </c>
    </row>
    <row r="10" spans="1:10" s="2050" customFormat="1" ht="21.75" customHeight="1">
      <c r="A10" s="2041">
        <v>4</v>
      </c>
      <c r="B10" s="2042" t="s">
        <v>1302</v>
      </c>
      <c r="C10" s="2057">
        <v>71.95</v>
      </c>
      <c r="D10" s="2044">
        <v>72</v>
      </c>
      <c r="E10" s="2045">
        <f t="shared" si="2"/>
        <v>1498.8417882788972</v>
      </c>
      <c r="F10" s="2045">
        <f t="shared" si="0"/>
        <v>1521.3244151030806</v>
      </c>
      <c r="G10" s="2046">
        <v>101.5</v>
      </c>
      <c r="H10" s="2047">
        <v>1294100</v>
      </c>
      <c r="I10" s="2048">
        <v>1314000</v>
      </c>
      <c r="J10" s="2049">
        <f t="shared" si="1"/>
        <v>101.53774824202148</v>
      </c>
    </row>
    <row r="11" spans="1:10" s="2050" customFormat="1" ht="24" customHeight="1">
      <c r="A11" s="2058">
        <v>5</v>
      </c>
      <c r="B11" s="2059" t="s">
        <v>1303</v>
      </c>
      <c r="C11" s="2043">
        <v>18.9</v>
      </c>
      <c r="D11" s="2060">
        <v>18.9</v>
      </c>
      <c r="E11" s="2045">
        <f t="shared" si="2"/>
        <v>2470.1058201058204</v>
      </c>
      <c r="F11" s="2045">
        <f t="shared" si="0"/>
        <v>2507.1574074074074</v>
      </c>
      <c r="G11" s="2046">
        <v>101.5</v>
      </c>
      <c r="H11" s="2047">
        <v>560220</v>
      </c>
      <c r="I11" s="2048">
        <f t="shared" si="3"/>
        <v>568623.2999999999</v>
      </c>
      <c r="J11" s="2049">
        <f t="shared" si="1"/>
        <v>101.49999999999999</v>
      </c>
    </row>
    <row r="12" spans="1:10" s="2050" customFormat="1" ht="21.75" customHeight="1">
      <c r="A12" s="2061">
        <v>6</v>
      </c>
      <c r="B12" s="2059" t="s">
        <v>1304</v>
      </c>
      <c r="C12" s="2057">
        <v>325</v>
      </c>
      <c r="D12" s="2062">
        <v>330.549</v>
      </c>
      <c r="E12" s="2045">
        <f t="shared" si="2"/>
        <v>3037.628205128205</v>
      </c>
      <c r="F12" s="2045">
        <f t="shared" si="0"/>
        <v>3083.192628205128</v>
      </c>
      <c r="G12" s="2046">
        <v>101.5</v>
      </c>
      <c r="H12" s="2047">
        <v>11846750</v>
      </c>
      <c r="I12" s="2048">
        <f t="shared" si="3"/>
        <v>12229754.880726922</v>
      </c>
      <c r="J12" s="2049">
        <f t="shared" si="1"/>
        <v>103.23299538461539</v>
      </c>
    </row>
    <row r="13" spans="1:10" s="2050" customFormat="1" ht="21.75" customHeight="1">
      <c r="A13" s="2041">
        <v>7</v>
      </c>
      <c r="B13" s="2042" t="s">
        <v>1220</v>
      </c>
      <c r="C13" s="2057">
        <v>53</v>
      </c>
      <c r="D13" s="2044">
        <v>53</v>
      </c>
      <c r="E13" s="2045">
        <f t="shared" si="2"/>
        <v>2215.64465408805</v>
      </c>
      <c r="F13" s="2045">
        <f t="shared" si="0"/>
        <v>2248.879323899371</v>
      </c>
      <c r="G13" s="2046">
        <v>101.5</v>
      </c>
      <c r="H13" s="2047">
        <v>1409150</v>
      </c>
      <c r="I13" s="2048">
        <f t="shared" si="3"/>
        <v>1430287.25</v>
      </c>
      <c r="J13" s="2049">
        <f t="shared" si="1"/>
        <v>101.49999999999999</v>
      </c>
    </row>
    <row r="14" spans="1:10" s="2050" customFormat="1" ht="21.75" customHeight="1">
      <c r="A14" s="2058">
        <v>8</v>
      </c>
      <c r="B14" s="2042" t="s">
        <v>1225</v>
      </c>
      <c r="C14" s="2057">
        <v>70</v>
      </c>
      <c r="D14" s="2063">
        <v>71</v>
      </c>
      <c r="E14" s="2045">
        <f t="shared" si="2"/>
        <v>1885.8333333333333</v>
      </c>
      <c r="F14" s="2045">
        <f t="shared" si="0"/>
        <v>1914.1208333333332</v>
      </c>
      <c r="G14" s="2046">
        <v>101.5</v>
      </c>
      <c r="H14" s="2047">
        <v>1584100</v>
      </c>
      <c r="I14" s="2048">
        <f t="shared" si="3"/>
        <v>1630830.95</v>
      </c>
      <c r="J14" s="2049">
        <f t="shared" si="1"/>
        <v>102.94999999999999</v>
      </c>
    </row>
    <row r="15" spans="1:10" s="2050" customFormat="1" ht="21.75" customHeight="1">
      <c r="A15" s="2041">
        <v>9</v>
      </c>
      <c r="B15" s="2042" t="s">
        <v>1224</v>
      </c>
      <c r="C15" s="2057">
        <v>70</v>
      </c>
      <c r="D15" s="2044">
        <v>70</v>
      </c>
      <c r="E15" s="2045">
        <f t="shared" si="2"/>
        <v>1967.7380952380952</v>
      </c>
      <c r="F15" s="2045">
        <f t="shared" si="0"/>
        <v>1997.2541666666666</v>
      </c>
      <c r="G15" s="2046">
        <v>101.5</v>
      </c>
      <c r="H15" s="2047">
        <v>1652900</v>
      </c>
      <c r="I15" s="2048">
        <f t="shared" si="3"/>
        <v>1677693.5</v>
      </c>
      <c r="J15" s="2049">
        <f t="shared" si="1"/>
        <v>101.49999999999999</v>
      </c>
    </row>
    <row r="16" spans="1:10" s="2050" customFormat="1" ht="21.75" customHeight="1">
      <c r="A16" s="2058">
        <v>10</v>
      </c>
      <c r="B16" s="2042" t="s">
        <v>1305</v>
      </c>
      <c r="C16" s="2043">
        <v>52</v>
      </c>
      <c r="D16" s="2062">
        <v>52</v>
      </c>
      <c r="E16" s="2045">
        <f t="shared" si="2"/>
        <v>2259.1346153846152</v>
      </c>
      <c r="F16" s="2045">
        <f t="shared" si="0"/>
        <v>2293.0216346153843</v>
      </c>
      <c r="G16" s="2046">
        <v>101.5</v>
      </c>
      <c r="H16" s="2047">
        <v>1409700</v>
      </c>
      <c r="I16" s="2048">
        <f t="shared" si="3"/>
        <v>1430845.4999999998</v>
      </c>
      <c r="J16" s="2049">
        <f t="shared" si="1"/>
        <v>101.49999999999999</v>
      </c>
    </row>
    <row r="17" spans="1:10" s="2050" customFormat="1" ht="21.75" customHeight="1">
      <c r="A17" s="2041">
        <v>11</v>
      </c>
      <c r="B17" s="2042" t="s">
        <v>1306</v>
      </c>
      <c r="C17" s="2043">
        <v>28</v>
      </c>
      <c r="D17" s="2060">
        <v>28</v>
      </c>
      <c r="E17" s="2045">
        <f t="shared" si="2"/>
        <v>1947.6190476190477</v>
      </c>
      <c r="F17" s="2045">
        <f t="shared" si="0"/>
        <v>1976.8333333333335</v>
      </c>
      <c r="G17" s="2046">
        <v>101.5</v>
      </c>
      <c r="H17" s="2047">
        <v>654400</v>
      </c>
      <c r="I17" s="2048">
        <f t="shared" si="3"/>
        <v>664216</v>
      </c>
      <c r="J17" s="2049">
        <f t="shared" si="1"/>
        <v>101.49999999999999</v>
      </c>
    </row>
    <row r="18" spans="1:10" s="2050" customFormat="1" ht="21.75" customHeight="1">
      <c r="A18" s="2061">
        <v>12</v>
      </c>
      <c r="B18" s="2052" t="s">
        <v>1226</v>
      </c>
      <c r="C18" s="2043">
        <v>37.5</v>
      </c>
      <c r="D18" s="2062">
        <v>37.5</v>
      </c>
      <c r="E18" s="2045">
        <f t="shared" si="2"/>
        <v>2200.388888888889</v>
      </c>
      <c r="F18" s="2045">
        <f t="shared" si="0"/>
        <v>2233.3947222222223</v>
      </c>
      <c r="G18" s="2046">
        <v>101.5</v>
      </c>
      <c r="H18" s="2047">
        <v>990175</v>
      </c>
      <c r="I18" s="2048">
        <f t="shared" si="3"/>
        <v>1005027.6250000001</v>
      </c>
      <c r="J18" s="2049">
        <f>I18/H18*100</f>
        <v>101.50000000000001</v>
      </c>
    </row>
    <row r="19" spans="1:10" s="2050" customFormat="1" ht="21.75" customHeight="1" thickBot="1">
      <c r="A19" s="2058">
        <v>13</v>
      </c>
      <c r="B19" s="2052" t="s">
        <v>1307</v>
      </c>
      <c r="C19" s="2043">
        <v>6.5</v>
      </c>
      <c r="D19" s="2062">
        <v>6.5</v>
      </c>
      <c r="E19" s="2045">
        <f t="shared" si="2"/>
        <v>2178.846153846154</v>
      </c>
      <c r="F19" s="2045">
        <f t="shared" si="0"/>
        <v>2211.528846153846</v>
      </c>
      <c r="G19" s="2046">
        <v>101.5</v>
      </c>
      <c r="H19" s="2047">
        <v>169950</v>
      </c>
      <c r="I19" s="2048">
        <f t="shared" si="3"/>
        <v>172499.25</v>
      </c>
      <c r="J19" s="2049">
        <f t="shared" si="1"/>
        <v>101.49999999999999</v>
      </c>
    </row>
    <row r="20" spans="1:10" s="2071" customFormat="1" ht="27" customHeight="1" thickBot="1" thickTop="1">
      <c r="A20" s="2064"/>
      <c r="B20" s="2065" t="s">
        <v>1312</v>
      </c>
      <c r="C20" s="2066">
        <f>SUM(C7:C19)</f>
        <v>1051.1</v>
      </c>
      <c r="D20" s="2067">
        <f>SUM(D7:D19)</f>
        <v>1072.149</v>
      </c>
      <c r="E20" s="2068">
        <f>H20/C20/12</f>
        <v>2377.0728284654174</v>
      </c>
      <c r="F20" s="2069">
        <f>I20/D20/12</f>
        <v>2411.8908847054686</v>
      </c>
      <c r="G20" s="2067">
        <f>F20/E20*100</f>
        <v>101.46474503528479</v>
      </c>
      <c r="H20" s="2069">
        <f>SUM(H7:H19)</f>
        <v>29982495</v>
      </c>
      <c r="I20" s="2069">
        <f>SUM(I7:I19)</f>
        <v>31030876.801752996</v>
      </c>
      <c r="J20" s="2070">
        <f t="shared" si="1"/>
        <v>103.49664629895877</v>
      </c>
    </row>
    <row r="21" spans="1:2" ht="22.5" customHeight="1" thickTop="1">
      <c r="A21" s="152"/>
      <c r="B21" s="633"/>
    </row>
    <row r="22" ht="15.75">
      <c r="A22" s="15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39"/>
  <sheetViews>
    <sheetView workbookViewId="0" topLeftCell="A1">
      <selection activeCell="L2" sqref="L2"/>
    </sheetView>
  </sheetViews>
  <sheetFormatPr defaultColWidth="9.00390625" defaultRowHeight="12.75"/>
  <cols>
    <col min="1" max="1" width="4.125" style="157" customWidth="1"/>
    <col min="2" max="2" width="3.75390625" style="158" customWidth="1"/>
    <col min="3" max="3" width="2.75390625" style="159" customWidth="1"/>
    <col min="4" max="4" width="8.875" style="159" customWidth="1"/>
    <col min="5" max="5" width="12.375" style="159" customWidth="1"/>
    <col min="6" max="6" width="4.25390625" style="159" customWidth="1"/>
    <col min="7" max="7" width="8.125" style="159" customWidth="1"/>
    <col min="8" max="8" width="15.125" style="159" customWidth="1"/>
    <col min="9" max="9" width="15.875" style="159" customWidth="1"/>
    <col min="10" max="10" width="10.875" style="160" customWidth="1"/>
    <col min="11" max="11" width="13.875" style="526" customWidth="1"/>
    <col min="12" max="16384" width="9.125" style="159" customWidth="1"/>
  </cols>
  <sheetData>
    <row r="1" ht="18.75" customHeight="1">
      <c r="K1" s="161" t="s">
        <v>1418</v>
      </c>
    </row>
    <row r="2" spans="1:11" s="164" customFormat="1" ht="37.5" customHeight="1">
      <c r="A2" s="157"/>
      <c r="B2" s="162" t="s">
        <v>1419</v>
      </c>
      <c r="C2" s="162"/>
      <c r="D2" s="162"/>
      <c r="E2" s="162"/>
      <c r="F2" s="162"/>
      <c r="G2" s="162"/>
      <c r="H2" s="162"/>
      <c r="I2" s="162"/>
      <c r="J2" s="162"/>
      <c r="K2" s="163"/>
    </row>
    <row r="3" ht="16.5" customHeight="1" thickBot="1">
      <c r="K3" s="165" t="s">
        <v>1420</v>
      </c>
    </row>
    <row r="4" spans="1:11" s="172" customFormat="1" ht="34.5" customHeight="1" thickBot="1" thickTop="1">
      <c r="A4" s="166"/>
      <c r="B4" s="167"/>
      <c r="C4" s="168"/>
      <c r="D4" s="168"/>
      <c r="E4" s="169" t="s">
        <v>1421</v>
      </c>
      <c r="F4" s="169"/>
      <c r="G4" s="169"/>
      <c r="H4" s="169"/>
      <c r="I4" s="169"/>
      <c r="J4" s="170" t="s">
        <v>1422</v>
      </c>
      <c r="K4" s="171" t="s">
        <v>1423</v>
      </c>
    </row>
    <row r="5" spans="1:11" s="176" customFormat="1" ht="8.25" customHeight="1" thickBot="1" thickTop="1">
      <c r="A5" s="166">
        <v>1</v>
      </c>
      <c r="B5" s="173"/>
      <c r="C5" s="174"/>
      <c r="D5" s="175"/>
      <c r="E5" s="173"/>
      <c r="F5" s="173"/>
      <c r="G5" s="173">
        <v>2</v>
      </c>
      <c r="H5" s="173"/>
      <c r="I5" s="173"/>
      <c r="J5" s="171">
        <v>3</v>
      </c>
      <c r="K5" s="171">
        <v>4</v>
      </c>
    </row>
    <row r="6" spans="1:11" s="172" customFormat="1" ht="18.75" customHeight="1" thickBot="1" thickTop="1">
      <c r="A6" s="166" t="s">
        <v>1323</v>
      </c>
      <c r="B6" s="2091" t="s">
        <v>1424</v>
      </c>
      <c r="C6" s="2092"/>
      <c r="D6" s="2092"/>
      <c r="E6" s="2092"/>
      <c r="F6" s="2092"/>
      <c r="G6" s="2092"/>
      <c r="H6" s="2092"/>
      <c r="I6" s="2093"/>
      <c r="J6" s="177"/>
      <c r="K6" s="178">
        <f>SUM(K7:K112)</f>
        <v>33992520</v>
      </c>
    </row>
    <row r="7" spans="1:11" s="181" customFormat="1" ht="16.5" customHeight="1" thickBot="1" thickTop="1">
      <c r="A7" s="166">
        <v>1</v>
      </c>
      <c r="B7" s="179" t="s">
        <v>1425</v>
      </c>
      <c r="C7" s="179"/>
      <c r="D7" s="180"/>
      <c r="E7" s="180"/>
      <c r="F7" s="180"/>
      <c r="G7" s="180"/>
      <c r="H7" s="180"/>
      <c r="I7" s="180"/>
      <c r="J7" s="177">
        <f>I9+I17</f>
        <v>444753.89225</v>
      </c>
      <c r="K7" s="178">
        <v>444750</v>
      </c>
    </row>
    <row r="8" spans="1:11" s="181" customFormat="1" ht="9.75" customHeight="1" thickTop="1">
      <c r="A8" s="182"/>
      <c r="C8" s="183"/>
      <c r="D8" s="184"/>
      <c r="E8" s="184"/>
      <c r="F8" s="183" t="s">
        <v>1426</v>
      </c>
      <c r="G8" s="184"/>
      <c r="H8" s="184"/>
      <c r="I8" s="184"/>
      <c r="J8" s="185"/>
      <c r="K8" s="186"/>
    </row>
    <row r="9" spans="1:11" s="191" customFormat="1" ht="13.5" customHeight="1">
      <c r="A9" s="187"/>
      <c r="B9" s="188" t="s">
        <v>1343</v>
      </c>
      <c r="C9" s="189" t="s">
        <v>1427</v>
      </c>
      <c r="D9" s="184"/>
      <c r="E9" s="190"/>
      <c r="I9" s="192">
        <f>H14-H16</f>
        <v>17392.415250000002</v>
      </c>
      <c r="J9" s="185"/>
      <c r="K9" s="186"/>
    </row>
    <row r="10" spans="1:11" s="199" customFormat="1" ht="13.5" customHeight="1">
      <c r="A10" s="193"/>
      <c r="B10" s="194"/>
      <c r="C10" s="195">
        <v>1</v>
      </c>
      <c r="D10" s="195" t="s">
        <v>1428</v>
      </c>
      <c r="E10" s="196"/>
      <c r="F10" s="195"/>
      <c r="G10" s="195"/>
      <c r="H10" s="197"/>
      <c r="I10" s="198"/>
      <c r="J10" s="185"/>
      <c r="K10" s="186"/>
    </row>
    <row r="11" spans="1:11" s="202" customFormat="1" ht="10.5" customHeight="1">
      <c r="A11" s="193"/>
      <c r="B11" s="200"/>
      <c r="C11" s="201"/>
      <c r="E11" s="203">
        <v>337</v>
      </c>
      <c r="F11" s="200" t="s">
        <v>1429</v>
      </c>
      <c r="G11" s="204">
        <v>52.275</v>
      </c>
      <c r="H11" s="205">
        <f>E11*G11</f>
        <v>17616.675</v>
      </c>
      <c r="J11" s="185"/>
      <c r="K11" s="186"/>
    </row>
    <row r="12" spans="1:11" s="202" customFormat="1" ht="13.5" customHeight="1">
      <c r="A12" s="193"/>
      <c r="B12" s="206"/>
      <c r="C12" s="207">
        <v>2</v>
      </c>
      <c r="D12" s="207" t="s">
        <v>1430</v>
      </c>
      <c r="E12" s="208"/>
      <c r="F12" s="207"/>
      <c r="G12" s="207"/>
      <c r="H12" s="205"/>
      <c r="J12" s="185"/>
      <c r="K12" s="186"/>
    </row>
    <row r="13" spans="1:11" s="202" customFormat="1" ht="10.5" customHeight="1">
      <c r="A13" s="182"/>
      <c r="B13" s="200"/>
      <c r="C13" s="201"/>
      <c r="E13" s="203">
        <v>3</v>
      </c>
      <c r="F13" s="200" t="s">
        <v>1429</v>
      </c>
      <c r="G13" s="204">
        <v>104.55</v>
      </c>
      <c r="H13" s="205">
        <f>E13*G13</f>
        <v>313.65</v>
      </c>
      <c r="J13" s="185"/>
      <c r="K13" s="186"/>
    </row>
    <row r="14" spans="1:11" s="202" customFormat="1" ht="9.75" customHeight="1">
      <c r="A14" s="182"/>
      <c r="B14" s="200"/>
      <c r="C14" s="201"/>
      <c r="E14" s="203"/>
      <c r="F14" s="201"/>
      <c r="G14" s="209" t="s">
        <v>1431</v>
      </c>
      <c r="H14" s="210">
        <f>SUM(H11:H13)</f>
        <v>17930.325</v>
      </c>
      <c r="J14" s="185"/>
      <c r="K14" s="186"/>
    </row>
    <row r="15" spans="1:11" s="202" customFormat="1" ht="9.75" customHeight="1">
      <c r="A15" s="182"/>
      <c r="B15" s="200"/>
      <c r="C15" s="201"/>
      <c r="D15" s="201" t="s">
        <v>0</v>
      </c>
      <c r="E15" s="201"/>
      <c r="F15" s="201"/>
      <c r="G15" s="201"/>
      <c r="H15" s="211"/>
      <c r="I15" s="212"/>
      <c r="J15" s="185"/>
      <c r="K15" s="186"/>
    </row>
    <row r="16" spans="1:11" s="161" customFormat="1" ht="12" customHeight="1">
      <c r="A16" s="213"/>
      <c r="B16" s="214"/>
      <c r="D16" s="161" t="s">
        <v>1</v>
      </c>
      <c r="F16" s="215">
        <v>0.03</v>
      </c>
      <c r="H16" s="216">
        <f>H14*F16</f>
        <v>537.90975</v>
      </c>
      <c r="J16" s="217"/>
      <c r="K16" s="218"/>
    </row>
    <row r="17" spans="1:11" s="224" customFormat="1" ht="17.25" customHeight="1">
      <c r="A17" s="219"/>
      <c r="B17" s="220" t="s">
        <v>1350</v>
      </c>
      <c r="C17" s="221" t="s">
        <v>2</v>
      </c>
      <c r="D17" s="221"/>
      <c r="E17" s="222"/>
      <c r="F17" s="223"/>
      <c r="G17" s="223"/>
      <c r="I17" s="225">
        <f>I41-I43+I44</f>
        <v>427361.47699999996</v>
      </c>
      <c r="J17" s="226"/>
      <c r="K17" s="227"/>
    </row>
    <row r="18" spans="1:11" s="202" customFormat="1" ht="13.5" customHeight="1">
      <c r="A18" s="182"/>
      <c r="B18" s="228"/>
      <c r="C18" s="228">
        <v>1</v>
      </c>
      <c r="D18" s="229" t="s">
        <v>1428</v>
      </c>
      <c r="E18" s="230"/>
      <c r="F18" s="229"/>
      <c r="G18" s="231"/>
      <c r="H18" s="201"/>
      <c r="I18" s="201"/>
      <c r="J18" s="185"/>
      <c r="K18" s="186"/>
    </row>
    <row r="19" spans="1:11" s="202" customFormat="1" ht="10.5" customHeight="1">
      <c r="A19" s="182"/>
      <c r="B19" s="200"/>
      <c r="C19" s="200"/>
      <c r="D19" s="232"/>
      <c r="E19" s="203">
        <v>630</v>
      </c>
      <c r="F19" s="200" t="s">
        <v>1429</v>
      </c>
      <c r="G19" s="204">
        <v>52.275</v>
      </c>
      <c r="I19" s="212">
        <f>E19*G19</f>
        <v>32933.25</v>
      </c>
      <c r="J19" s="185"/>
      <c r="K19" s="186"/>
    </row>
    <row r="20" spans="1:11" s="202" customFormat="1" ht="12" customHeight="1">
      <c r="A20" s="182"/>
      <c r="B20" s="228"/>
      <c r="C20" s="228">
        <v>2</v>
      </c>
      <c r="D20" s="229" t="s">
        <v>1430</v>
      </c>
      <c r="E20" s="230"/>
      <c r="F20" s="229"/>
      <c r="G20" s="231"/>
      <c r="H20" s="233"/>
      <c r="J20" s="185"/>
      <c r="K20" s="186"/>
    </row>
    <row r="21" spans="1:11" s="202" customFormat="1" ht="10.5" customHeight="1">
      <c r="A21" s="182"/>
      <c r="B21" s="200"/>
      <c r="C21" s="200"/>
      <c r="D21" s="232"/>
      <c r="E21" s="203">
        <v>97</v>
      </c>
      <c r="F21" s="200" t="s">
        <v>1429</v>
      </c>
      <c r="G21" s="204">
        <v>104.55</v>
      </c>
      <c r="I21" s="212">
        <f>E21*G21</f>
        <v>10141.35</v>
      </c>
      <c r="J21" s="185"/>
      <c r="K21" s="186"/>
    </row>
    <row r="22" spans="1:11" s="229" customFormat="1" ht="12" customHeight="1">
      <c r="A22" s="219"/>
      <c r="B22" s="228"/>
      <c r="C22" s="228">
        <v>3</v>
      </c>
      <c r="D22" s="229" t="s">
        <v>3</v>
      </c>
      <c r="E22" s="230"/>
      <c r="G22" s="231"/>
      <c r="J22" s="226"/>
      <c r="K22" s="227"/>
    </row>
    <row r="23" spans="1:11" s="195" customFormat="1" ht="9" customHeight="1">
      <c r="A23" s="219"/>
      <c r="B23" s="194"/>
      <c r="D23" s="234" t="s">
        <v>4</v>
      </c>
      <c r="E23" s="235"/>
      <c r="F23" s="234"/>
      <c r="G23" s="236"/>
      <c r="H23" s="234"/>
      <c r="J23" s="226"/>
      <c r="K23" s="227"/>
    </row>
    <row r="24" spans="1:11" s="207" customFormat="1" ht="14.25" customHeight="1">
      <c r="A24" s="219"/>
      <c r="B24" s="206"/>
      <c r="C24" s="237" t="s">
        <v>5</v>
      </c>
      <c r="D24" s="207" t="s">
        <v>6</v>
      </c>
      <c r="E24" s="208"/>
      <c r="G24" s="237"/>
      <c r="I24" s="238"/>
      <c r="J24" s="226"/>
      <c r="K24" s="227"/>
    </row>
    <row r="25" spans="1:11" s="207" customFormat="1" ht="11.25" customHeight="1">
      <c r="A25" s="219"/>
      <c r="B25" s="206"/>
      <c r="C25" s="237"/>
      <c r="E25" s="208">
        <v>55917</v>
      </c>
      <c r="F25" s="206" t="s">
        <v>1429</v>
      </c>
      <c r="G25" s="239">
        <v>0.43</v>
      </c>
      <c r="H25" s="238">
        <f>E25*G25</f>
        <v>24044.31</v>
      </c>
      <c r="J25" s="226"/>
      <c r="K25" s="227"/>
    </row>
    <row r="26" spans="1:11" s="207" customFormat="1" ht="14.25">
      <c r="A26" s="219"/>
      <c r="B26" s="206"/>
      <c r="C26" s="237" t="s">
        <v>7</v>
      </c>
      <c r="D26" s="207" t="s">
        <v>8</v>
      </c>
      <c r="E26" s="208"/>
      <c r="G26" s="237"/>
      <c r="H26" s="238"/>
      <c r="J26" s="226"/>
      <c r="K26" s="227"/>
    </row>
    <row r="27" spans="1:11" s="207" customFormat="1" ht="13.5" customHeight="1">
      <c r="A27" s="219"/>
      <c r="B27" s="206"/>
      <c r="C27" s="237"/>
      <c r="E27" s="208">
        <v>17148</v>
      </c>
      <c r="F27" s="206" t="s">
        <v>1429</v>
      </c>
      <c r="G27" s="239">
        <v>15.65</v>
      </c>
      <c r="H27" s="238">
        <f>E27*G27</f>
        <v>268366.2</v>
      </c>
      <c r="J27" s="226"/>
      <c r="K27" s="227"/>
    </row>
    <row r="28" spans="1:11" s="195" customFormat="1" ht="14.25">
      <c r="A28" s="219"/>
      <c r="B28" s="194"/>
      <c r="C28" s="240" t="s">
        <v>9</v>
      </c>
      <c r="D28" s="195" t="s">
        <v>10</v>
      </c>
      <c r="E28" s="196"/>
      <c r="F28" s="194"/>
      <c r="G28" s="240"/>
      <c r="H28" s="241"/>
      <c r="J28" s="226"/>
      <c r="K28" s="227"/>
    </row>
    <row r="29" spans="1:11" s="244" customFormat="1" ht="9.75" customHeight="1">
      <c r="A29" s="213"/>
      <c r="B29" s="242"/>
      <c r="C29" s="243"/>
      <c r="E29" s="245">
        <v>435935</v>
      </c>
      <c r="F29" s="242" t="s">
        <v>1429</v>
      </c>
      <c r="G29" s="246">
        <v>0.02</v>
      </c>
      <c r="H29" s="216">
        <f>E29*G29</f>
        <v>8718.7</v>
      </c>
      <c r="J29" s="217"/>
      <c r="K29" s="218"/>
    </row>
    <row r="30" spans="1:11" s="195" customFormat="1" ht="11.25" customHeight="1">
      <c r="A30" s="219"/>
      <c r="B30" s="194"/>
      <c r="C30" s="240" t="s">
        <v>11</v>
      </c>
      <c r="D30" s="195" t="s">
        <v>12</v>
      </c>
      <c r="E30" s="196"/>
      <c r="G30" s="240"/>
      <c r="H30" s="241"/>
      <c r="J30" s="226"/>
      <c r="K30" s="227"/>
    </row>
    <row r="31" spans="1:11" s="207" customFormat="1" ht="15.75" customHeight="1">
      <c r="A31" s="219"/>
      <c r="B31" s="206"/>
      <c r="C31" s="237"/>
      <c r="E31" s="208">
        <v>8175</v>
      </c>
      <c r="F31" s="206" t="s">
        <v>1429</v>
      </c>
      <c r="G31" s="239">
        <v>5.91</v>
      </c>
      <c r="H31" s="238">
        <f>E31*G31</f>
        <v>48314.25</v>
      </c>
      <c r="J31" s="226"/>
      <c r="K31" s="227"/>
    </row>
    <row r="32" spans="1:11" s="207" customFormat="1" ht="14.25">
      <c r="A32" s="219"/>
      <c r="B32" s="206"/>
      <c r="C32" s="237" t="s">
        <v>13</v>
      </c>
      <c r="D32" s="207" t="s">
        <v>14</v>
      </c>
      <c r="E32" s="208"/>
      <c r="F32" s="206"/>
      <c r="G32" s="237"/>
      <c r="H32" s="238"/>
      <c r="J32" s="226"/>
      <c r="K32" s="227"/>
    </row>
    <row r="33" spans="1:11" s="207" customFormat="1" ht="14.25" customHeight="1">
      <c r="A33" s="219"/>
      <c r="B33" s="206"/>
      <c r="C33" s="237"/>
      <c r="E33" s="208">
        <v>78011</v>
      </c>
      <c r="F33" s="206" t="s">
        <v>1429</v>
      </c>
      <c r="G33" s="239">
        <v>0.56</v>
      </c>
      <c r="H33" s="238">
        <f>E33*G33</f>
        <v>43686.16</v>
      </c>
      <c r="J33" s="226"/>
      <c r="K33" s="227"/>
    </row>
    <row r="34" spans="1:11" s="207" customFormat="1" ht="14.25">
      <c r="A34" s="219"/>
      <c r="B34" s="206"/>
      <c r="C34" s="237" t="s">
        <v>15</v>
      </c>
      <c r="D34" s="207" t="s">
        <v>16</v>
      </c>
      <c r="E34" s="208"/>
      <c r="F34" s="206"/>
      <c r="G34" s="237"/>
      <c r="H34" s="238"/>
      <c r="J34" s="226"/>
      <c r="K34" s="227"/>
    </row>
    <row r="35" spans="1:11" s="207" customFormat="1" ht="13.5" customHeight="1">
      <c r="A35" s="219"/>
      <c r="B35" s="206"/>
      <c r="C35" s="237"/>
      <c r="E35" s="208">
        <v>291617</v>
      </c>
      <c r="F35" s="206" t="s">
        <v>1429</v>
      </c>
      <c r="G35" s="239">
        <v>0.11</v>
      </c>
      <c r="H35" s="238">
        <f>E35*G35</f>
        <v>32077.87</v>
      </c>
      <c r="J35" s="226"/>
      <c r="K35" s="227"/>
    </row>
    <row r="36" spans="1:11" s="207" customFormat="1" ht="14.25">
      <c r="A36" s="219"/>
      <c r="B36" s="206"/>
      <c r="C36" s="237" t="s">
        <v>17</v>
      </c>
      <c r="D36" s="207" t="s">
        <v>18</v>
      </c>
      <c r="E36" s="208"/>
      <c r="F36" s="206"/>
      <c r="H36" s="238"/>
      <c r="J36" s="226"/>
      <c r="K36" s="227"/>
    </row>
    <row r="37" spans="1:11" s="207" customFormat="1" ht="14.25" customHeight="1">
      <c r="A37" s="219"/>
      <c r="B37" s="206"/>
      <c r="C37" s="237"/>
      <c r="E37" s="208">
        <v>188</v>
      </c>
      <c r="F37" s="206" t="s">
        <v>1429</v>
      </c>
      <c r="G37" s="239">
        <v>3.71</v>
      </c>
      <c r="H37" s="238">
        <f>E37*G37</f>
        <v>697.48</v>
      </c>
      <c r="J37" s="226"/>
      <c r="K37" s="227"/>
    </row>
    <row r="38" spans="1:11" s="207" customFormat="1" ht="11.25" customHeight="1">
      <c r="A38" s="219"/>
      <c r="B38" s="206"/>
      <c r="C38" s="237" t="s">
        <v>19</v>
      </c>
      <c r="D38" s="207" t="s">
        <v>20</v>
      </c>
      <c r="E38" s="208"/>
      <c r="F38" s="206"/>
      <c r="G38" s="237"/>
      <c r="H38" s="238"/>
      <c r="J38" s="226"/>
      <c r="K38" s="227"/>
    </row>
    <row r="39" spans="1:11" s="207" customFormat="1" ht="12.75" customHeight="1">
      <c r="A39" s="219"/>
      <c r="B39" s="206"/>
      <c r="C39" s="237"/>
      <c r="E39" s="208">
        <v>104</v>
      </c>
      <c r="F39" s="206" t="s">
        <v>1429</v>
      </c>
      <c r="G39" s="239">
        <v>2.99</v>
      </c>
      <c r="H39" s="238">
        <f>E39*G39</f>
        <v>310.96000000000004</v>
      </c>
      <c r="J39" s="226"/>
      <c r="K39" s="227"/>
    </row>
    <row r="40" spans="1:11" s="249" customFormat="1" ht="14.25" customHeight="1">
      <c r="A40" s="219"/>
      <c r="B40" s="247"/>
      <c r="C40" s="248"/>
      <c r="E40" s="250"/>
      <c r="H40" s="231" t="s">
        <v>21</v>
      </c>
      <c r="I40" s="251">
        <f>SUM(H25:H39)</f>
        <v>426215.93</v>
      </c>
      <c r="J40" s="226"/>
      <c r="K40" s="227"/>
    </row>
    <row r="41" spans="1:11" s="253" customFormat="1" ht="10.5" customHeight="1">
      <c r="A41" s="182"/>
      <c r="B41" s="252"/>
      <c r="E41" s="254"/>
      <c r="H41" s="255" t="s">
        <v>22</v>
      </c>
      <c r="I41" s="256">
        <f>I40+I21+I19</f>
        <v>469290.52999999997</v>
      </c>
      <c r="J41" s="185"/>
      <c r="K41" s="186"/>
    </row>
    <row r="42" spans="1:11" s="257" customFormat="1" ht="10.5" customHeight="1">
      <c r="A42" s="219"/>
      <c r="B42" s="247"/>
      <c r="D42" s="258" t="s">
        <v>0</v>
      </c>
      <c r="E42" s="258"/>
      <c r="F42" s="258"/>
      <c r="G42" s="258"/>
      <c r="H42" s="258"/>
      <c r="I42" s="259"/>
      <c r="J42" s="226"/>
      <c r="K42" s="227"/>
    </row>
    <row r="43" spans="1:11" s="253" customFormat="1" ht="11.25" customHeight="1">
      <c r="A43" s="182"/>
      <c r="B43" s="252"/>
      <c r="D43" s="161" t="s">
        <v>1</v>
      </c>
      <c r="E43" s="161"/>
      <c r="F43" s="260"/>
      <c r="G43" s="261">
        <v>0.1</v>
      </c>
      <c r="I43" s="212">
        <f>I41*G43</f>
        <v>46929.053</v>
      </c>
      <c r="J43" s="185"/>
      <c r="K43" s="186"/>
    </row>
    <row r="44" spans="1:11" s="260" customFormat="1" ht="15" customHeight="1" thickBot="1">
      <c r="A44" s="182"/>
      <c r="B44" s="262"/>
      <c r="D44" s="260" t="s">
        <v>23</v>
      </c>
      <c r="I44" s="212">
        <v>5000</v>
      </c>
      <c r="J44" s="185"/>
      <c r="K44" s="186"/>
    </row>
    <row r="45" spans="1:11" s="181" customFormat="1" ht="17.25" customHeight="1" thickBot="1" thickTop="1">
      <c r="A45" s="166">
        <v>2</v>
      </c>
      <c r="B45" s="179" t="s">
        <v>24</v>
      </c>
      <c r="C45" s="179"/>
      <c r="D45" s="180"/>
      <c r="E45" s="180"/>
      <c r="F45" s="180"/>
      <c r="G45" s="180"/>
      <c r="H45" s="263"/>
      <c r="I45" s="180"/>
      <c r="J45" s="177">
        <f>I50+I52</f>
        <v>35666.324529</v>
      </c>
      <c r="K45" s="178">
        <v>35670</v>
      </c>
    </row>
    <row r="46" spans="1:11" s="265" customFormat="1" ht="20.25" customHeight="1" thickTop="1">
      <c r="A46" s="219"/>
      <c r="B46" s="264" t="s">
        <v>25</v>
      </c>
      <c r="C46" s="264"/>
      <c r="D46" s="264"/>
      <c r="F46" s="266" t="s">
        <v>1426</v>
      </c>
      <c r="I46" s="267"/>
      <c r="J46" s="226"/>
      <c r="K46" s="227"/>
    </row>
    <row r="47" spans="1:11" s="202" customFormat="1" ht="12.75" customHeight="1">
      <c r="A47" s="182"/>
      <c r="B47" s="201" t="s">
        <v>26</v>
      </c>
      <c r="C47" s="201"/>
      <c r="D47" s="201"/>
      <c r="E47" s="203">
        <v>2360</v>
      </c>
      <c r="F47" s="200" t="s">
        <v>1429</v>
      </c>
      <c r="G47" s="204">
        <v>14.4485</v>
      </c>
      <c r="H47" s="233">
        <f>E47*G47</f>
        <v>34098.46</v>
      </c>
      <c r="J47" s="185"/>
      <c r="K47" s="186"/>
    </row>
    <row r="48" spans="1:11" s="202" customFormat="1" ht="12.75" customHeight="1">
      <c r="A48" s="182"/>
      <c r="B48" s="201" t="s">
        <v>27</v>
      </c>
      <c r="C48" s="201"/>
      <c r="D48" s="201"/>
      <c r="E48" s="203">
        <v>110.46</v>
      </c>
      <c r="F48" s="200" t="s">
        <v>1429</v>
      </c>
      <c r="G48" s="204">
        <v>28.897</v>
      </c>
      <c r="H48" s="233">
        <f>G48*E48</f>
        <v>3191.96262</v>
      </c>
      <c r="J48" s="185"/>
      <c r="K48" s="186"/>
    </row>
    <row r="49" spans="1:11" s="201" customFormat="1" ht="13.5" customHeight="1">
      <c r="A49" s="193"/>
      <c r="B49" s="198" t="s">
        <v>28</v>
      </c>
      <c r="C49" s="198"/>
      <c r="D49" s="198"/>
      <c r="E49" s="268"/>
      <c r="F49" s="269"/>
      <c r="G49" s="270"/>
      <c r="H49" s="271">
        <v>0.05</v>
      </c>
      <c r="I49" s="272">
        <f>(H47+H48)*H49</f>
        <v>1864.521131</v>
      </c>
      <c r="J49" s="185"/>
      <c r="K49" s="186"/>
    </row>
    <row r="50" spans="1:11" s="201" customFormat="1" ht="13.5" customHeight="1">
      <c r="A50" s="193"/>
      <c r="B50" s="198"/>
      <c r="C50" s="198"/>
      <c r="D50" s="198"/>
      <c r="E50" s="268"/>
      <c r="F50" s="269"/>
      <c r="G50" s="270"/>
      <c r="H50" s="273" t="s">
        <v>1431</v>
      </c>
      <c r="I50" s="210">
        <f>H47+H48-I49</f>
        <v>35425.901488999996</v>
      </c>
      <c r="J50" s="185"/>
      <c r="K50" s="186"/>
    </row>
    <row r="51" spans="1:11" s="198" customFormat="1" ht="20.25" customHeight="1">
      <c r="A51" s="193"/>
      <c r="B51" s="274" t="s">
        <v>29</v>
      </c>
      <c r="C51" s="274"/>
      <c r="D51" s="274"/>
      <c r="E51" s="275"/>
      <c r="F51" s="269"/>
      <c r="G51" s="270"/>
      <c r="H51" s="271"/>
      <c r="I51" s="210"/>
      <c r="J51" s="185"/>
      <c r="K51" s="186"/>
    </row>
    <row r="52" spans="1:11" s="161" customFormat="1" ht="20.25" customHeight="1">
      <c r="A52" s="276"/>
      <c r="B52" s="277"/>
      <c r="C52" s="277"/>
      <c r="D52" s="277"/>
      <c r="E52" s="278">
        <v>8.32</v>
      </c>
      <c r="F52" s="279" t="s">
        <v>1429</v>
      </c>
      <c r="G52" s="280">
        <v>28.897</v>
      </c>
      <c r="H52" s="280">
        <f>G52*E52</f>
        <v>240.42304</v>
      </c>
      <c r="I52" s="281">
        <f>H52</f>
        <v>240.42304</v>
      </c>
      <c r="J52" s="282"/>
      <c r="K52" s="283"/>
    </row>
    <row r="53" spans="1:11" s="189" customFormat="1" ht="24" customHeight="1" thickBot="1">
      <c r="A53" s="284">
        <v>3</v>
      </c>
      <c r="B53" s="285" t="s">
        <v>30</v>
      </c>
      <c r="C53" s="285"/>
      <c r="D53" s="286"/>
      <c r="E53" s="286"/>
      <c r="F53" s="286"/>
      <c r="G53" s="286"/>
      <c r="H53" s="287"/>
      <c r="I53" s="286"/>
      <c r="J53" s="288">
        <f>I55+I78</f>
        <v>31132087.738399997</v>
      </c>
      <c r="K53" s="289">
        <v>31132100</v>
      </c>
    </row>
    <row r="54" spans="1:11" s="181" customFormat="1" ht="17.25" customHeight="1" thickTop="1">
      <c r="A54" s="290"/>
      <c r="D54" s="291" t="s">
        <v>31</v>
      </c>
      <c r="E54" s="292" t="s">
        <v>32</v>
      </c>
      <c r="G54" s="293"/>
      <c r="H54" s="294"/>
      <c r="I54" s="293"/>
      <c r="J54" s="185"/>
      <c r="K54" s="186"/>
    </row>
    <row r="55" spans="1:11" s="189" customFormat="1" ht="24" customHeight="1">
      <c r="A55" s="182"/>
      <c r="B55" s="188" t="s">
        <v>1343</v>
      </c>
      <c r="C55" s="189" t="s">
        <v>1427</v>
      </c>
      <c r="D55" s="184"/>
      <c r="E55" s="190"/>
      <c r="I55" s="295">
        <f>I74-I76+I77</f>
        <v>24453009.0404</v>
      </c>
      <c r="J55" s="185"/>
      <c r="K55" s="186"/>
    </row>
    <row r="56" spans="1:11" s="202" customFormat="1" ht="12.75" customHeight="1">
      <c r="A56" s="182"/>
      <c r="B56" s="296">
        <v>1</v>
      </c>
      <c r="C56" s="201"/>
      <c r="D56" s="201" t="s">
        <v>6</v>
      </c>
      <c r="E56" s="203"/>
      <c r="F56" s="201"/>
      <c r="G56" s="201"/>
      <c r="H56" s="296"/>
      <c r="I56" s="233"/>
      <c r="J56" s="185"/>
      <c r="K56" s="186"/>
    </row>
    <row r="57" spans="1:11" s="202" customFormat="1" ht="12" customHeight="1">
      <c r="A57" s="182"/>
      <c r="B57" s="296"/>
      <c r="C57" s="201"/>
      <c r="D57" s="201"/>
      <c r="E57" s="203">
        <v>1416163</v>
      </c>
      <c r="F57" s="200" t="s">
        <v>1429</v>
      </c>
      <c r="G57" s="204">
        <v>0.43</v>
      </c>
      <c r="H57" s="233">
        <f>E57*G57</f>
        <v>608950.09</v>
      </c>
      <c r="J57" s="185"/>
      <c r="K57" s="186"/>
    </row>
    <row r="58" spans="1:11" s="202" customFormat="1" ht="12" customHeight="1">
      <c r="A58" s="182"/>
      <c r="B58" s="296">
        <v>2</v>
      </c>
      <c r="C58" s="296"/>
      <c r="D58" s="201" t="s">
        <v>33</v>
      </c>
      <c r="E58" s="203"/>
      <c r="F58" s="201"/>
      <c r="G58" s="201"/>
      <c r="H58" s="204"/>
      <c r="I58" s="233"/>
      <c r="J58" s="185"/>
      <c r="K58" s="186"/>
    </row>
    <row r="59" spans="1:11" s="202" customFormat="1" ht="12" customHeight="1">
      <c r="A59" s="182"/>
      <c r="B59" s="296"/>
      <c r="C59" s="296"/>
      <c r="D59" s="201"/>
      <c r="E59" s="203">
        <v>785337</v>
      </c>
      <c r="F59" s="200" t="s">
        <v>1429</v>
      </c>
      <c r="G59" s="204">
        <v>15.65</v>
      </c>
      <c r="H59" s="233">
        <f>E59*G59</f>
        <v>12290524.05</v>
      </c>
      <c r="J59" s="185"/>
      <c r="K59" s="186"/>
    </row>
    <row r="60" spans="1:11" s="202" customFormat="1" ht="12" customHeight="1">
      <c r="A60" s="182"/>
      <c r="B60" s="296">
        <v>3</v>
      </c>
      <c r="C60" s="201"/>
      <c r="D60" s="201" t="s">
        <v>12</v>
      </c>
      <c r="E60" s="203"/>
      <c r="F60" s="200"/>
      <c r="G60" s="233"/>
      <c r="H60" s="233"/>
      <c r="J60" s="185"/>
      <c r="K60" s="186"/>
    </row>
    <row r="61" spans="1:11" s="202" customFormat="1" ht="12" customHeight="1">
      <c r="A61" s="182"/>
      <c r="B61" s="296"/>
      <c r="C61" s="201"/>
      <c r="D61" s="201"/>
      <c r="E61" s="203">
        <v>377123</v>
      </c>
      <c r="F61" s="200" t="s">
        <v>1429</v>
      </c>
      <c r="G61" s="233">
        <v>5.91</v>
      </c>
      <c r="H61" s="233">
        <f>E61*G61</f>
        <v>2228796.93</v>
      </c>
      <c r="J61" s="185"/>
      <c r="K61" s="186"/>
    </row>
    <row r="62" spans="1:11" s="202" customFormat="1" ht="12" customHeight="1">
      <c r="A62" s="182"/>
      <c r="B62" s="296">
        <v>4</v>
      </c>
      <c r="C62" s="201"/>
      <c r="D62" s="201" t="s">
        <v>34</v>
      </c>
      <c r="E62" s="203"/>
      <c r="F62" s="200"/>
      <c r="G62" s="233"/>
      <c r="H62" s="233"/>
      <c r="J62" s="185"/>
      <c r="K62" s="186"/>
    </row>
    <row r="63" spans="1:11" s="202" customFormat="1" ht="13.5" customHeight="1">
      <c r="A63" s="182"/>
      <c r="B63" s="296"/>
      <c r="C63" s="201"/>
      <c r="D63" s="201"/>
      <c r="E63" s="203">
        <v>1642</v>
      </c>
      <c r="F63" s="200" t="s">
        <v>1429</v>
      </c>
      <c r="G63" s="233">
        <v>7.29</v>
      </c>
      <c r="H63" s="233">
        <f>E63*G63</f>
        <v>11970.18</v>
      </c>
      <c r="J63" s="185"/>
      <c r="K63" s="186"/>
    </row>
    <row r="64" spans="1:11" s="300" customFormat="1" ht="12" customHeight="1">
      <c r="A64" s="219"/>
      <c r="B64" s="237">
        <v>5</v>
      </c>
      <c r="C64" s="297"/>
      <c r="D64" s="297" t="s">
        <v>35</v>
      </c>
      <c r="E64" s="298"/>
      <c r="F64" s="297"/>
      <c r="G64" s="297"/>
      <c r="H64" s="299"/>
      <c r="I64" s="299"/>
      <c r="J64" s="226"/>
      <c r="K64" s="227"/>
    </row>
    <row r="65" spans="1:11" s="300" customFormat="1" ht="12" customHeight="1">
      <c r="A65" s="219"/>
      <c r="B65" s="237"/>
      <c r="C65" s="297"/>
      <c r="D65" s="297" t="s">
        <v>36</v>
      </c>
      <c r="E65" s="298"/>
      <c r="F65" s="297"/>
      <c r="G65" s="297"/>
      <c r="H65" s="299"/>
      <c r="I65" s="299"/>
      <c r="J65" s="226"/>
      <c r="K65" s="227"/>
    </row>
    <row r="66" spans="1:11" s="199" customFormat="1" ht="12.75" customHeight="1">
      <c r="A66" s="182"/>
      <c r="B66" s="211"/>
      <c r="C66" s="198"/>
      <c r="D66" s="198"/>
      <c r="E66" s="268">
        <v>50899</v>
      </c>
      <c r="F66" s="269" t="s">
        <v>1429</v>
      </c>
      <c r="G66" s="205">
        <v>3.71</v>
      </c>
      <c r="H66" s="205">
        <f>E66*G66</f>
        <v>188835.29</v>
      </c>
      <c r="J66" s="185"/>
      <c r="K66" s="186"/>
    </row>
    <row r="67" spans="1:11" s="202" customFormat="1" ht="12.75" customHeight="1">
      <c r="A67" s="182"/>
      <c r="B67" s="296">
        <v>6</v>
      </c>
      <c r="C67" s="201"/>
      <c r="D67" s="201" t="s">
        <v>10</v>
      </c>
      <c r="E67" s="203">
        <v>345050110</v>
      </c>
      <c r="F67" s="200" t="s">
        <v>1429</v>
      </c>
      <c r="G67" s="301">
        <v>0.02</v>
      </c>
      <c r="H67" s="233">
        <f>E67*G67</f>
        <v>6901002.2</v>
      </c>
      <c r="J67" s="185"/>
      <c r="K67" s="186"/>
    </row>
    <row r="68" spans="1:11" s="202" customFormat="1" ht="14.25" customHeight="1">
      <c r="A68" s="182"/>
      <c r="B68" s="296">
        <v>7</v>
      </c>
      <c r="C68" s="201"/>
      <c r="D68" s="201" t="s">
        <v>37</v>
      </c>
      <c r="E68" s="203"/>
      <c r="F68" s="200"/>
      <c r="G68" s="201"/>
      <c r="H68" s="233"/>
      <c r="J68" s="185"/>
      <c r="K68" s="186"/>
    </row>
    <row r="69" spans="1:11" s="199" customFormat="1" ht="12" customHeight="1">
      <c r="A69" s="182"/>
      <c r="B69" s="211"/>
      <c r="C69" s="198"/>
      <c r="D69" s="198"/>
      <c r="E69" s="268">
        <v>3813825</v>
      </c>
      <c r="F69" s="269" t="s">
        <v>1429</v>
      </c>
      <c r="G69" s="205">
        <v>0.56</v>
      </c>
      <c r="H69" s="302">
        <f>E69*G69</f>
        <v>2135742</v>
      </c>
      <c r="J69" s="185"/>
      <c r="K69" s="186"/>
    </row>
    <row r="70" spans="1:11" s="300" customFormat="1" ht="12" customHeight="1">
      <c r="A70" s="219"/>
      <c r="B70" s="237">
        <v>8</v>
      </c>
      <c r="C70" s="297"/>
      <c r="D70" s="297" t="s">
        <v>16</v>
      </c>
      <c r="E70" s="298"/>
      <c r="F70" s="206"/>
      <c r="G70" s="299"/>
      <c r="H70" s="299"/>
      <c r="J70" s="226"/>
      <c r="K70" s="227"/>
    </row>
    <row r="71" spans="1:11" s="199" customFormat="1" ht="12" customHeight="1">
      <c r="A71" s="182"/>
      <c r="B71" s="211"/>
      <c r="C71" s="198"/>
      <c r="D71" s="198"/>
      <c r="E71" s="268">
        <v>4853092</v>
      </c>
      <c r="F71" s="269" t="s">
        <v>1429</v>
      </c>
      <c r="G71" s="205">
        <v>0.11</v>
      </c>
      <c r="H71" s="205">
        <f>E71*G71</f>
        <v>533840.12</v>
      </c>
      <c r="J71" s="185"/>
      <c r="K71" s="186"/>
    </row>
    <row r="72" spans="1:11" s="202" customFormat="1" ht="12" customHeight="1">
      <c r="A72" s="182"/>
      <c r="B72" s="296">
        <v>9</v>
      </c>
      <c r="C72" s="201"/>
      <c r="D72" s="201" t="s">
        <v>38</v>
      </c>
      <c r="E72" s="203"/>
      <c r="F72" s="200"/>
      <c r="G72" s="233"/>
      <c r="H72" s="233"/>
      <c r="J72" s="185"/>
      <c r="K72" s="186"/>
    </row>
    <row r="73" spans="1:11" s="202" customFormat="1" ht="12" customHeight="1">
      <c r="A73" s="182"/>
      <c r="B73" s="296"/>
      <c r="C73" s="201"/>
      <c r="D73" s="201"/>
      <c r="E73" s="303">
        <v>99.56</v>
      </c>
      <c r="F73" s="200" t="s">
        <v>1429</v>
      </c>
      <c r="G73" s="233">
        <v>3.5</v>
      </c>
      <c r="H73" s="233">
        <f>E73*G73</f>
        <v>348.46000000000004</v>
      </c>
      <c r="J73" s="185"/>
      <c r="K73" s="186"/>
    </row>
    <row r="74" spans="1:11" s="305" customFormat="1" ht="21" customHeight="1">
      <c r="A74" s="219"/>
      <c r="B74" s="304"/>
      <c r="F74" s="224"/>
      <c r="H74" s="306" t="s">
        <v>1431</v>
      </c>
      <c r="I74" s="307">
        <f>SUM(H57:H73)</f>
        <v>24900009.32</v>
      </c>
      <c r="J74" s="226"/>
      <c r="K74" s="227"/>
    </row>
    <row r="75" spans="1:11" s="257" customFormat="1" ht="12" customHeight="1">
      <c r="A75" s="219"/>
      <c r="B75" s="247"/>
      <c r="D75" s="258" t="s">
        <v>0</v>
      </c>
      <c r="E75" s="258"/>
      <c r="F75" s="258"/>
      <c r="G75" s="258"/>
      <c r="H75" s="258"/>
      <c r="I75" s="259"/>
      <c r="J75" s="226"/>
      <c r="K75" s="227"/>
    </row>
    <row r="76" spans="1:11" s="253" customFormat="1" ht="20.25" customHeight="1">
      <c r="A76" s="182"/>
      <c r="B76" s="252"/>
      <c r="D76" s="201" t="s">
        <v>1</v>
      </c>
      <c r="E76" s="161"/>
      <c r="F76" s="260"/>
      <c r="G76" s="261">
        <v>0.03</v>
      </c>
      <c r="I76" s="212">
        <f>G76*I74</f>
        <v>747000.2796</v>
      </c>
      <c r="J76" s="185"/>
      <c r="K76" s="186"/>
    </row>
    <row r="77" spans="1:11" s="309" customFormat="1" ht="22.5" customHeight="1">
      <c r="A77" s="213"/>
      <c r="B77" s="308"/>
      <c r="D77" s="309" t="s">
        <v>23</v>
      </c>
      <c r="I77" s="310">
        <v>300000</v>
      </c>
      <c r="J77" s="217"/>
      <c r="K77" s="218"/>
    </row>
    <row r="78" spans="1:11" s="221" customFormat="1" ht="27.75" customHeight="1">
      <c r="A78" s="219"/>
      <c r="B78" s="220" t="s">
        <v>1350</v>
      </c>
      <c r="C78" s="221" t="s">
        <v>2</v>
      </c>
      <c r="E78" s="222"/>
      <c r="F78" s="311"/>
      <c r="G78" s="312"/>
      <c r="H78" s="222"/>
      <c r="I78" s="313">
        <f>I96+I99-I98</f>
        <v>6679078.697999999</v>
      </c>
      <c r="J78" s="226"/>
      <c r="K78" s="227"/>
    </row>
    <row r="79" spans="1:11" s="189" customFormat="1" ht="12" customHeight="1">
      <c r="A79" s="182"/>
      <c r="B79" s="314"/>
      <c r="F79" s="315" t="s">
        <v>31</v>
      </c>
      <c r="G79" s="316" t="s">
        <v>32</v>
      </c>
      <c r="I79" s="295"/>
      <c r="J79" s="185"/>
      <c r="K79" s="186"/>
    </row>
    <row r="80" spans="1:11" s="202" customFormat="1" ht="13.5" customHeight="1">
      <c r="A80" s="182"/>
      <c r="B80" s="296">
        <v>1</v>
      </c>
      <c r="C80" s="201"/>
      <c r="D80" s="201" t="s">
        <v>6</v>
      </c>
      <c r="E80" s="203"/>
      <c r="F80" s="201"/>
      <c r="G80" s="201"/>
      <c r="H80" s="296"/>
      <c r="I80" s="233"/>
      <c r="J80" s="185"/>
      <c r="K80" s="186"/>
    </row>
    <row r="81" spans="1:11" s="202" customFormat="1" ht="11.25" customHeight="1">
      <c r="A81" s="182"/>
      <c r="B81" s="296"/>
      <c r="C81" s="201"/>
      <c r="D81" s="201"/>
      <c r="E81" s="203">
        <v>1039993</v>
      </c>
      <c r="F81" s="200" t="s">
        <v>1429</v>
      </c>
      <c r="G81" s="204">
        <v>0.43</v>
      </c>
      <c r="H81" s="233">
        <f>E81*G81</f>
        <v>447196.99</v>
      </c>
      <c r="J81" s="185"/>
      <c r="K81" s="186"/>
    </row>
    <row r="82" spans="1:11" s="202" customFormat="1" ht="10.5" customHeight="1">
      <c r="A82" s="182"/>
      <c r="B82" s="296">
        <v>2</v>
      </c>
      <c r="C82" s="296"/>
      <c r="D82" s="201" t="s">
        <v>33</v>
      </c>
      <c r="E82" s="203"/>
      <c r="F82" s="200"/>
      <c r="G82" s="201"/>
      <c r="H82" s="204"/>
      <c r="I82" s="233"/>
      <c r="J82" s="185"/>
      <c r="K82" s="186"/>
    </row>
    <row r="83" spans="1:11" s="202" customFormat="1" ht="12" customHeight="1">
      <c r="A83" s="182"/>
      <c r="B83" s="296"/>
      <c r="C83" s="296"/>
      <c r="D83" s="201"/>
      <c r="E83" s="203">
        <v>286752</v>
      </c>
      <c r="F83" s="200" t="s">
        <v>1429</v>
      </c>
      <c r="G83" s="204">
        <v>15.65</v>
      </c>
      <c r="H83" s="233">
        <f>E83*G83</f>
        <v>4487668.8</v>
      </c>
      <c r="J83" s="185"/>
      <c r="K83" s="186"/>
    </row>
    <row r="84" spans="1:11" s="202" customFormat="1" ht="12" customHeight="1">
      <c r="A84" s="182"/>
      <c r="B84" s="296">
        <v>3</v>
      </c>
      <c r="C84" s="201"/>
      <c r="D84" s="201" t="s">
        <v>12</v>
      </c>
      <c r="E84" s="203"/>
      <c r="F84" s="200"/>
      <c r="G84" s="201"/>
      <c r="H84" s="233"/>
      <c r="I84" s="233"/>
      <c r="J84" s="185"/>
      <c r="K84" s="186"/>
    </row>
    <row r="85" spans="1:11" s="202" customFormat="1" ht="11.25" customHeight="1">
      <c r="A85" s="182"/>
      <c r="B85" s="296"/>
      <c r="C85" s="201"/>
      <c r="D85" s="201"/>
      <c r="E85" s="203">
        <v>103166</v>
      </c>
      <c r="F85" s="200" t="s">
        <v>1429</v>
      </c>
      <c r="G85" s="233">
        <v>5.91</v>
      </c>
      <c r="H85" s="233">
        <f>E85*G85</f>
        <v>609711.06</v>
      </c>
      <c r="J85" s="185"/>
      <c r="K85" s="186"/>
    </row>
    <row r="86" spans="1:11" s="202" customFormat="1" ht="9" customHeight="1">
      <c r="A86" s="182"/>
      <c r="B86" s="296">
        <v>4</v>
      </c>
      <c r="C86" s="201"/>
      <c r="D86" s="201" t="s">
        <v>34</v>
      </c>
      <c r="E86" s="203"/>
      <c r="F86" s="200"/>
      <c r="G86" s="201"/>
      <c r="H86" s="233"/>
      <c r="I86" s="233"/>
      <c r="J86" s="185"/>
      <c r="K86" s="186"/>
    </row>
    <row r="87" spans="1:11" s="202" customFormat="1" ht="13.5" customHeight="1">
      <c r="A87" s="182"/>
      <c r="B87" s="296"/>
      <c r="C87" s="201"/>
      <c r="D87" s="201"/>
      <c r="E87" s="203">
        <v>563</v>
      </c>
      <c r="F87" s="200" t="s">
        <v>1429</v>
      </c>
      <c r="G87" s="233">
        <v>7.29</v>
      </c>
      <c r="H87" s="233">
        <f>E87*G87</f>
        <v>4104.27</v>
      </c>
      <c r="J87" s="185"/>
      <c r="K87" s="186"/>
    </row>
    <row r="88" spans="1:11" s="300" customFormat="1" ht="20.25" customHeight="1">
      <c r="A88" s="219"/>
      <c r="B88" s="237">
        <v>5</v>
      </c>
      <c r="C88" s="297"/>
      <c r="D88" s="297" t="s">
        <v>35</v>
      </c>
      <c r="E88" s="298"/>
      <c r="F88" s="206"/>
      <c r="G88" s="297"/>
      <c r="H88" s="299"/>
      <c r="I88" s="299"/>
      <c r="J88" s="226"/>
      <c r="K88" s="227"/>
    </row>
    <row r="89" spans="1:11" s="300" customFormat="1" ht="12" customHeight="1">
      <c r="A89" s="219"/>
      <c r="B89" s="237"/>
      <c r="C89" s="297"/>
      <c r="D89" s="297" t="s">
        <v>36</v>
      </c>
      <c r="E89" s="298"/>
      <c r="F89" s="206"/>
      <c r="G89" s="297"/>
      <c r="H89" s="299"/>
      <c r="I89" s="299"/>
      <c r="J89" s="226"/>
      <c r="K89" s="227"/>
    </row>
    <row r="90" spans="1:11" s="199" customFormat="1" ht="13.5" customHeight="1">
      <c r="A90" s="182"/>
      <c r="B90" s="211"/>
      <c r="C90" s="198"/>
      <c r="D90" s="198"/>
      <c r="E90" s="268">
        <v>9026</v>
      </c>
      <c r="F90" s="269" t="s">
        <v>1429</v>
      </c>
      <c r="G90" s="205">
        <v>3.71</v>
      </c>
      <c r="H90" s="205">
        <f>E90*G90</f>
        <v>33486.46</v>
      </c>
      <c r="J90" s="185"/>
      <c r="K90" s="186"/>
    </row>
    <row r="91" spans="1:11" s="202" customFormat="1" ht="15.75" customHeight="1">
      <c r="A91" s="182"/>
      <c r="B91" s="296">
        <v>6</v>
      </c>
      <c r="C91" s="201"/>
      <c r="D91" s="201" t="s">
        <v>10</v>
      </c>
      <c r="E91" s="203">
        <v>12200171</v>
      </c>
      <c r="F91" s="200" t="s">
        <v>1429</v>
      </c>
      <c r="G91" s="301">
        <v>0.02</v>
      </c>
      <c r="H91" s="233">
        <f>E91*G91</f>
        <v>244003.42</v>
      </c>
      <c r="J91" s="185"/>
      <c r="K91" s="186"/>
    </row>
    <row r="92" spans="1:11" s="202" customFormat="1" ht="18" customHeight="1">
      <c r="A92" s="182"/>
      <c r="B92" s="296">
        <v>7</v>
      </c>
      <c r="C92" s="201"/>
      <c r="D92" s="201" t="s">
        <v>37</v>
      </c>
      <c r="E92" s="203"/>
      <c r="F92" s="200"/>
      <c r="G92" s="201"/>
      <c r="H92" s="233"/>
      <c r="I92" s="233"/>
      <c r="J92" s="185"/>
      <c r="K92" s="186"/>
    </row>
    <row r="93" spans="1:11" s="199" customFormat="1" ht="12" customHeight="1">
      <c r="A93" s="182"/>
      <c r="B93" s="211"/>
      <c r="C93" s="198"/>
      <c r="D93" s="198"/>
      <c r="E93" s="268">
        <v>1076902</v>
      </c>
      <c r="F93" s="269" t="s">
        <v>1429</v>
      </c>
      <c r="G93" s="205">
        <v>0.56</v>
      </c>
      <c r="H93" s="302">
        <f>E93*G93</f>
        <v>603065.1200000001</v>
      </c>
      <c r="J93" s="185"/>
      <c r="K93" s="186"/>
    </row>
    <row r="94" spans="1:11" s="300" customFormat="1" ht="12" customHeight="1">
      <c r="A94" s="219"/>
      <c r="B94" s="237">
        <v>8</v>
      </c>
      <c r="C94" s="297"/>
      <c r="D94" s="297" t="s">
        <v>16</v>
      </c>
      <c r="E94" s="298"/>
      <c r="F94" s="206"/>
      <c r="G94" s="297"/>
      <c r="H94" s="299"/>
      <c r="I94" s="299"/>
      <c r="J94" s="226"/>
      <c r="K94" s="227"/>
    </row>
    <row r="95" spans="1:11" s="199" customFormat="1" ht="12" customHeight="1">
      <c r="A95" s="182"/>
      <c r="B95" s="211"/>
      <c r="C95" s="198"/>
      <c r="D95" s="198"/>
      <c r="E95" s="268">
        <v>3553152</v>
      </c>
      <c r="F95" s="269" t="s">
        <v>1429</v>
      </c>
      <c r="G95" s="205">
        <v>0.11</v>
      </c>
      <c r="H95" s="205">
        <f>E95*G95</f>
        <v>390846.72000000003</v>
      </c>
      <c r="J95" s="185"/>
      <c r="K95" s="186"/>
    </row>
    <row r="96" spans="1:11" s="305" customFormat="1" ht="18" customHeight="1">
      <c r="A96" s="219"/>
      <c r="B96" s="304"/>
      <c r="F96" s="224"/>
      <c r="H96" s="306" t="s">
        <v>1431</v>
      </c>
      <c r="I96" s="307">
        <f>SUM(H80:H95)</f>
        <v>6820082.839999999</v>
      </c>
      <c r="J96" s="226"/>
      <c r="K96" s="227"/>
    </row>
    <row r="97" spans="1:11" s="257" customFormat="1" ht="19.5" customHeight="1">
      <c r="A97" s="219"/>
      <c r="B97" s="247"/>
      <c r="D97" s="258" t="s">
        <v>0</v>
      </c>
      <c r="E97" s="258"/>
      <c r="F97" s="258"/>
      <c r="G97" s="258"/>
      <c r="H97" s="258"/>
      <c r="I97" s="259"/>
      <c r="J97" s="226"/>
      <c r="K97" s="227"/>
    </row>
    <row r="98" spans="1:11" s="253" customFormat="1" ht="23.25" customHeight="1">
      <c r="A98" s="182"/>
      <c r="B98" s="252"/>
      <c r="D98" s="201" t="s">
        <v>1</v>
      </c>
      <c r="E98" s="161"/>
      <c r="F98" s="260"/>
      <c r="G98" s="261">
        <v>0.05</v>
      </c>
      <c r="I98" s="212">
        <f>G98*I96</f>
        <v>341004.142</v>
      </c>
      <c r="J98" s="185"/>
      <c r="K98" s="186"/>
    </row>
    <row r="99" spans="1:11" s="309" customFormat="1" ht="27" customHeight="1">
      <c r="A99" s="317"/>
      <c r="B99" s="318"/>
      <c r="C99" s="319"/>
      <c r="D99" s="319" t="s">
        <v>23</v>
      </c>
      <c r="E99" s="319"/>
      <c r="F99" s="319"/>
      <c r="G99" s="319"/>
      <c r="H99" s="319"/>
      <c r="I99" s="281">
        <v>200000</v>
      </c>
      <c r="J99" s="282"/>
      <c r="K99" s="283"/>
    </row>
    <row r="100" spans="1:11" s="189" customFormat="1" ht="21.75" customHeight="1" thickBot="1">
      <c r="A100" s="284">
        <v>4</v>
      </c>
      <c r="B100" s="2094" t="s">
        <v>1330</v>
      </c>
      <c r="C100" s="2095"/>
      <c r="D100" s="2095"/>
      <c r="E100" s="2095"/>
      <c r="F100" s="2095"/>
      <c r="G100" s="2095"/>
      <c r="H100" s="2095"/>
      <c r="I100" s="2096"/>
      <c r="J100" s="288"/>
      <c r="K100" s="289">
        <f>SUM(H105:H106)</f>
        <v>1540000</v>
      </c>
    </row>
    <row r="101" spans="1:11" s="265" customFormat="1" ht="12" customHeight="1" thickTop="1">
      <c r="A101" s="320"/>
      <c r="B101" s="321"/>
      <c r="C101" s="322" t="s">
        <v>39</v>
      </c>
      <c r="E101" s="323"/>
      <c r="H101" s="324"/>
      <c r="I101" s="324"/>
      <c r="J101" s="226"/>
      <c r="K101" s="227"/>
    </row>
    <row r="102" spans="1:11" s="207" customFormat="1" ht="14.25" customHeight="1">
      <c r="A102" s="219"/>
      <c r="B102" s="206"/>
      <c r="D102" s="207" t="s">
        <v>40</v>
      </c>
      <c r="E102" s="208"/>
      <c r="H102" s="238"/>
      <c r="I102" s="238"/>
      <c r="J102" s="226"/>
      <c r="K102" s="227"/>
    </row>
    <row r="103" spans="1:11" s="207" customFormat="1" ht="14.25">
      <c r="A103" s="219"/>
      <c r="B103" s="206"/>
      <c r="D103" s="207" t="s">
        <v>41</v>
      </c>
      <c r="E103" s="208"/>
      <c r="H103" s="238"/>
      <c r="I103" s="238"/>
      <c r="J103" s="226"/>
      <c r="K103" s="227"/>
    </row>
    <row r="104" spans="1:11" s="207" customFormat="1" ht="14.25">
      <c r="A104" s="219"/>
      <c r="B104" s="206"/>
      <c r="D104" s="207" t="s">
        <v>42</v>
      </c>
      <c r="E104" s="208"/>
      <c r="H104" s="238"/>
      <c r="I104" s="251"/>
      <c r="J104" s="226"/>
      <c r="K104" s="227"/>
    </row>
    <row r="105" spans="1:11" s="325" customFormat="1" ht="18.75" customHeight="1">
      <c r="A105" s="219"/>
      <c r="D105" s="326" t="s">
        <v>5</v>
      </c>
      <c r="E105" s="327" t="s">
        <v>1427</v>
      </c>
      <c r="F105" s="328"/>
      <c r="G105" s="329"/>
      <c r="H105" s="330">
        <v>930000</v>
      </c>
      <c r="J105" s="226"/>
      <c r="K105" s="227"/>
    </row>
    <row r="106" spans="1:11" s="331" customFormat="1" ht="21" customHeight="1" thickBot="1">
      <c r="A106" s="213"/>
      <c r="D106" s="332" t="s">
        <v>7</v>
      </c>
      <c r="E106" s="333" t="s">
        <v>2</v>
      </c>
      <c r="F106" s="333"/>
      <c r="G106" s="334"/>
      <c r="H106" s="335">
        <v>610000</v>
      </c>
      <c r="J106" s="217"/>
      <c r="K106" s="218"/>
    </row>
    <row r="107" spans="1:11" s="181" customFormat="1" ht="20.25" customHeight="1" thickBot="1" thickTop="1">
      <c r="A107" s="166">
        <v>5</v>
      </c>
      <c r="B107" s="336" t="s">
        <v>43</v>
      </c>
      <c r="C107" s="337"/>
      <c r="D107" s="337"/>
      <c r="E107" s="338"/>
      <c r="F107" s="337"/>
      <c r="G107" s="337"/>
      <c r="H107" s="339"/>
      <c r="I107" s="339"/>
      <c r="J107" s="177"/>
      <c r="K107" s="178">
        <f>I109</f>
        <v>120000</v>
      </c>
    </row>
    <row r="108" spans="1:11" s="340" customFormat="1" ht="16.5" customHeight="1" thickTop="1">
      <c r="A108" s="219"/>
      <c r="B108" s="194"/>
      <c r="D108" s="297" t="s">
        <v>44</v>
      </c>
      <c r="E108" s="297"/>
      <c r="I108" s="341"/>
      <c r="J108" s="226"/>
      <c r="K108" s="227"/>
    </row>
    <row r="109" spans="1:11" s="244" customFormat="1" ht="16.5" customHeight="1" thickBot="1">
      <c r="A109" s="213"/>
      <c r="B109" s="242"/>
      <c r="D109" s="161" t="s">
        <v>45</v>
      </c>
      <c r="E109" s="161"/>
      <c r="I109" s="342">
        <v>120000</v>
      </c>
      <c r="J109" s="217"/>
      <c r="K109" s="218"/>
    </row>
    <row r="110" spans="1:11" s="181" customFormat="1" ht="17.25" customHeight="1" thickBot="1" thickTop="1">
      <c r="A110" s="166">
        <v>6</v>
      </c>
      <c r="B110" s="179" t="s">
        <v>1331</v>
      </c>
      <c r="C110" s="179"/>
      <c r="D110" s="179"/>
      <c r="E110" s="180"/>
      <c r="F110" s="179"/>
      <c r="G110" s="179"/>
      <c r="H110" s="179"/>
      <c r="I110" s="179"/>
      <c r="J110" s="177"/>
      <c r="K110" s="178">
        <f>SUM(H111:H112)</f>
        <v>720000</v>
      </c>
    </row>
    <row r="111" spans="1:11" s="297" customFormat="1" ht="20.25" customHeight="1" thickTop="1">
      <c r="A111" s="219"/>
      <c r="C111" s="340"/>
      <c r="D111" s="326" t="s">
        <v>5</v>
      </c>
      <c r="E111" s="327" t="s">
        <v>1427</v>
      </c>
      <c r="F111" s="157"/>
      <c r="G111" s="343"/>
      <c r="H111" s="330">
        <v>520000</v>
      </c>
      <c r="J111" s="226"/>
      <c r="K111" s="227"/>
    </row>
    <row r="112" spans="1:11" s="161" customFormat="1" ht="17.25" customHeight="1" thickBot="1">
      <c r="A112" s="213"/>
      <c r="C112" s="244"/>
      <c r="D112" s="332" t="s">
        <v>7</v>
      </c>
      <c r="E112" s="333" t="s">
        <v>2</v>
      </c>
      <c r="F112" s="344"/>
      <c r="G112" s="345"/>
      <c r="H112" s="335">
        <v>200000</v>
      </c>
      <c r="J112" s="217"/>
      <c r="K112" s="218"/>
    </row>
    <row r="113" spans="1:11" s="172" customFormat="1" ht="25.5" customHeight="1" thickBot="1" thickTop="1">
      <c r="A113" s="166" t="s">
        <v>1389</v>
      </c>
      <c r="B113" s="346" t="s">
        <v>46</v>
      </c>
      <c r="C113" s="346"/>
      <c r="D113" s="346"/>
      <c r="E113" s="346"/>
      <c r="F113" s="346"/>
      <c r="G113" s="346"/>
      <c r="H113" s="346"/>
      <c r="I113" s="347"/>
      <c r="J113" s="177"/>
      <c r="K113" s="178">
        <f>SUM(K114:K118)</f>
        <v>3720000</v>
      </c>
    </row>
    <row r="114" spans="1:11" s="181" customFormat="1" ht="22.5" customHeight="1" thickBot="1" thickTop="1">
      <c r="A114" s="166">
        <v>1</v>
      </c>
      <c r="B114" s="179" t="s">
        <v>47</v>
      </c>
      <c r="C114" s="179"/>
      <c r="D114" s="179"/>
      <c r="E114" s="180"/>
      <c r="F114" s="179"/>
      <c r="G114" s="179"/>
      <c r="H114" s="179"/>
      <c r="I114" s="179"/>
      <c r="J114" s="177"/>
      <c r="K114" s="178">
        <v>620000</v>
      </c>
    </row>
    <row r="115" spans="1:11" s="201" customFormat="1" ht="24" customHeight="1" thickBot="1" thickTop="1">
      <c r="A115" s="182"/>
      <c r="B115" s="200"/>
      <c r="D115" s="201" t="s">
        <v>48</v>
      </c>
      <c r="H115" s="301"/>
      <c r="I115" s="232"/>
      <c r="J115" s="185"/>
      <c r="K115" s="186"/>
    </row>
    <row r="116" spans="1:11" s="181" customFormat="1" ht="21.75" customHeight="1" thickBot="1" thickTop="1">
      <c r="A116" s="166">
        <v>2</v>
      </c>
      <c r="B116" s="179" t="s">
        <v>1337</v>
      </c>
      <c r="C116" s="179"/>
      <c r="D116" s="179"/>
      <c r="E116" s="180"/>
      <c r="F116" s="179"/>
      <c r="G116" s="179"/>
      <c r="H116" s="179"/>
      <c r="I116" s="263"/>
      <c r="J116" s="177"/>
      <c r="K116" s="178">
        <v>350000</v>
      </c>
    </row>
    <row r="117" spans="1:11" s="201" customFormat="1" ht="20.25" customHeight="1" thickBot="1" thickTop="1">
      <c r="A117" s="182"/>
      <c r="B117" s="200"/>
      <c r="D117" s="201" t="s">
        <v>49</v>
      </c>
      <c r="H117" s="301"/>
      <c r="I117" s="232"/>
      <c r="J117" s="185"/>
      <c r="K117" s="186"/>
    </row>
    <row r="118" spans="1:11" s="181" customFormat="1" ht="18.75" customHeight="1" thickBot="1" thickTop="1">
      <c r="A118" s="166">
        <v>3</v>
      </c>
      <c r="B118" s="179" t="s">
        <v>50</v>
      </c>
      <c r="C118" s="179"/>
      <c r="D118" s="179"/>
      <c r="E118" s="180"/>
      <c r="F118" s="179"/>
      <c r="G118" s="179"/>
      <c r="H118" s="179"/>
      <c r="I118" s="263"/>
      <c r="J118" s="177"/>
      <c r="K118" s="178">
        <f>SUM(H119:H120)</f>
        <v>2750000</v>
      </c>
    </row>
    <row r="119" spans="1:11" s="207" customFormat="1" ht="21" customHeight="1" thickTop="1">
      <c r="A119" s="219"/>
      <c r="D119" s="326" t="s">
        <v>5</v>
      </c>
      <c r="E119" s="327" t="s">
        <v>1427</v>
      </c>
      <c r="F119" s="257"/>
      <c r="G119" s="297"/>
      <c r="H119" s="239">
        <v>250000</v>
      </c>
      <c r="I119" s="297"/>
      <c r="J119" s="226"/>
      <c r="K119" s="227"/>
    </row>
    <row r="120" spans="1:11" s="161" customFormat="1" ht="21" customHeight="1" thickBot="1">
      <c r="A120" s="213"/>
      <c r="D120" s="332" t="s">
        <v>7</v>
      </c>
      <c r="E120" s="333" t="s">
        <v>2</v>
      </c>
      <c r="F120" s="331"/>
      <c r="H120" s="348">
        <v>2500000</v>
      </c>
      <c r="I120" s="244"/>
      <c r="J120" s="217"/>
      <c r="K120" s="218"/>
    </row>
    <row r="121" spans="1:11" s="349" customFormat="1" ht="21" customHeight="1" thickBot="1" thickTop="1">
      <c r="A121" s="166" t="s">
        <v>1395</v>
      </c>
      <c r="B121" s="2091" t="s">
        <v>1341</v>
      </c>
      <c r="C121" s="2092"/>
      <c r="D121" s="2092"/>
      <c r="E121" s="2092"/>
      <c r="F121" s="2092"/>
      <c r="G121" s="2092"/>
      <c r="H121" s="2092"/>
      <c r="I121" s="2093"/>
      <c r="J121" s="177"/>
      <c r="K121" s="178">
        <f>SUM(K122:K148)</f>
        <v>15887000</v>
      </c>
    </row>
    <row r="122" spans="1:11" s="355" customFormat="1" ht="19.5" customHeight="1" thickTop="1">
      <c r="A122" s="350">
        <v>1</v>
      </c>
      <c r="B122" s="351" t="s">
        <v>51</v>
      </c>
      <c r="C122" s="351"/>
      <c r="D122" s="351"/>
      <c r="E122" s="352"/>
      <c r="F122" s="351"/>
      <c r="G122" s="351"/>
      <c r="H122" s="351"/>
      <c r="I122" s="351"/>
      <c r="J122" s="353"/>
      <c r="K122" s="354">
        <f>SUM(I124:I131)</f>
        <v>4677000</v>
      </c>
    </row>
    <row r="123" spans="1:11" s="195" customFormat="1" ht="16.5" customHeight="1">
      <c r="A123" s="356"/>
      <c r="B123" s="240" t="s">
        <v>5</v>
      </c>
      <c r="C123" s="195" t="s">
        <v>52</v>
      </c>
      <c r="I123" s="357"/>
      <c r="J123" s="226"/>
      <c r="K123" s="227"/>
    </row>
    <row r="124" spans="1:11" s="207" customFormat="1" ht="15" customHeight="1">
      <c r="A124" s="356"/>
      <c r="B124" s="237"/>
      <c r="C124" s="207" t="s">
        <v>53</v>
      </c>
      <c r="I124" s="358">
        <v>1000000</v>
      </c>
      <c r="J124" s="226"/>
      <c r="K124" s="227"/>
    </row>
    <row r="125" spans="1:11" s="198" customFormat="1" ht="16.5" customHeight="1">
      <c r="A125" s="193"/>
      <c r="B125" s="211" t="s">
        <v>7</v>
      </c>
      <c r="C125" s="198" t="s">
        <v>54</v>
      </c>
      <c r="I125" s="359">
        <v>3000000</v>
      </c>
      <c r="J125" s="185"/>
      <c r="K125" s="186"/>
    </row>
    <row r="126" spans="1:11" s="195" customFormat="1" ht="14.25" customHeight="1">
      <c r="A126" s="356"/>
      <c r="B126" s="240" t="s">
        <v>9</v>
      </c>
      <c r="C126" s="195" t="s">
        <v>55</v>
      </c>
      <c r="I126" s="360">
        <f>SUM(E127:E130)</f>
        <v>377000</v>
      </c>
      <c r="J126" s="226"/>
      <c r="K126" s="227"/>
    </row>
    <row r="127" spans="1:11" s="207" customFormat="1" ht="15" customHeight="1">
      <c r="A127" s="356"/>
      <c r="B127" s="237"/>
      <c r="C127" s="361" t="s">
        <v>56</v>
      </c>
      <c r="D127" s="361" t="s">
        <v>57</v>
      </c>
      <c r="E127" s="362">
        <v>122000</v>
      </c>
      <c r="I127" s="229"/>
      <c r="J127" s="226"/>
      <c r="K127" s="227"/>
    </row>
    <row r="128" spans="1:11" s="207" customFormat="1" ht="15">
      <c r="A128" s="356"/>
      <c r="B128" s="237"/>
      <c r="C128" s="361" t="s">
        <v>58</v>
      </c>
      <c r="D128" s="361" t="s">
        <v>59</v>
      </c>
      <c r="E128" s="362">
        <v>100000</v>
      </c>
      <c r="J128" s="226"/>
      <c r="K128" s="227"/>
    </row>
    <row r="129" spans="1:11" s="207" customFormat="1" ht="15">
      <c r="A129" s="356"/>
      <c r="B129" s="237"/>
      <c r="C129" s="361" t="s">
        <v>60</v>
      </c>
      <c r="D129" s="361" t="s">
        <v>61</v>
      </c>
      <c r="E129" s="362">
        <v>98000</v>
      </c>
      <c r="J129" s="226"/>
      <c r="K129" s="227"/>
    </row>
    <row r="130" spans="1:11" s="207" customFormat="1" ht="15">
      <c r="A130" s="356"/>
      <c r="B130" s="237"/>
      <c r="C130" s="361" t="s">
        <v>62</v>
      </c>
      <c r="D130" s="361" t="s">
        <v>63</v>
      </c>
      <c r="E130" s="362">
        <v>57000</v>
      </c>
      <c r="J130" s="226"/>
      <c r="K130" s="227"/>
    </row>
    <row r="131" spans="1:11" s="201" customFormat="1" ht="20.25" customHeight="1">
      <c r="A131" s="193"/>
      <c r="B131" s="211" t="s">
        <v>11</v>
      </c>
      <c r="C131" s="198" t="s">
        <v>23</v>
      </c>
      <c r="D131" s="198"/>
      <c r="E131" s="198"/>
      <c r="F131" s="198"/>
      <c r="G131" s="198"/>
      <c r="H131" s="210"/>
      <c r="I131" s="210">
        <v>300000</v>
      </c>
      <c r="J131" s="185"/>
      <c r="K131" s="186"/>
    </row>
    <row r="132" spans="1:11" s="189" customFormat="1" ht="21" customHeight="1">
      <c r="A132" s="193">
        <v>2</v>
      </c>
      <c r="B132" s="191" t="s">
        <v>64</v>
      </c>
      <c r="C132" s="191"/>
      <c r="D132" s="191"/>
      <c r="E132" s="363"/>
      <c r="F132" s="191"/>
      <c r="G132" s="191"/>
      <c r="J132" s="185"/>
      <c r="K132" s="186">
        <f>SUM(I133:I135)</f>
        <v>750000</v>
      </c>
    </row>
    <row r="133" spans="1:11" s="207" customFormat="1" ht="15.75" customHeight="1">
      <c r="A133" s="356"/>
      <c r="B133" s="296" t="s">
        <v>5</v>
      </c>
      <c r="C133" s="201" t="s">
        <v>65</v>
      </c>
      <c r="D133" s="201"/>
      <c r="E133" s="201"/>
      <c r="F133" s="201"/>
      <c r="G133" s="201"/>
      <c r="H133" s="212"/>
      <c r="I133" s="212">
        <v>400000</v>
      </c>
      <c r="J133" s="226"/>
      <c r="K133" s="227"/>
    </row>
    <row r="134" spans="1:11" s="161" customFormat="1" ht="15" customHeight="1">
      <c r="A134" s="364"/>
      <c r="B134" s="243" t="s">
        <v>7</v>
      </c>
      <c r="C134" s="244" t="s">
        <v>23</v>
      </c>
      <c r="D134" s="244"/>
      <c r="E134" s="244"/>
      <c r="F134" s="244"/>
      <c r="G134" s="244"/>
      <c r="H134" s="342"/>
      <c r="I134" s="342">
        <v>50000</v>
      </c>
      <c r="J134" s="217"/>
      <c r="K134" s="218"/>
    </row>
    <row r="135" spans="1:11" s="244" customFormat="1" ht="15.75" customHeight="1">
      <c r="A135" s="364"/>
      <c r="B135" s="243" t="s">
        <v>9</v>
      </c>
      <c r="C135" s="244" t="s">
        <v>66</v>
      </c>
      <c r="H135" s="342"/>
      <c r="I135" s="342">
        <v>300000</v>
      </c>
      <c r="J135" s="217"/>
      <c r="K135" s="218"/>
    </row>
    <row r="136" spans="1:11" s="189" customFormat="1" ht="18.75" customHeight="1">
      <c r="A136" s="193">
        <v>3</v>
      </c>
      <c r="B136" s="199" t="s">
        <v>67</v>
      </c>
      <c r="C136" s="199"/>
      <c r="D136" s="199"/>
      <c r="E136" s="365"/>
      <c r="F136" s="199"/>
      <c r="G136" s="199"/>
      <c r="H136" s="199"/>
      <c r="I136" s="191"/>
      <c r="J136" s="185"/>
      <c r="K136" s="186">
        <v>2000000</v>
      </c>
    </row>
    <row r="137" spans="1:11" s="189" customFormat="1" ht="18" customHeight="1">
      <c r="A137" s="193">
        <v>4</v>
      </c>
      <c r="B137" s="199" t="s">
        <v>68</v>
      </c>
      <c r="C137" s="199"/>
      <c r="D137" s="199"/>
      <c r="E137" s="365"/>
      <c r="F137" s="199"/>
      <c r="G137" s="199"/>
      <c r="H137" s="199"/>
      <c r="I137" s="191"/>
      <c r="J137" s="185"/>
      <c r="K137" s="186">
        <v>3600000</v>
      </c>
    </row>
    <row r="138" spans="1:11" s="189" customFormat="1" ht="18.75" customHeight="1">
      <c r="A138" s="366">
        <v>5</v>
      </c>
      <c r="B138" s="367" t="s">
        <v>69</v>
      </c>
      <c r="C138" s="367"/>
      <c r="D138" s="367"/>
      <c r="E138" s="368"/>
      <c r="F138" s="367"/>
      <c r="G138" s="367"/>
      <c r="H138" s="367"/>
      <c r="I138" s="369"/>
      <c r="J138" s="370"/>
      <c r="K138" s="371">
        <v>1500000</v>
      </c>
    </row>
    <row r="139" spans="1:11" s="189" customFormat="1" ht="20.25" customHeight="1">
      <c r="A139" s="193">
        <v>6</v>
      </c>
      <c r="B139" s="199" t="s">
        <v>70</v>
      </c>
      <c r="C139" s="199"/>
      <c r="D139" s="199"/>
      <c r="E139" s="365"/>
      <c r="F139" s="199"/>
      <c r="G139" s="199"/>
      <c r="H139" s="199"/>
      <c r="I139" s="191"/>
      <c r="J139" s="185"/>
      <c r="K139" s="186">
        <v>1800000</v>
      </c>
    </row>
    <row r="140" spans="1:11" s="189" customFormat="1" ht="18" customHeight="1">
      <c r="A140" s="193">
        <v>7</v>
      </c>
      <c r="B140" s="199" t="s">
        <v>71</v>
      </c>
      <c r="C140" s="199"/>
      <c r="D140" s="199"/>
      <c r="E140" s="365"/>
      <c r="F140" s="199"/>
      <c r="G140" s="199"/>
      <c r="H140" s="199"/>
      <c r="I140" s="191"/>
      <c r="J140" s="185"/>
      <c r="K140" s="186">
        <v>1000000</v>
      </c>
    </row>
    <row r="141" spans="1:11" s="189" customFormat="1" ht="19.5" customHeight="1">
      <c r="A141" s="193">
        <v>8</v>
      </c>
      <c r="B141" s="191" t="s">
        <v>72</v>
      </c>
      <c r="C141" s="199"/>
      <c r="D141" s="199"/>
      <c r="E141" s="365"/>
      <c r="F141" s="199"/>
      <c r="G141" s="199"/>
      <c r="H141" s="199"/>
      <c r="I141" s="191"/>
      <c r="J141" s="185"/>
      <c r="K141" s="186">
        <v>100000</v>
      </c>
    </row>
    <row r="142" spans="1:11" s="189" customFormat="1" ht="15.75" customHeight="1">
      <c r="A142" s="193">
        <v>9</v>
      </c>
      <c r="B142" s="199" t="s">
        <v>73</v>
      </c>
      <c r="C142" s="199"/>
      <c r="D142" s="199"/>
      <c r="E142" s="365"/>
      <c r="F142" s="199"/>
      <c r="G142" s="199"/>
      <c r="H142" s="199"/>
      <c r="I142" s="191"/>
      <c r="J142" s="185"/>
      <c r="K142" s="186">
        <f>SUM(I143:I148)</f>
        <v>460000</v>
      </c>
    </row>
    <row r="143" spans="1:11" s="340" customFormat="1" ht="15" customHeight="1">
      <c r="A143" s="356"/>
      <c r="B143" s="240" t="s">
        <v>5</v>
      </c>
      <c r="C143" s="340" t="s">
        <v>74</v>
      </c>
      <c r="I143" s="372">
        <v>240000</v>
      </c>
      <c r="J143" s="226"/>
      <c r="K143" s="227"/>
    </row>
    <row r="144" spans="1:11" s="201" customFormat="1" ht="14.25" customHeight="1">
      <c r="A144" s="193"/>
      <c r="B144" s="296" t="s">
        <v>7</v>
      </c>
      <c r="C144" s="201" t="s">
        <v>75</v>
      </c>
      <c r="I144" s="233">
        <v>30000</v>
      </c>
      <c r="J144" s="185"/>
      <c r="K144" s="186"/>
    </row>
    <row r="145" spans="1:11" s="201" customFormat="1" ht="14.25" customHeight="1">
      <c r="A145" s="193"/>
      <c r="B145" s="296" t="s">
        <v>9</v>
      </c>
      <c r="C145" s="201" t="s">
        <v>76</v>
      </c>
      <c r="I145" s="233">
        <v>10000</v>
      </c>
      <c r="J145" s="185"/>
      <c r="K145" s="186"/>
    </row>
    <row r="146" spans="1:11" s="161" customFormat="1" ht="14.25" customHeight="1">
      <c r="A146" s="364"/>
      <c r="B146" s="373" t="s">
        <v>11</v>
      </c>
      <c r="C146" s="161" t="s">
        <v>77</v>
      </c>
      <c r="I146" s="374">
        <v>50000</v>
      </c>
      <c r="J146" s="217"/>
      <c r="K146" s="218"/>
    </row>
    <row r="147" spans="1:11" s="161" customFormat="1" ht="13.5" customHeight="1">
      <c r="A147" s="364"/>
      <c r="B147" s="243" t="s">
        <v>13</v>
      </c>
      <c r="C147" s="244" t="s">
        <v>78</v>
      </c>
      <c r="D147" s="244"/>
      <c r="E147" s="244"/>
      <c r="F147" s="244"/>
      <c r="G147" s="244"/>
      <c r="H147" s="244"/>
      <c r="I147" s="216">
        <v>120000</v>
      </c>
      <c r="J147" s="217"/>
      <c r="K147" s="218"/>
    </row>
    <row r="148" spans="1:11" s="161" customFormat="1" ht="17.25" customHeight="1" thickBot="1">
      <c r="A148" s="364"/>
      <c r="B148" s="243" t="s">
        <v>15</v>
      </c>
      <c r="C148" s="244" t="s">
        <v>79</v>
      </c>
      <c r="D148" s="244"/>
      <c r="E148" s="244"/>
      <c r="F148" s="244"/>
      <c r="G148" s="244"/>
      <c r="H148" s="244"/>
      <c r="I148" s="216">
        <v>10000</v>
      </c>
      <c r="J148" s="217"/>
      <c r="K148" s="218"/>
    </row>
    <row r="149" spans="1:11" s="349" customFormat="1" ht="24" customHeight="1" thickBot="1" thickTop="1">
      <c r="A149" s="166" t="s">
        <v>1407</v>
      </c>
      <c r="B149" s="2097" t="s">
        <v>1368</v>
      </c>
      <c r="C149" s="2098"/>
      <c r="D149" s="2098"/>
      <c r="E149" s="2098"/>
      <c r="F149" s="2098"/>
      <c r="G149" s="2098"/>
      <c r="H149" s="2098"/>
      <c r="I149" s="2099"/>
      <c r="J149" s="177"/>
      <c r="K149" s="178">
        <f>SUM(I150:I192)</f>
        <v>11875220</v>
      </c>
    </row>
    <row r="150" spans="1:11" s="249" customFormat="1" ht="18.75" customHeight="1" thickTop="1">
      <c r="A150" s="219"/>
      <c r="B150" s="375">
        <v>1</v>
      </c>
      <c r="C150" s="253" t="s">
        <v>80</v>
      </c>
      <c r="D150" s="253"/>
      <c r="E150" s="253"/>
      <c r="F150" s="253"/>
      <c r="G150" s="253"/>
      <c r="H150" s="256"/>
      <c r="I150" s="256">
        <v>150000</v>
      </c>
      <c r="J150" s="226"/>
      <c r="K150" s="227"/>
    </row>
    <row r="151" spans="1:11" s="325" customFormat="1" ht="16.5" customHeight="1">
      <c r="A151" s="219"/>
      <c r="B151" s="376">
        <v>2</v>
      </c>
      <c r="C151" s="325" t="s">
        <v>81</v>
      </c>
      <c r="H151" s="307"/>
      <c r="I151" s="307">
        <f>SUM(H152:H154)</f>
        <v>148300</v>
      </c>
      <c r="J151" s="226"/>
      <c r="K151" s="227"/>
    </row>
    <row r="152" spans="1:11" s="258" customFormat="1" ht="13.5" customHeight="1">
      <c r="A152" s="219"/>
      <c r="B152" s="377"/>
      <c r="C152" s="378" t="s">
        <v>5</v>
      </c>
      <c r="D152" s="207" t="s">
        <v>82</v>
      </c>
      <c r="E152" s="207"/>
      <c r="F152" s="297"/>
      <c r="G152" s="297"/>
      <c r="H152" s="379">
        <v>90700</v>
      </c>
      <c r="J152" s="226"/>
      <c r="K152" s="227"/>
    </row>
    <row r="153" spans="1:11" s="380" customFormat="1" ht="13.5" customHeight="1">
      <c r="A153" s="219"/>
      <c r="B153" s="377"/>
      <c r="C153" s="378" t="s">
        <v>7</v>
      </c>
      <c r="D153" s="380" t="s">
        <v>83</v>
      </c>
      <c r="F153" s="207"/>
      <c r="G153" s="207"/>
      <c r="H153" s="381">
        <v>51600</v>
      </c>
      <c r="I153" s="256"/>
      <c r="J153" s="226"/>
      <c r="K153" s="227"/>
    </row>
    <row r="154" spans="1:11" s="380" customFormat="1" ht="13.5" customHeight="1">
      <c r="A154" s="219"/>
      <c r="B154" s="377"/>
      <c r="C154" s="378" t="s">
        <v>9</v>
      </c>
      <c r="D154" s="198" t="s">
        <v>84</v>
      </c>
      <c r="E154" s="382"/>
      <c r="F154" s="382"/>
      <c r="G154" s="382"/>
      <c r="H154" s="383">
        <v>6000</v>
      </c>
      <c r="I154" s="256"/>
      <c r="J154" s="226"/>
      <c r="K154" s="227"/>
    </row>
    <row r="155" spans="1:11" s="325" customFormat="1" ht="18.75" customHeight="1">
      <c r="A155" s="219"/>
      <c r="B155" s="384">
        <v>3</v>
      </c>
      <c r="C155" s="325" t="s">
        <v>85</v>
      </c>
      <c r="H155" s="307"/>
      <c r="I155" s="307">
        <f>SUM(H156:H157)</f>
        <v>32020</v>
      </c>
      <c r="J155" s="226"/>
      <c r="K155" s="227"/>
    </row>
    <row r="156" spans="1:11" s="380" customFormat="1" ht="12.75" customHeight="1">
      <c r="A156" s="219"/>
      <c r="B156" s="385"/>
      <c r="C156" s="378" t="s">
        <v>5</v>
      </c>
      <c r="D156" s="297" t="s">
        <v>86</v>
      </c>
      <c r="E156" s="297"/>
      <c r="F156" s="297"/>
      <c r="G156" s="297"/>
      <c r="H156" s="379">
        <v>25000</v>
      </c>
      <c r="J156" s="226"/>
      <c r="K156" s="227"/>
    </row>
    <row r="157" spans="1:11" s="380" customFormat="1" ht="12.75" customHeight="1">
      <c r="A157" s="219"/>
      <c r="B157" s="385"/>
      <c r="C157" s="378" t="s">
        <v>87</v>
      </c>
      <c r="D157" s="297" t="s">
        <v>88</v>
      </c>
      <c r="E157" s="297"/>
      <c r="F157" s="297"/>
      <c r="G157" s="297"/>
      <c r="H157" s="379">
        <v>7020</v>
      </c>
      <c r="J157" s="226"/>
      <c r="K157" s="227"/>
    </row>
    <row r="158" spans="1:11" s="257" customFormat="1" ht="18.75" customHeight="1">
      <c r="A158" s="219"/>
      <c r="B158" s="247">
        <v>4</v>
      </c>
      <c r="C158" s="257" t="s">
        <v>89</v>
      </c>
      <c r="H158" s="259"/>
      <c r="I158" s="386">
        <v>561050</v>
      </c>
      <c r="J158" s="226"/>
      <c r="K158" s="227"/>
    </row>
    <row r="159" spans="1:11" s="389" customFormat="1" ht="14.25" customHeight="1">
      <c r="A159" s="219"/>
      <c r="B159" s="387"/>
      <c r="C159" s="388" t="s">
        <v>90</v>
      </c>
      <c r="E159" s="388"/>
      <c r="F159" s="388"/>
      <c r="J159" s="226"/>
      <c r="K159" s="227"/>
    </row>
    <row r="160" spans="1:11" s="391" customFormat="1" ht="17.25" customHeight="1">
      <c r="A160" s="219"/>
      <c r="B160" s="384">
        <v>5</v>
      </c>
      <c r="C160" s="325" t="s">
        <v>91</v>
      </c>
      <c r="D160" s="325"/>
      <c r="E160" s="325"/>
      <c r="F160" s="325"/>
      <c r="G160" s="325"/>
      <c r="H160" s="307"/>
      <c r="I160" s="390">
        <v>438100</v>
      </c>
      <c r="J160" s="226"/>
      <c r="K160" s="227"/>
    </row>
    <row r="161" spans="1:11" s="391" customFormat="1" ht="13.5" customHeight="1">
      <c r="A161" s="356"/>
      <c r="B161" s="392"/>
      <c r="C161" s="388" t="s">
        <v>92</v>
      </c>
      <c r="D161" s="389"/>
      <c r="E161" s="388"/>
      <c r="F161" s="325"/>
      <c r="G161" s="329"/>
      <c r="H161" s="330"/>
      <c r="J161" s="226"/>
      <c r="K161" s="227"/>
    </row>
    <row r="162" spans="1:11" s="380" customFormat="1" ht="22.5" customHeight="1">
      <c r="A162" s="219"/>
      <c r="B162" s="247">
        <v>6</v>
      </c>
      <c r="C162" s="257" t="s">
        <v>93</v>
      </c>
      <c r="D162" s="257"/>
      <c r="E162" s="257"/>
      <c r="F162" s="257"/>
      <c r="G162" s="257"/>
      <c r="H162" s="393"/>
      <c r="I162" s="394">
        <f>SUM(H163:H167)</f>
        <v>172000</v>
      </c>
      <c r="J162" s="226"/>
      <c r="K162" s="227"/>
    </row>
    <row r="163" spans="1:11" s="207" customFormat="1" ht="15" customHeight="1">
      <c r="A163" s="219"/>
      <c r="B163" s="228"/>
      <c r="C163" s="378" t="s">
        <v>5</v>
      </c>
      <c r="D163" s="207" t="s">
        <v>94</v>
      </c>
      <c r="F163" s="395"/>
      <c r="G163" s="395"/>
      <c r="H163" s="379">
        <v>35000</v>
      </c>
      <c r="I163" s="396"/>
      <c r="J163" s="226"/>
      <c r="K163" s="227"/>
    </row>
    <row r="164" spans="1:11" s="207" customFormat="1" ht="11.25" customHeight="1">
      <c r="A164" s="219"/>
      <c r="B164" s="228"/>
      <c r="C164" s="378" t="s">
        <v>7</v>
      </c>
      <c r="D164" s="207" t="s">
        <v>83</v>
      </c>
      <c r="F164" s="395"/>
      <c r="G164" s="395"/>
      <c r="H164" s="379">
        <v>50000</v>
      </c>
      <c r="I164" s="396"/>
      <c r="J164" s="226"/>
      <c r="K164" s="227"/>
    </row>
    <row r="165" spans="1:11" s="399" customFormat="1" ht="13.5" customHeight="1">
      <c r="A165" s="213"/>
      <c r="B165" s="397"/>
      <c r="C165" s="398" t="s">
        <v>9</v>
      </c>
      <c r="D165" s="244" t="s">
        <v>95</v>
      </c>
      <c r="E165" s="244"/>
      <c r="F165" s="244"/>
      <c r="G165" s="244"/>
      <c r="H165" s="379">
        <v>50000</v>
      </c>
      <c r="I165" s="342"/>
      <c r="J165" s="217"/>
      <c r="K165" s="218"/>
    </row>
    <row r="166" spans="1:11" s="399" customFormat="1" ht="13.5" customHeight="1">
      <c r="A166" s="213"/>
      <c r="B166" s="397"/>
      <c r="C166" s="398" t="s">
        <v>11</v>
      </c>
      <c r="D166" s="244" t="s">
        <v>96</v>
      </c>
      <c r="E166" s="244"/>
      <c r="F166" s="244"/>
      <c r="G166" s="244"/>
      <c r="H166" s="379">
        <v>7000</v>
      </c>
      <c r="I166" s="342"/>
      <c r="J166" s="217"/>
      <c r="K166" s="218"/>
    </row>
    <row r="167" spans="1:11" s="399" customFormat="1" ht="12.75" customHeight="1">
      <c r="A167" s="213"/>
      <c r="B167" s="397"/>
      <c r="C167" s="398" t="s">
        <v>13</v>
      </c>
      <c r="D167" s="244" t="s">
        <v>97</v>
      </c>
      <c r="E167" s="244"/>
      <c r="F167" s="244"/>
      <c r="G167" s="244"/>
      <c r="H167" s="379">
        <v>30000</v>
      </c>
      <c r="I167" s="342"/>
      <c r="J167" s="217"/>
      <c r="K167" s="218"/>
    </row>
    <row r="168" spans="1:11" s="249" customFormat="1" ht="17.25" customHeight="1">
      <c r="A168" s="219"/>
      <c r="B168" s="247">
        <v>7</v>
      </c>
      <c r="C168" s="249" t="s">
        <v>98</v>
      </c>
      <c r="I168" s="256">
        <v>713000</v>
      </c>
      <c r="J168" s="226"/>
      <c r="K168" s="227"/>
    </row>
    <row r="169" spans="1:11" s="331" customFormat="1" ht="11.25" customHeight="1">
      <c r="A169" s="213"/>
      <c r="B169" s="400"/>
      <c r="C169" s="331" t="s">
        <v>99</v>
      </c>
      <c r="J169" s="217"/>
      <c r="K169" s="218"/>
    </row>
    <row r="170" spans="1:11" s="249" customFormat="1" ht="18.75" customHeight="1">
      <c r="A170" s="219"/>
      <c r="B170" s="247">
        <v>8</v>
      </c>
      <c r="C170" s="249" t="s">
        <v>100</v>
      </c>
      <c r="I170" s="256"/>
      <c r="J170" s="226"/>
      <c r="K170" s="227"/>
    </row>
    <row r="171" spans="1:11" s="249" customFormat="1" ht="11.25" customHeight="1">
      <c r="A171" s="219"/>
      <c r="B171" s="247"/>
      <c r="C171" s="249" t="s">
        <v>101</v>
      </c>
      <c r="I171" s="256">
        <f>SUM(H172:H176)</f>
        <v>991450</v>
      </c>
      <c r="J171" s="226"/>
      <c r="K171" s="227"/>
    </row>
    <row r="172" spans="1:11" s="229" customFormat="1" ht="12" customHeight="1">
      <c r="A172" s="219"/>
      <c r="B172" s="228"/>
      <c r="C172" s="207" t="s">
        <v>5</v>
      </c>
      <c r="D172" s="207" t="s">
        <v>102</v>
      </c>
      <c r="E172" s="207"/>
      <c r="F172" s="207"/>
      <c r="G172" s="207"/>
      <c r="H172" s="401">
        <v>800000</v>
      </c>
      <c r="I172" s="212"/>
      <c r="J172" s="226"/>
      <c r="K172" s="227"/>
    </row>
    <row r="173" spans="1:11" s="207" customFormat="1" ht="12" customHeight="1">
      <c r="A173" s="219"/>
      <c r="B173" s="206"/>
      <c r="C173" s="201" t="s">
        <v>103</v>
      </c>
      <c r="D173" s="201" t="s">
        <v>104</v>
      </c>
      <c r="E173" s="201"/>
      <c r="F173" s="201"/>
      <c r="G173" s="201"/>
      <c r="H173" s="401">
        <v>30300</v>
      </c>
      <c r="J173" s="226"/>
      <c r="K173" s="227"/>
    </row>
    <row r="174" spans="1:11" s="340" customFormat="1" ht="12" customHeight="1">
      <c r="A174" s="219"/>
      <c r="B174" s="194"/>
      <c r="C174" s="161" t="s">
        <v>9</v>
      </c>
      <c r="D174" s="161" t="s">
        <v>105</v>
      </c>
      <c r="E174" s="161"/>
      <c r="F174" s="161"/>
      <c r="G174" s="161"/>
      <c r="H174" s="401">
        <v>69150</v>
      </c>
      <c r="J174" s="226"/>
      <c r="K174" s="227"/>
    </row>
    <row r="175" spans="1:11" s="161" customFormat="1" ht="12" customHeight="1">
      <c r="A175" s="213"/>
      <c r="B175" s="214"/>
      <c r="C175" s="161" t="s">
        <v>11</v>
      </c>
      <c r="D175" s="161" t="s">
        <v>106</v>
      </c>
      <c r="H175" s="401">
        <v>70000</v>
      </c>
      <c r="J175" s="217"/>
      <c r="K175" s="218"/>
    </row>
    <row r="176" spans="1:11" s="161" customFormat="1" ht="12" customHeight="1">
      <c r="A176" s="213"/>
      <c r="B176" s="214"/>
      <c r="C176" s="161" t="s">
        <v>13</v>
      </c>
      <c r="D176" s="161" t="s">
        <v>107</v>
      </c>
      <c r="H176" s="401">
        <v>22000</v>
      </c>
      <c r="J176" s="217"/>
      <c r="K176" s="218"/>
    </row>
    <row r="177" spans="1:11" s="253" customFormat="1" ht="20.25" customHeight="1">
      <c r="A177" s="182"/>
      <c r="B177" s="402">
        <v>9</v>
      </c>
      <c r="C177" s="388" t="s">
        <v>108</v>
      </c>
      <c r="D177" s="388"/>
      <c r="E177" s="388"/>
      <c r="F177" s="388"/>
      <c r="G177" s="388"/>
      <c r="H177" s="386"/>
      <c r="I177" s="386">
        <v>3300000</v>
      </c>
      <c r="J177" s="185"/>
      <c r="K177" s="186"/>
    </row>
    <row r="178" spans="1:11" s="253" customFormat="1" ht="17.25" customHeight="1">
      <c r="A178" s="182"/>
      <c r="B178" s="402">
        <v>10</v>
      </c>
      <c r="C178" s="388" t="s">
        <v>109</v>
      </c>
      <c r="D178" s="388"/>
      <c r="E178" s="388"/>
      <c r="F178" s="388"/>
      <c r="G178" s="388"/>
      <c r="H178" s="386"/>
      <c r="I178" s="386">
        <v>1010000</v>
      </c>
      <c r="J178" s="185"/>
      <c r="K178" s="186"/>
    </row>
    <row r="179" spans="1:11" s="388" customFormat="1" ht="16.5" customHeight="1">
      <c r="A179" s="187"/>
      <c r="B179" s="402">
        <v>11</v>
      </c>
      <c r="C179" s="388" t="s">
        <v>110</v>
      </c>
      <c r="H179" s="403"/>
      <c r="I179" s="386">
        <v>3000</v>
      </c>
      <c r="J179" s="404"/>
      <c r="K179" s="405"/>
    </row>
    <row r="180" spans="1:11" s="389" customFormat="1" ht="18.75" customHeight="1">
      <c r="A180" s="219"/>
      <c r="B180" s="384">
        <v>12</v>
      </c>
      <c r="C180" s="389" t="s">
        <v>111</v>
      </c>
      <c r="I180" s="307">
        <v>1400000</v>
      </c>
      <c r="J180" s="226"/>
      <c r="K180" s="227"/>
    </row>
    <row r="181" spans="1:11" s="331" customFormat="1" ht="18" customHeight="1">
      <c r="A181" s="213"/>
      <c r="B181" s="406"/>
      <c r="C181" s="331" t="s">
        <v>112</v>
      </c>
      <c r="J181" s="217"/>
      <c r="K181" s="218"/>
    </row>
    <row r="182" spans="1:11" s="388" customFormat="1" ht="18.75" customHeight="1">
      <c r="A182" s="182"/>
      <c r="B182" s="387">
        <v>13</v>
      </c>
      <c r="C182" s="388" t="s">
        <v>113</v>
      </c>
      <c r="I182" s="386">
        <v>2000000</v>
      </c>
      <c r="J182" s="185"/>
      <c r="K182" s="186"/>
    </row>
    <row r="183" spans="1:11" s="388" customFormat="1" ht="19.5" customHeight="1">
      <c r="A183" s="407"/>
      <c r="B183" s="408">
        <v>14</v>
      </c>
      <c r="C183" s="409" t="s">
        <v>114</v>
      </c>
      <c r="D183" s="409"/>
      <c r="E183" s="409"/>
      <c r="F183" s="409"/>
      <c r="G183" s="410"/>
      <c r="H183" s="409"/>
      <c r="I183" s="411">
        <v>1900</v>
      </c>
      <c r="J183" s="370"/>
      <c r="K183" s="371"/>
    </row>
    <row r="184" spans="1:11" s="325" customFormat="1" ht="16.5" customHeight="1">
      <c r="A184" s="219"/>
      <c r="B184" s="384">
        <v>15</v>
      </c>
      <c r="C184" s="325" t="s">
        <v>115</v>
      </c>
      <c r="G184" s="329"/>
      <c r="I184" s="307"/>
      <c r="J184" s="226"/>
      <c r="K184" s="227"/>
    </row>
    <row r="185" spans="1:11" s="325" customFormat="1" ht="14.25" customHeight="1">
      <c r="A185" s="219"/>
      <c r="B185" s="384"/>
      <c r="C185" s="331" t="s">
        <v>116</v>
      </c>
      <c r="D185" s="331"/>
      <c r="E185" s="331"/>
      <c r="G185" s="329"/>
      <c r="I185" s="307">
        <v>149200</v>
      </c>
      <c r="J185" s="226"/>
      <c r="K185" s="227"/>
    </row>
    <row r="186" spans="1:11" s="325" customFormat="1" ht="19.5" customHeight="1">
      <c r="A186" s="219"/>
      <c r="B186" s="384">
        <v>16</v>
      </c>
      <c r="C186" s="325" t="s">
        <v>117</v>
      </c>
      <c r="F186" s="329"/>
      <c r="I186" s="412">
        <f>SUM(H187:H188)</f>
        <v>22000</v>
      </c>
      <c r="J186" s="226"/>
      <c r="K186" s="227"/>
    </row>
    <row r="187" spans="1:11" s="388" customFormat="1" ht="10.5" customHeight="1">
      <c r="A187" s="182"/>
      <c r="B187" s="387"/>
      <c r="F187" s="413"/>
      <c r="G187" s="414" t="s">
        <v>118</v>
      </c>
      <c r="H187" s="401">
        <v>2000</v>
      </c>
      <c r="J187" s="185"/>
      <c r="K187" s="186"/>
    </row>
    <row r="188" spans="1:11" s="325" customFormat="1" ht="11.25" customHeight="1">
      <c r="A188" s="219"/>
      <c r="B188" s="384"/>
      <c r="G188" s="415" t="s">
        <v>119</v>
      </c>
      <c r="H188" s="401">
        <v>20000</v>
      </c>
      <c r="J188" s="226"/>
      <c r="K188" s="227"/>
    </row>
    <row r="189" spans="1:11" s="325" customFormat="1" ht="11.25" customHeight="1">
      <c r="A189" s="219"/>
      <c r="B189" s="384">
        <v>17</v>
      </c>
      <c r="C189" s="325" t="s">
        <v>120</v>
      </c>
      <c r="G189" s="415"/>
      <c r="H189" s="401"/>
      <c r="I189" s="416">
        <v>500</v>
      </c>
      <c r="J189" s="226"/>
      <c r="K189" s="227"/>
    </row>
    <row r="190" spans="1:11" s="388" customFormat="1" ht="20.25" customHeight="1">
      <c r="A190" s="182"/>
      <c r="B190" s="387">
        <v>18</v>
      </c>
      <c r="C190" s="388" t="s">
        <v>121</v>
      </c>
      <c r="G190" s="413"/>
      <c r="I190" s="386">
        <v>67200</v>
      </c>
      <c r="J190" s="185"/>
      <c r="K190" s="186"/>
    </row>
    <row r="191" spans="1:11" s="388" customFormat="1" ht="23.25" customHeight="1">
      <c r="A191" s="182"/>
      <c r="B191" s="387">
        <v>19</v>
      </c>
      <c r="C191" s="388" t="s">
        <v>122</v>
      </c>
      <c r="G191" s="413"/>
      <c r="I191" s="386">
        <v>700000</v>
      </c>
      <c r="J191" s="185"/>
      <c r="K191" s="186"/>
    </row>
    <row r="192" spans="1:11" s="388" customFormat="1" ht="19.5" customHeight="1" thickBot="1">
      <c r="A192" s="284"/>
      <c r="B192" s="417">
        <v>20</v>
      </c>
      <c r="C192" s="418" t="s">
        <v>123</v>
      </c>
      <c r="D192" s="418"/>
      <c r="E192" s="418"/>
      <c r="F192" s="418"/>
      <c r="G192" s="419"/>
      <c r="H192" s="418"/>
      <c r="I192" s="420">
        <v>15500</v>
      </c>
      <c r="J192" s="288"/>
      <c r="K192" s="289"/>
    </row>
    <row r="193" spans="1:11" s="422" customFormat="1" ht="36.75" customHeight="1" thickBot="1" thickTop="1">
      <c r="A193" s="166" t="s">
        <v>1413</v>
      </c>
      <c r="B193" s="421" t="s">
        <v>124</v>
      </c>
      <c r="C193" s="421"/>
      <c r="D193" s="421"/>
      <c r="E193" s="421"/>
      <c r="F193" s="421"/>
      <c r="G193" s="421"/>
      <c r="H193" s="421"/>
      <c r="I193" s="421"/>
      <c r="J193" s="177"/>
      <c r="K193" s="178">
        <f>I194+I197</f>
        <v>71745992</v>
      </c>
    </row>
    <row r="194" spans="1:11" s="423" customFormat="1" ht="19.5" customHeight="1" thickBot="1" thickTop="1">
      <c r="A194" s="350">
        <v>1</v>
      </c>
      <c r="C194" s="424" t="s">
        <v>125</v>
      </c>
      <c r="D194" s="425"/>
      <c r="E194" s="425"/>
      <c r="F194" s="425"/>
      <c r="G194" s="426"/>
      <c r="H194" s="426"/>
      <c r="I194" s="427">
        <f>SUM(H195:H196)</f>
        <v>68685992</v>
      </c>
      <c r="J194" s="428"/>
      <c r="K194" s="354"/>
    </row>
    <row r="195" spans="1:11" s="413" customFormat="1" ht="18.75" customHeight="1" thickTop="1">
      <c r="A195" s="350"/>
      <c r="B195" s="429"/>
      <c r="C195" s="430"/>
      <c r="D195" s="431"/>
      <c r="E195" s="431" t="s">
        <v>126</v>
      </c>
      <c r="F195" s="432"/>
      <c r="G195" s="433"/>
      <c r="H195" s="434">
        <v>53447217</v>
      </c>
      <c r="I195" s="434"/>
      <c r="J195" s="353"/>
      <c r="K195" s="354"/>
    </row>
    <row r="196" spans="1:11" s="334" customFormat="1" ht="18.75" customHeight="1" thickBot="1">
      <c r="A196" s="364"/>
      <c r="E196" s="435" t="s">
        <v>127</v>
      </c>
      <c r="G196" s="436"/>
      <c r="H196" s="437">
        <v>15238775</v>
      </c>
      <c r="I196" s="437"/>
      <c r="J196" s="217"/>
      <c r="K196" s="218"/>
    </row>
    <row r="197" spans="1:11" s="423" customFormat="1" ht="22.5" customHeight="1" thickBot="1" thickTop="1">
      <c r="A197" s="350">
        <v>2</v>
      </c>
      <c r="B197" s="438"/>
      <c r="C197" s="424" t="s">
        <v>128</v>
      </c>
      <c r="D197" s="425"/>
      <c r="E197" s="425"/>
      <c r="F197" s="425"/>
      <c r="G197" s="426"/>
      <c r="H197" s="426"/>
      <c r="I197" s="427">
        <f>SUM(H198:H199)</f>
        <v>3060000</v>
      </c>
      <c r="J197" s="428"/>
      <c r="K197" s="354"/>
    </row>
    <row r="198" spans="1:11" s="329" customFormat="1" ht="21" customHeight="1" thickTop="1">
      <c r="A198" s="439"/>
      <c r="B198" s="440"/>
      <c r="C198" s="441"/>
      <c r="D198" s="442"/>
      <c r="E198" s="442" t="s">
        <v>129</v>
      </c>
      <c r="F198" s="443"/>
      <c r="G198" s="444"/>
      <c r="H198" s="445">
        <v>2560000</v>
      </c>
      <c r="I198" s="445"/>
      <c r="J198" s="446"/>
      <c r="K198" s="447"/>
    </row>
    <row r="199" spans="1:11" s="334" customFormat="1" ht="18" customHeight="1" thickBot="1">
      <c r="A199" s="364"/>
      <c r="E199" s="435" t="s">
        <v>130</v>
      </c>
      <c r="G199" s="436"/>
      <c r="H199" s="437">
        <v>500000</v>
      </c>
      <c r="I199" s="437"/>
      <c r="J199" s="217"/>
      <c r="K199" s="218"/>
    </row>
    <row r="200" spans="1:11" s="172" customFormat="1" ht="30" customHeight="1" thickBot="1" thickTop="1">
      <c r="A200" s="166" t="s">
        <v>131</v>
      </c>
      <c r="B200" s="448" t="s">
        <v>132</v>
      </c>
      <c r="C200" s="449"/>
      <c r="D200" s="449"/>
      <c r="E200" s="449"/>
      <c r="F200" s="449"/>
      <c r="G200" s="449"/>
      <c r="H200" s="449"/>
      <c r="I200" s="449"/>
      <c r="J200" s="177"/>
      <c r="K200" s="178">
        <f>I201+I204</f>
        <v>75640044</v>
      </c>
    </row>
    <row r="201" spans="1:11" s="456" customFormat="1" ht="16.5" customHeight="1" thickBot="1" thickTop="1">
      <c r="A201" s="450">
        <v>1</v>
      </c>
      <c r="B201" s="451" t="s">
        <v>133</v>
      </c>
      <c r="C201" s="452"/>
      <c r="D201" s="452"/>
      <c r="E201" s="452"/>
      <c r="F201" s="453"/>
      <c r="G201" s="454"/>
      <c r="H201" s="455"/>
      <c r="I201" s="455">
        <f>SUM(H202:H203)</f>
        <v>33621192</v>
      </c>
      <c r="J201" s="177"/>
      <c r="K201" s="178"/>
    </row>
    <row r="202" spans="1:11" s="460" customFormat="1" ht="19.5" customHeight="1" thickTop="1">
      <c r="A202" s="182"/>
      <c r="B202" s="457"/>
      <c r="C202" s="458" t="s">
        <v>5</v>
      </c>
      <c r="D202" s="459" t="s">
        <v>134</v>
      </c>
      <c r="F202" s="459"/>
      <c r="G202" s="461"/>
      <c r="H202" s="462">
        <v>32691315</v>
      </c>
      <c r="I202" s="463"/>
      <c r="J202" s="185"/>
      <c r="K202" s="186"/>
    </row>
    <row r="203" spans="1:11" s="464" customFormat="1" ht="18.75" customHeight="1" thickBot="1">
      <c r="A203" s="213"/>
      <c r="C203" s="465" t="s">
        <v>7</v>
      </c>
      <c r="D203" s="466" t="s">
        <v>135</v>
      </c>
      <c r="F203" s="466"/>
      <c r="G203" s="467"/>
      <c r="H203" s="468">
        <v>929877</v>
      </c>
      <c r="I203" s="469"/>
      <c r="J203" s="217"/>
      <c r="K203" s="218"/>
    </row>
    <row r="204" spans="1:11" s="456" customFormat="1" ht="18.75" customHeight="1" thickBot="1" thickTop="1">
      <c r="A204" s="450">
        <v>2</v>
      </c>
      <c r="B204" s="451" t="s">
        <v>136</v>
      </c>
      <c r="C204" s="452"/>
      <c r="D204" s="452"/>
      <c r="E204" s="452"/>
      <c r="F204" s="453"/>
      <c r="G204" s="454"/>
      <c r="H204" s="455"/>
      <c r="I204" s="470">
        <f>SUM(H205:H206)</f>
        <v>42018852</v>
      </c>
      <c r="J204" s="177"/>
      <c r="K204" s="178"/>
    </row>
    <row r="205" spans="1:11" s="471" customFormat="1" ht="21" customHeight="1" thickTop="1">
      <c r="A205" s="182"/>
      <c r="C205" s="472" t="s">
        <v>5</v>
      </c>
      <c r="D205" s="473" t="s">
        <v>137</v>
      </c>
      <c r="E205" s="473"/>
      <c r="F205" s="474"/>
      <c r="H205" s="475">
        <v>38100774</v>
      </c>
      <c r="I205" s="476"/>
      <c r="J205" s="185"/>
      <c r="K205" s="186"/>
    </row>
    <row r="206" spans="1:11" s="477" customFormat="1" ht="20.25" customHeight="1">
      <c r="A206" s="219"/>
      <c r="B206" s="327"/>
      <c r="C206" s="458" t="s">
        <v>7</v>
      </c>
      <c r="D206" s="459" t="s">
        <v>138</v>
      </c>
      <c r="E206" s="459"/>
      <c r="F206" s="461"/>
      <c r="H206" s="462">
        <f>SUM(H207:H209)</f>
        <v>3918078</v>
      </c>
      <c r="I206" s="478"/>
      <c r="J206" s="226"/>
      <c r="K206" s="227"/>
    </row>
    <row r="207" spans="1:11" s="333" customFormat="1" ht="14.25" customHeight="1">
      <c r="A207" s="213"/>
      <c r="D207" s="479" t="s">
        <v>139</v>
      </c>
      <c r="E207" s="480" t="s">
        <v>140</v>
      </c>
      <c r="F207" s="480"/>
      <c r="H207" s="481">
        <v>500124</v>
      </c>
      <c r="I207" s="482"/>
      <c r="J207" s="217"/>
      <c r="K207" s="218"/>
    </row>
    <row r="208" spans="1:11" s="464" customFormat="1" ht="13.5" customHeight="1">
      <c r="A208" s="213"/>
      <c r="B208" s="333"/>
      <c r="C208" s="333"/>
      <c r="D208" s="479" t="s">
        <v>141</v>
      </c>
      <c r="E208" s="480" t="s">
        <v>142</v>
      </c>
      <c r="F208" s="480"/>
      <c r="H208" s="481">
        <v>1153472</v>
      </c>
      <c r="I208" s="482"/>
      <c r="J208" s="217"/>
      <c r="K208" s="218"/>
    </row>
    <row r="209" spans="1:11" s="464" customFormat="1" ht="14.25" customHeight="1" thickBot="1">
      <c r="A209" s="213"/>
      <c r="B209" s="333"/>
      <c r="C209" s="333"/>
      <c r="D209" s="479" t="s">
        <v>143</v>
      </c>
      <c r="E209" s="480" t="s">
        <v>144</v>
      </c>
      <c r="F209" s="480"/>
      <c r="H209" s="481">
        <v>2264482</v>
      </c>
      <c r="I209" s="482"/>
      <c r="J209" s="217"/>
      <c r="K209" s="218"/>
    </row>
    <row r="210" spans="1:11" s="172" customFormat="1" ht="24" customHeight="1" thickBot="1" thickTop="1">
      <c r="A210" s="483" t="s">
        <v>1325</v>
      </c>
      <c r="B210" s="2085" t="s">
        <v>145</v>
      </c>
      <c r="C210" s="2086"/>
      <c r="D210" s="2086"/>
      <c r="E210" s="2086"/>
      <c r="F210" s="2086"/>
      <c r="G210" s="2086"/>
      <c r="H210" s="2086"/>
      <c r="I210" s="2087"/>
      <c r="J210" s="177"/>
      <c r="K210" s="178">
        <f>K200+K193+K149+K121+K113+K6</f>
        <v>212860776</v>
      </c>
    </row>
    <row r="211" spans="1:11" s="456" customFormat="1" ht="21.75" customHeight="1" thickTop="1">
      <c r="A211" s="182"/>
      <c r="B211" s="159"/>
      <c r="C211" s="159"/>
      <c r="D211" s="484"/>
      <c r="E211" s="485" t="s">
        <v>146</v>
      </c>
      <c r="F211" s="202"/>
      <c r="G211" s="202" t="s">
        <v>147</v>
      </c>
      <c r="H211" s="202"/>
      <c r="I211" s="486"/>
      <c r="J211" s="185"/>
      <c r="K211" s="186">
        <f>K210-K212</f>
        <v>151643349</v>
      </c>
    </row>
    <row r="212" spans="1:11" s="191" customFormat="1" ht="24" customHeight="1" thickBot="1">
      <c r="A212" s="407"/>
      <c r="B212" s="487"/>
      <c r="C212" s="487"/>
      <c r="D212" s="488"/>
      <c r="E212" s="489"/>
      <c r="F212" s="487"/>
      <c r="G212" s="487" t="s">
        <v>148</v>
      </c>
      <c r="H212" s="487"/>
      <c r="I212" s="490"/>
      <c r="J212" s="282"/>
      <c r="K212" s="283">
        <f>I204+H199+H196+I192+I191+I190+H188+I183+I182+H174+I158+H156</f>
        <v>61217427</v>
      </c>
    </row>
    <row r="213" spans="1:11" s="191" customFormat="1" ht="34.5" customHeight="1" thickBot="1" thickTop="1">
      <c r="A213" s="166" t="s">
        <v>1309</v>
      </c>
      <c r="B213" s="2088" t="s">
        <v>149</v>
      </c>
      <c r="C213" s="2089"/>
      <c r="D213" s="2089"/>
      <c r="E213" s="2089"/>
      <c r="F213" s="2089"/>
      <c r="G213" s="2089"/>
      <c r="H213" s="2089"/>
      <c r="I213" s="2090"/>
      <c r="J213" s="177"/>
      <c r="K213" s="178">
        <f>SUM(I214:I225)</f>
        <v>17180367</v>
      </c>
    </row>
    <row r="214" spans="1:11" s="493" customFormat="1" ht="21" customHeight="1" thickTop="1">
      <c r="A214" s="193"/>
      <c r="B214" s="491" t="s">
        <v>5</v>
      </c>
      <c r="C214" s="994" t="s">
        <v>150</v>
      </c>
      <c r="D214" s="994"/>
      <c r="E214" s="994"/>
      <c r="F214" s="994"/>
      <c r="G214" s="994"/>
      <c r="H214" s="994"/>
      <c r="I214" s="492">
        <v>1485167</v>
      </c>
      <c r="J214" s="185"/>
      <c r="K214" s="186"/>
    </row>
    <row r="215" spans="1:11" s="493" customFormat="1" ht="16.5" customHeight="1">
      <c r="A215" s="193"/>
      <c r="B215" s="491" t="s">
        <v>7</v>
      </c>
      <c r="C215" s="994" t="s">
        <v>151</v>
      </c>
      <c r="D215" s="994"/>
      <c r="E215" s="994"/>
      <c r="F215" s="994"/>
      <c r="G215" s="994"/>
      <c r="H215" s="994"/>
      <c r="I215" s="492">
        <v>3883275</v>
      </c>
      <c r="J215" s="185"/>
      <c r="K215" s="186"/>
    </row>
    <row r="216" spans="1:11" s="493" customFormat="1" ht="15.75" customHeight="1">
      <c r="A216" s="193"/>
      <c r="B216" s="491" t="s">
        <v>9</v>
      </c>
      <c r="C216" s="994" t="s">
        <v>152</v>
      </c>
      <c r="D216" s="994"/>
      <c r="E216" s="994"/>
      <c r="F216" s="994"/>
      <c r="G216" s="994"/>
      <c r="H216" s="994"/>
      <c r="I216" s="492">
        <v>528300</v>
      </c>
      <c r="J216" s="185"/>
      <c r="K216" s="186"/>
    </row>
    <row r="217" spans="1:11" s="493" customFormat="1" ht="17.25" customHeight="1">
      <c r="A217" s="193"/>
      <c r="B217" s="491" t="s">
        <v>11</v>
      </c>
      <c r="C217" s="994" t="s">
        <v>153</v>
      </c>
      <c r="D217" s="994"/>
      <c r="E217" s="994"/>
      <c r="F217" s="994"/>
      <c r="G217" s="994"/>
      <c r="H217" s="994"/>
      <c r="I217" s="492">
        <v>40988</v>
      </c>
      <c r="J217" s="185"/>
      <c r="K217" s="186"/>
    </row>
    <row r="218" spans="1:11" s="493" customFormat="1" ht="15.75" customHeight="1">
      <c r="A218" s="193"/>
      <c r="B218" s="491" t="s">
        <v>13</v>
      </c>
      <c r="C218" s="994" t="s">
        <v>154</v>
      </c>
      <c r="D218" s="994"/>
      <c r="E218" s="994"/>
      <c r="F218" s="994"/>
      <c r="G218" s="994"/>
      <c r="H218" s="994"/>
      <c r="I218" s="492">
        <v>1126640</v>
      </c>
      <c r="J218" s="185"/>
      <c r="K218" s="186"/>
    </row>
    <row r="219" spans="1:11" s="493" customFormat="1" ht="15.75" customHeight="1">
      <c r="A219" s="366"/>
      <c r="B219" s="494" t="s">
        <v>15</v>
      </c>
      <c r="C219" s="2079" t="s">
        <v>155</v>
      </c>
      <c r="D219" s="2084"/>
      <c r="E219" s="2084"/>
      <c r="F219" s="2084"/>
      <c r="G219" s="2084"/>
      <c r="H219" s="2084"/>
      <c r="I219" s="495">
        <v>83680</v>
      </c>
      <c r="J219" s="370"/>
      <c r="K219" s="371"/>
    </row>
    <row r="220" spans="1:11" s="493" customFormat="1" ht="15.75" customHeight="1">
      <c r="A220" s="193"/>
      <c r="B220" s="491" t="s">
        <v>17</v>
      </c>
      <c r="C220" s="994" t="s">
        <v>156</v>
      </c>
      <c r="D220" s="2083"/>
      <c r="E220" s="2083"/>
      <c r="F220" s="2083"/>
      <c r="G220" s="2083"/>
      <c r="H220" s="2083"/>
      <c r="I220" s="492">
        <v>79642</v>
      </c>
      <c r="J220" s="185"/>
      <c r="K220" s="186"/>
    </row>
    <row r="221" spans="1:11" s="493" customFormat="1" ht="15.75" customHeight="1">
      <c r="A221" s="193"/>
      <c r="B221" s="491" t="s">
        <v>19</v>
      </c>
      <c r="C221" s="994" t="s">
        <v>157</v>
      </c>
      <c r="D221" s="2083"/>
      <c r="E221" s="2083"/>
      <c r="F221" s="2083"/>
      <c r="G221" s="2083"/>
      <c r="H221" s="2083"/>
      <c r="I221" s="492">
        <v>106380</v>
      </c>
      <c r="J221" s="185"/>
      <c r="K221" s="186"/>
    </row>
    <row r="222" spans="1:11" s="493" customFormat="1" ht="15.75" customHeight="1">
      <c r="A222" s="193"/>
      <c r="B222" s="491" t="s">
        <v>158</v>
      </c>
      <c r="C222" s="994" t="s">
        <v>159</v>
      </c>
      <c r="D222" s="2083"/>
      <c r="E222" s="2083"/>
      <c r="F222" s="2083"/>
      <c r="G222" s="2083"/>
      <c r="H222" s="2083"/>
      <c r="I222" s="492">
        <v>22763</v>
      </c>
      <c r="J222" s="185"/>
      <c r="K222" s="186"/>
    </row>
    <row r="223" spans="1:11" s="493" customFormat="1" ht="15.75" customHeight="1">
      <c r="A223" s="193"/>
      <c r="B223" s="491" t="s">
        <v>160</v>
      </c>
      <c r="C223" s="994" t="s">
        <v>161</v>
      </c>
      <c r="D223" s="2083"/>
      <c r="E223" s="2083"/>
      <c r="F223" s="2083"/>
      <c r="G223" s="2083"/>
      <c r="H223" s="2083"/>
      <c r="I223" s="492">
        <v>182582</v>
      </c>
      <c r="J223" s="185"/>
      <c r="K223" s="186"/>
    </row>
    <row r="224" spans="1:11" s="493" customFormat="1" ht="15.75" customHeight="1">
      <c r="A224" s="193"/>
      <c r="B224" s="491" t="s">
        <v>162</v>
      </c>
      <c r="C224" s="994" t="s">
        <v>163</v>
      </c>
      <c r="D224" s="773"/>
      <c r="E224" s="773"/>
      <c r="F224" s="773"/>
      <c r="G224" s="773"/>
      <c r="H224" s="773"/>
      <c r="I224" s="492">
        <v>9500000</v>
      </c>
      <c r="J224" s="185"/>
      <c r="K224" s="186"/>
    </row>
    <row r="225" spans="1:11" s="493" customFormat="1" ht="15.75" customHeight="1" thickBot="1">
      <c r="A225" s="193"/>
      <c r="B225" s="491" t="s">
        <v>164</v>
      </c>
      <c r="C225" s="774" t="s">
        <v>165</v>
      </c>
      <c r="D225" s="549"/>
      <c r="E225" s="549"/>
      <c r="F225" s="549"/>
      <c r="G225" s="549"/>
      <c r="H225" s="549"/>
      <c r="I225" s="492">
        <v>140950</v>
      </c>
      <c r="J225" s="185"/>
      <c r="K225" s="186"/>
    </row>
    <row r="226" spans="1:11" s="496" customFormat="1" ht="22.5" customHeight="1" thickBot="1" thickTop="1">
      <c r="A226" s="166" t="s">
        <v>1334</v>
      </c>
      <c r="B226" s="550" t="s">
        <v>166</v>
      </c>
      <c r="C226" s="2081"/>
      <c r="D226" s="2081"/>
      <c r="E226" s="2081"/>
      <c r="F226" s="2081"/>
      <c r="G226" s="2081"/>
      <c r="H226" s="2081"/>
      <c r="I226" s="2082"/>
      <c r="J226" s="177"/>
      <c r="K226" s="178">
        <f>SUM(I227:I233)</f>
        <v>36987453</v>
      </c>
    </row>
    <row r="227" spans="1:11" s="493" customFormat="1" ht="16.5" customHeight="1" thickTop="1">
      <c r="A227" s="193"/>
      <c r="B227" s="497" t="s">
        <v>167</v>
      </c>
      <c r="C227" s="498" t="s">
        <v>168</v>
      </c>
      <c r="D227" s="499"/>
      <c r="E227" s="499"/>
      <c r="F227" s="499"/>
      <c r="G227" s="499"/>
      <c r="H227" s="499"/>
      <c r="I227" s="500">
        <v>3242000</v>
      </c>
      <c r="J227" s="185"/>
      <c r="K227" s="186"/>
    </row>
    <row r="228" spans="1:11" s="493" customFormat="1" ht="15.75" customHeight="1">
      <c r="A228" s="193"/>
      <c r="B228" s="497" t="s">
        <v>7</v>
      </c>
      <c r="C228" s="498" t="s">
        <v>169</v>
      </c>
      <c r="D228" s="499"/>
      <c r="E228" s="499"/>
      <c r="F228" s="499"/>
      <c r="G228" s="499"/>
      <c r="H228" s="499"/>
      <c r="I228" s="500">
        <v>27290425</v>
      </c>
      <c r="J228" s="185"/>
      <c r="K228" s="186"/>
    </row>
    <row r="229" spans="1:11" s="493" customFormat="1" ht="16.5" customHeight="1">
      <c r="A229" s="193"/>
      <c r="B229" s="497" t="s">
        <v>9</v>
      </c>
      <c r="C229" s="498" t="s">
        <v>170</v>
      </c>
      <c r="D229" s="499"/>
      <c r="E229" s="499"/>
      <c r="F229" s="499"/>
      <c r="G229" s="499"/>
      <c r="H229" s="499"/>
      <c r="I229" s="500">
        <v>8500</v>
      </c>
      <c r="J229" s="185"/>
      <c r="K229" s="186"/>
    </row>
    <row r="230" spans="1:11" s="493" customFormat="1" ht="16.5" customHeight="1">
      <c r="A230" s="193"/>
      <c r="B230" s="497" t="s">
        <v>11</v>
      </c>
      <c r="C230" s="498" t="s">
        <v>171</v>
      </c>
      <c r="D230" s="499"/>
      <c r="E230" s="499"/>
      <c r="F230" s="499"/>
      <c r="G230" s="499"/>
      <c r="H230" s="499"/>
      <c r="I230" s="500">
        <v>5886600</v>
      </c>
      <c r="J230" s="185"/>
      <c r="K230" s="186"/>
    </row>
    <row r="231" spans="1:11" s="493" customFormat="1" ht="14.25" customHeight="1">
      <c r="A231" s="193"/>
      <c r="B231" s="497" t="s">
        <v>13</v>
      </c>
      <c r="C231" s="498" t="s">
        <v>172</v>
      </c>
      <c r="D231" s="499"/>
      <c r="E231" s="499"/>
      <c r="F231" s="499"/>
      <c r="G231" s="499"/>
      <c r="H231" s="499"/>
      <c r="I231" s="500"/>
      <c r="J231" s="185"/>
      <c r="K231" s="186"/>
    </row>
    <row r="232" spans="1:11" s="493" customFormat="1" ht="24" customHeight="1">
      <c r="A232" s="193"/>
      <c r="B232" s="501" t="s">
        <v>15</v>
      </c>
      <c r="C232" s="994" t="s">
        <v>173</v>
      </c>
      <c r="D232" s="994"/>
      <c r="E232" s="994"/>
      <c r="F232" s="994"/>
      <c r="G232" s="994"/>
      <c r="H232" s="994"/>
      <c r="I232" s="502">
        <v>543260</v>
      </c>
      <c r="J232" s="185"/>
      <c r="K232" s="186"/>
    </row>
    <row r="233" spans="1:11" s="493" customFormat="1" ht="28.5" customHeight="1" thickBot="1">
      <c r="A233" s="366"/>
      <c r="B233" s="503" t="s">
        <v>17</v>
      </c>
      <c r="C233" s="2079" t="s">
        <v>174</v>
      </c>
      <c r="D233" s="2079"/>
      <c r="E233" s="2079"/>
      <c r="F233" s="2079"/>
      <c r="G233" s="2079"/>
      <c r="H233" s="2079"/>
      <c r="I233" s="504">
        <v>16668</v>
      </c>
      <c r="J233" s="370"/>
      <c r="K233" s="371"/>
    </row>
    <row r="234" spans="1:11" s="507" customFormat="1" ht="24.75" customHeight="1" thickBot="1" thickTop="1">
      <c r="A234" s="505"/>
      <c r="B234" s="2080" t="s">
        <v>175</v>
      </c>
      <c r="C234" s="1791"/>
      <c r="D234" s="1791"/>
      <c r="E234" s="1791"/>
      <c r="F234" s="1791"/>
      <c r="G234" s="1791"/>
      <c r="H234" s="1791"/>
      <c r="I234" s="1792"/>
      <c r="J234" s="177"/>
      <c r="K234" s="506">
        <f>K226+K213+K210</f>
        <v>267028596</v>
      </c>
    </row>
    <row r="235" spans="1:11" s="172" customFormat="1" ht="19.5" customHeight="1" thickTop="1">
      <c r="A235" s="182"/>
      <c r="B235" s="508"/>
      <c r="C235" s="508"/>
      <c r="D235" s="509"/>
      <c r="E235" s="510" t="s">
        <v>146</v>
      </c>
      <c r="F235" s="456"/>
      <c r="G235" s="202" t="s">
        <v>176</v>
      </c>
      <c r="H235" s="202"/>
      <c r="I235" s="511"/>
      <c r="J235" s="185"/>
      <c r="K235" s="186">
        <f>K234-K236</f>
        <v>184877854</v>
      </c>
    </row>
    <row r="236" spans="1:11" s="172" customFormat="1" ht="18.75" customHeight="1" thickBot="1">
      <c r="A236" s="284"/>
      <c r="B236" s="512"/>
      <c r="C236" s="513"/>
      <c r="D236" s="514"/>
      <c r="E236" s="515"/>
      <c r="F236" s="516"/>
      <c r="G236" s="517" t="s">
        <v>177</v>
      </c>
      <c r="H236" s="517"/>
      <c r="I236" s="518"/>
      <c r="J236" s="288"/>
      <c r="K236" s="289">
        <f>I231+I230+I229+I224+I218+I216+I215+K212</f>
        <v>82150742</v>
      </c>
    </row>
    <row r="237" spans="1:11" s="520" customFormat="1" ht="16.5" thickTop="1">
      <c r="A237" s="157"/>
      <c r="B237" s="519"/>
      <c r="J237" s="521"/>
      <c r="K237" s="522"/>
    </row>
    <row r="238" spans="1:11" s="520" customFormat="1" ht="15.75">
      <c r="A238" s="157"/>
      <c r="B238" s="152"/>
      <c r="I238" s="523"/>
      <c r="J238" s="524"/>
      <c r="K238" s="525"/>
    </row>
    <row r="239" spans="1:11" s="520" customFormat="1" ht="15.75">
      <c r="A239" s="157"/>
      <c r="B239" s="152"/>
      <c r="J239" s="524"/>
      <c r="K239" s="525"/>
    </row>
    <row r="240" spans="1:11" s="520" customFormat="1" ht="15.75">
      <c r="A240" s="157"/>
      <c r="B240" s="519"/>
      <c r="J240" s="524"/>
      <c r="K240" s="525"/>
    </row>
    <row r="241" spans="1:11" s="520" customFormat="1" ht="15.75">
      <c r="A241" s="157"/>
      <c r="B241" s="519"/>
      <c r="J241" s="524"/>
      <c r="K241" s="525"/>
    </row>
    <row r="242" spans="1:11" s="520" customFormat="1" ht="15.75">
      <c r="A242" s="157"/>
      <c r="B242" s="519"/>
      <c r="J242" s="524"/>
      <c r="K242" s="525"/>
    </row>
    <row r="243" spans="1:11" s="520" customFormat="1" ht="15.75">
      <c r="A243" s="157"/>
      <c r="B243" s="519"/>
      <c r="J243" s="524"/>
      <c r="K243" s="525"/>
    </row>
    <row r="244" spans="1:11" s="520" customFormat="1" ht="15.75">
      <c r="A244" s="157"/>
      <c r="B244" s="519"/>
      <c r="J244" s="524"/>
      <c r="K244" s="525"/>
    </row>
    <row r="245" spans="1:11" s="520" customFormat="1" ht="15.75">
      <c r="A245" s="157"/>
      <c r="B245" s="519"/>
      <c r="J245" s="524"/>
      <c r="K245" s="525"/>
    </row>
    <row r="246" spans="1:11" s="520" customFormat="1" ht="15.75">
      <c r="A246" s="157"/>
      <c r="B246" s="519"/>
      <c r="J246" s="524"/>
      <c r="K246" s="525"/>
    </row>
    <row r="247" spans="1:11" s="520" customFormat="1" ht="15.75">
      <c r="A247" s="157"/>
      <c r="B247" s="519"/>
      <c r="J247" s="524"/>
      <c r="K247" s="525"/>
    </row>
    <row r="248" spans="1:11" s="520" customFormat="1" ht="15.75">
      <c r="A248" s="157"/>
      <c r="B248" s="519"/>
      <c r="J248" s="524"/>
      <c r="K248" s="525"/>
    </row>
    <row r="249" spans="1:11" s="520" customFormat="1" ht="15.75">
      <c r="A249" s="157"/>
      <c r="B249" s="519"/>
      <c r="J249" s="524"/>
      <c r="K249" s="525"/>
    </row>
    <row r="250" spans="1:11" s="520" customFormat="1" ht="15.75">
      <c r="A250" s="157"/>
      <c r="B250" s="519"/>
      <c r="J250" s="524"/>
      <c r="K250" s="525"/>
    </row>
    <row r="251" spans="1:11" s="520" customFormat="1" ht="15.75">
      <c r="A251" s="157"/>
      <c r="B251" s="519"/>
      <c r="J251" s="524"/>
      <c r="K251" s="525"/>
    </row>
    <row r="252" spans="1:11" s="520" customFormat="1" ht="15.75">
      <c r="A252" s="157"/>
      <c r="B252" s="519"/>
      <c r="J252" s="524"/>
      <c r="K252" s="525"/>
    </row>
    <row r="253" spans="1:11" s="520" customFormat="1" ht="15.75">
      <c r="A253" s="157"/>
      <c r="B253" s="519"/>
      <c r="J253" s="524"/>
      <c r="K253" s="525"/>
    </row>
    <row r="254" spans="1:11" s="520" customFormat="1" ht="15.75">
      <c r="A254" s="157"/>
      <c r="B254" s="519"/>
      <c r="J254" s="524"/>
      <c r="K254" s="525"/>
    </row>
    <row r="255" spans="1:11" s="520" customFormat="1" ht="15.75">
      <c r="A255" s="157"/>
      <c r="B255" s="519"/>
      <c r="J255" s="524"/>
      <c r="K255" s="525"/>
    </row>
    <row r="256" spans="1:11" s="520" customFormat="1" ht="15.75">
      <c r="A256" s="157"/>
      <c r="B256" s="519"/>
      <c r="J256" s="524"/>
      <c r="K256" s="525"/>
    </row>
    <row r="257" spans="1:11" s="520" customFormat="1" ht="15.75">
      <c r="A257" s="157"/>
      <c r="B257" s="519"/>
      <c r="J257" s="524"/>
      <c r="K257" s="525"/>
    </row>
    <row r="258" spans="1:11" s="520" customFormat="1" ht="15.75">
      <c r="A258" s="157"/>
      <c r="B258" s="519"/>
      <c r="J258" s="524"/>
      <c r="K258" s="525"/>
    </row>
    <row r="259" spans="1:11" s="520" customFormat="1" ht="15.75">
      <c r="A259" s="157"/>
      <c r="B259" s="519"/>
      <c r="J259" s="524"/>
      <c r="K259" s="525"/>
    </row>
    <row r="260" spans="1:11" s="520" customFormat="1" ht="15.75">
      <c r="A260" s="157"/>
      <c r="B260" s="519"/>
      <c r="J260" s="524"/>
      <c r="K260" s="525"/>
    </row>
    <row r="261" spans="1:11" s="520" customFormat="1" ht="15.75">
      <c r="A261" s="157"/>
      <c r="B261" s="519"/>
      <c r="J261" s="524"/>
      <c r="K261" s="525"/>
    </row>
    <row r="262" spans="1:11" s="520" customFormat="1" ht="15.75">
      <c r="A262" s="157"/>
      <c r="B262" s="519"/>
      <c r="J262" s="524"/>
      <c r="K262" s="525"/>
    </row>
    <row r="263" spans="1:11" s="520" customFormat="1" ht="15.75">
      <c r="A263" s="157"/>
      <c r="B263" s="519"/>
      <c r="J263" s="524"/>
      <c r="K263" s="525"/>
    </row>
    <row r="264" spans="1:11" s="520" customFormat="1" ht="15.75">
      <c r="A264" s="157"/>
      <c r="B264" s="519"/>
      <c r="J264" s="524"/>
      <c r="K264" s="525"/>
    </row>
    <row r="265" spans="1:11" s="520" customFormat="1" ht="15.75">
      <c r="A265" s="157"/>
      <c r="B265" s="519"/>
      <c r="J265" s="524"/>
      <c r="K265" s="525"/>
    </row>
    <row r="266" spans="1:11" s="520" customFormat="1" ht="15.75">
      <c r="A266" s="157"/>
      <c r="B266" s="519"/>
      <c r="J266" s="524"/>
      <c r="K266" s="525"/>
    </row>
    <row r="267" spans="1:11" s="520" customFormat="1" ht="15.75">
      <c r="A267" s="157"/>
      <c r="B267" s="519"/>
      <c r="J267" s="524"/>
      <c r="K267" s="525"/>
    </row>
    <row r="268" spans="1:11" s="520" customFormat="1" ht="15.75">
      <c r="A268" s="157"/>
      <c r="B268" s="519"/>
      <c r="J268" s="524"/>
      <c r="K268" s="525"/>
    </row>
    <row r="269" spans="1:11" s="520" customFormat="1" ht="15.75">
      <c r="A269" s="157"/>
      <c r="B269" s="519"/>
      <c r="J269" s="524"/>
      <c r="K269" s="525"/>
    </row>
    <row r="270" spans="1:11" s="520" customFormat="1" ht="15.75">
      <c r="A270" s="157"/>
      <c r="B270" s="519"/>
      <c r="J270" s="524"/>
      <c r="K270" s="525"/>
    </row>
    <row r="271" spans="1:11" s="520" customFormat="1" ht="15.75">
      <c r="A271" s="157"/>
      <c r="B271" s="519"/>
      <c r="J271" s="524"/>
      <c r="K271" s="525"/>
    </row>
    <row r="272" spans="1:11" s="520" customFormat="1" ht="15.75">
      <c r="A272" s="157"/>
      <c r="B272" s="519"/>
      <c r="J272" s="524"/>
      <c r="K272" s="525"/>
    </row>
    <row r="273" spans="1:11" s="520" customFormat="1" ht="15.75">
      <c r="A273" s="157"/>
      <c r="B273" s="519"/>
      <c r="J273" s="524"/>
      <c r="K273" s="525"/>
    </row>
    <row r="274" spans="1:11" s="520" customFormat="1" ht="15.75">
      <c r="A274" s="157"/>
      <c r="B274" s="519"/>
      <c r="J274" s="524"/>
      <c r="K274" s="525"/>
    </row>
    <row r="275" spans="1:11" s="520" customFormat="1" ht="15.75">
      <c r="A275" s="157"/>
      <c r="B275" s="519"/>
      <c r="J275" s="524"/>
      <c r="K275" s="525"/>
    </row>
    <row r="276" spans="1:11" s="520" customFormat="1" ht="15.75">
      <c r="A276" s="157"/>
      <c r="B276" s="519"/>
      <c r="J276" s="524"/>
      <c r="K276" s="525"/>
    </row>
    <row r="277" spans="1:11" s="520" customFormat="1" ht="15.75">
      <c r="A277" s="157"/>
      <c r="B277" s="519"/>
      <c r="J277" s="524"/>
      <c r="K277" s="525"/>
    </row>
    <row r="278" spans="1:11" s="520" customFormat="1" ht="15.75">
      <c r="A278" s="157"/>
      <c r="B278" s="519"/>
      <c r="J278" s="524"/>
      <c r="K278" s="525"/>
    </row>
    <row r="279" spans="1:11" s="520" customFormat="1" ht="15.75">
      <c r="A279" s="157"/>
      <c r="B279" s="519"/>
      <c r="J279" s="524"/>
      <c r="K279" s="525"/>
    </row>
    <row r="280" spans="1:11" s="520" customFormat="1" ht="15.75">
      <c r="A280" s="157"/>
      <c r="B280" s="519"/>
      <c r="J280" s="524"/>
      <c r="K280" s="525"/>
    </row>
    <row r="281" spans="1:11" s="520" customFormat="1" ht="15.75">
      <c r="A281" s="157"/>
      <c r="B281" s="519"/>
      <c r="J281" s="524"/>
      <c r="K281" s="525"/>
    </row>
    <row r="282" spans="1:11" s="520" customFormat="1" ht="15.75">
      <c r="A282" s="157"/>
      <c r="B282" s="519"/>
      <c r="J282" s="524"/>
      <c r="K282" s="525"/>
    </row>
    <row r="283" spans="1:11" s="520" customFormat="1" ht="15.75">
      <c r="A283" s="157"/>
      <c r="B283" s="519"/>
      <c r="J283" s="524"/>
      <c r="K283" s="525"/>
    </row>
    <row r="284" spans="1:11" s="520" customFormat="1" ht="15.75">
      <c r="A284" s="157"/>
      <c r="B284" s="519"/>
      <c r="J284" s="524"/>
      <c r="K284" s="525"/>
    </row>
    <row r="285" spans="1:11" s="520" customFormat="1" ht="15.75">
      <c r="A285" s="157"/>
      <c r="B285" s="519"/>
      <c r="J285" s="524"/>
      <c r="K285" s="525"/>
    </row>
    <row r="286" spans="1:11" s="520" customFormat="1" ht="15.75">
      <c r="A286" s="157"/>
      <c r="B286" s="519"/>
      <c r="J286" s="524"/>
      <c r="K286" s="525"/>
    </row>
    <row r="287" spans="1:11" s="520" customFormat="1" ht="15.75">
      <c r="A287" s="157"/>
      <c r="B287" s="519"/>
      <c r="J287" s="524"/>
      <c r="K287" s="525"/>
    </row>
    <row r="288" spans="1:11" s="520" customFormat="1" ht="15.75">
      <c r="A288" s="157"/>
      <c r="B288" s="519"/>
      <c r="J288" s="524"/>
      <c r="K288" s="525"/>
    </row>
    <row r="289" spans="1:11" s="520" customFormat="1" ht="15.75">
      <c r="A289" s="157"/>
      <c r="B289" s="519"/>
      <c r="J289" s="524"/>
      <c r="K289" s="525"/>
    </row>
    <row r="290" spans="1:11" s="520" customFormat="1" ht="15.75">
      <c r="A290" s="157"/>
      <c r="B290" s="519"/>
      <c r="J290" s="524"/>
      <c r="K290" s="525"/>
    </row>
    <row r="291" spans="1:11" s="520" customFormat="1" ht="15.75">
      <c r="A291" s="157"/>
      <c r="B291" s="519"/>
      <c r="J291" s="524"/>
      <c r="K291" s="525"/>
    </row>
    <row r="292" spans="1:11" s="520" customFormat="1" ht="15.75">
      <c r="A292" s="157"/>
      <c r="B292" s="519"/>
      <c r="J292" s="524"/>
      <c r="K292" s="525"/>
    </row>
    <row r="293" spans="1:11" s="520" customFormat="1" ht="15.75">
      <c r="A293" s="157"/>
      <c r="B293" s="519"/>
      <c r="J293" s="524"/>
      <c r="K293" s="525"/>
    </row>
    <row r="294" spans="1:11" s="520" customFormat="1" ht="15.75">
      <c r="A294" s="157"/>
      <c r="B294" s="519"/>
      <c r="J294" s="524"/>
      <c r="K294" s="525"/>
    </row>
    <row r="295" spans="1:11" s="520" customFormat="1" ht="15.75">
      <c r="A295" s="157"/>
      <c r="B295" s="519"/>
      <c r="J295" s="524"/>
      <c r="K295" s="525"/>
    </row>
    <row r="296" spans="1:11" s="520" customFormat="1" ht="15.75">
      <c r="A296" s="157"/>
      <c r="B296" s="519"/>
      <c r="J296" s="524"/>
      <c r="K296" s="525"/>
    </row>
    <row r="297" spans="1:11" s="520" customFormat="1" ht="15.75">
      <c r="A297" s="157"/>
      <c r="B297" s="519"/>
      <c r="J297" s="524"/>
      <c r="K297" s="525"/>
    </row>
    <row r="298" spans="1:11" s="520" customFormat="1" ht="15.75">
      <c r="A298" s="157"/>
      <c r="B298" s="519"/>
      <c r="J298" s="524"/>
      <c r="K298" s="525"/>
    </row>
    <row r="299" spans="1:11" s="520" customFormat="1" ht="15.75">
      <c r="A299" s="157"/>
      <c r="B299" s="519"/>
      <c r="J299" s="524"/>
      <c r="K299" s="525"/>
    </row>
    <row r="300" spans="1:11" s="520" customFormat="1" ht="15.75">
      <c r="A300" s="157"/>
      <c r="B300" s="519"/>
      <c r="J300" s="524"/>
      <c r="K300" s="525"/>
    </row>
    <row r="301" spans="1:11" s="520" customFormat="1" ht="15.75">
      <c r="A301" s="157"/>
      <c r="B301" s="519"/>
      <c r="J301" s="524"/>
      <c r="K301" s="525"/>
    </row>
    <row r="302" spans="1:11" s="520" customFormat="1" ht="15.75">
      <c r="A302" s="157"/>
      <c r="B302" s="519"/>
      <c r="J302" s="524"/>
      <c r="K302" s="525"/>
    </row>
    <row r="303" spans="1:11" s="520" customFormat="1" ht="15.75">
      <c r="A303" s="157"/>
      <c r="B303" s="519"/>
      <c r="J303" s="524"/>
      <c r="K303" s="525"/>
    </row>
    <row r="304" spans="1:11" s="520" customFormat="1" ht="15.75">
      <c r="A304" s="157"/>
      <c r="B304" s="519"/>
      <c r="J304" s="524"/>
      <c r="K304" s="525"/>
    </row>
    <row r="305" spans="1:11" s="520" customFormat="1" ht="15.75">
      <c r="A305" s="157"/>
      <c r="B305" s="519"/>
      <c r="J305" s="524"/>
      <c r="K305" s="525"/>
    </row>
    <row r="306" spans="1:11" s="520" customFormat="1" ht="15.75">
      <c r="A306" s="157"/>
      <c r="B306" s="519"/>
      <c r="J306" s="524"/>
      <c r="K306" s="525"/>
    </row>
    <row r="307" spans="1:11" s="520" customFormat="1" ht="15.75">
      <c r="A307" s="157"/>
      <c r="B307" s="519"/>
      <c r="J307" s="524"/>
      <c r="K307" s="525"/>
    </row>
    <row r="308" spans="1:11" s="520" customFormat="1" ht="15.75">
      <c r="A308" s="157"/>
      <c r="B308" s="519"/>
      <c r="J308" s="524"/>
      <c r="K308" s="525"/>
    </row>
    <row r="309" spans="1:11" s="520" customFormat="1" ht="15.75">
      <c r="A309" s="157"/>
      <c r="B309" s="519"/>
      <c r="J309" s="524"/>
      <c r="K309" s="525"/>
    </row>
    <row r="310" spans="1:11" s="520" customFormat="1" ht="15.75">
      <c r="A310" s="157"/>
      <c r="B310" s="519"/>
      <c r="J310" s="524"/>
      <c r="K310" s="525"/>
    </row>
    <row r="311" spans="1:11" s="520" customFormat="1" ht="15.75">
      <c r="A311" s="157"/>
      <c r="B311" s="519"/>
      <c r="J311" s="524"/>
      <c r="K311" s="525"/>
    </row>
    <row r="312" spans="1:11" s="520" customFormat="1" ht="15.75">
      <c r="A312" s="157"/>
      <c r="B312" s="519"/>
      <c r="J312" s="524"/>
      <c r="K312" s="525"/>
    </row>
    <row r="313" spans="1:11" s="520" customFormat="1" ht="15.75">
      <c r="A313" s="157"/>
      <c r="B313" s="519"/>
      <c r="J313" s="524"/>
      <c r="K313" s="525"/>
    </row>
    <row r="314" spans="1:11" s="520" customFormat="1" ht="15.75">
      <c r="A314" s="157"/>
      <c r="B314" s="519"/>
      <c r="J314" s="524"/>
      <c r="K314" s="525"/>
    </row>
    <row r="315" spans="1:11" s="520" customFormat="1" ht="15.75">
      <c r="A315" s="157"/>
      <c r="B315" s="519"/>
      <c r="J315" s="524"/>
      <c r="K315" s="525"/>
    </row>
    <row r="316" spans="1:11" s="520" customFormat="1" ht="15.75">
      <c r="A316" s="157"/>
      <c r="B316" s="519"/>
      <c r="J316" s="524"/>
      <c r="K316" s="525"/>
    </row>
    <row r="317" spans="1:11" s="520" customFormat="1" ht="15.75">
      <c r="A317" s="157"/>
      <c r="B317" s="519"/>
      <c r="J317" s="524"/>
      <c r="K317" s="525"/>
    </row>
    <row r="318" spans="1:11" s="520" customFormat="1" ht="15.75">
      <c r="A318" s="157"/>
      <c r="B318" s="519"/>
      <c r="J318" s="524"/>
      <c r="K318" s="525"/>
    </row>
    <row r="319" spans="1:11" s="520" customFormat="1" ht="15.75">
      <c r="A319" s="157"/>
      <c r="B319" s="519"/>
      <c r="J319" s="524"/>
      <c r="K319" s="525"/>
    </row>
    <row r="320" spans="1:11" s="520" customFormat="1" ht="15.75">
      <c r="A320" s="157"/>
      <c r="B320" s="519"/>
      <c r="J320" s="524"/>
      <c r="K320" s="525"/>
    </row>
    <row r="321" spans="1:11" s="520" customFormat="1" ht="15.75">
      <c r="A321" s="157"/>
      <c r="B321" s="519"/>
      <c r="J321" s="524"/>
      <c r="K321" s="525"/>
    </row>
    <row r="322" spans="1:11" s="520" customFormat="1" ht="15.75">
      <c r="A322" s="157"/>
      <c r="B322" s="519"/>
      <c r="J322" s="524"/>
      <c r="K322" s="525"/>
    </row>
    <row r="323" spans="1:11" s="520" customFormat="1" ht="15.75">
      <c r="A323" s="157"/>
      <c r="B323" s="519"/>
      <c r="J323" s="524"/>
      <c r="K323" s="525"/>
    </row>
    <row r="324" spans="1:11" s="520" customFormat="1" ht="15.75">
      <c r="A324" s="157"/>
      <c r="B324" s="519"/>
      <c r="J324" s="524"/>
      <c r="K324" s="525"/>
    </row>
    <row r="325" spans="1:11" s="520" customFormat="1" ht="15.75">
      <c r="A325" s="157"/>
      <c r="B325" s="519"/>
      <c r="J325" s="524"/>
      <c r="K325" s="525"/>
    </row>
    <row r="326" spans="1:11" s="520" customFormat="1" ht="15.75">
      <c r="A326" s="157"/>
      <c r="B326" s="519"/>
      <c r="J326" s="524"/>
      <c r="K326" s="525"/>
    </row>
    <row r="327" spans="1:11" s="520" customFormat="1" ht="15.75">
      <c r="A327" s="157"/>
      <c r="B327" s="519"/>
      <c r="J327" s="524"/>
      <c r="K327" s="525"/>
    </row>
    <row r="328" spans="1:11" s="520" customFormat="1" ht="15.75">
      <c r="A328" s="157"/>
      <c r="B328" s="519"/>
      <c r="J328" s="524"/>
      <c r="K328" s="525"/>
    </row>
    <row r="329" spans="1:11" s="520" customFormat="1" ht="15.75">
      <c r="A329" s="157"/>
      <c r="B329" s="519"/>
      <c r="J329" s="524"/>
      <c r="K329" s="525"/>
    </row>
    <row r="330" spans="1:11" s="520" customFormat="1" ht="15.75">
      <c r="A330" s="157"/>
      <c r="B330" s="519"/>
      <c r="J330" s="524"/>
      <c r="K330" s="525"/>
    </row>
    <row r="331" spans="1:11" s="520" customFormat="1" ht="15.75">
      <c r="A331" s="157"/>
      <c r="B331" s="519"/>
      <c r="J331" s="524"/>
      <c r="K331" s="525"/>
    </row>
    <row r="332" spans="1:11" s="520" customFormat="1" ht="15.75">
      <c r="A332" s="157"/>
      <c r="B332" s="519"/>
      <c r="J332" s="524"/>
      <c r="K332" s="525"/>
    </row>
    <row r="333" spans="1:11" s="520" customFormat="1" ht="15.75">
      <c r="A333" s="157"/>
      <c r="B333" s="519"/>
      <c r="J333" s="524"/>
      <c r="K333" s="525"/>
    </row>
    <row r="334" spans="1:11" s="520" customFormat="1" ht="15.75">
      <c r="A334" s="157"/>
      <c r="B334" s="519"/>
      <c r="J334" s="524"/>
      <c r="K334" s="525"/>
    </row>
    <row r="335" spans="1:11" s="520" customFormat="1" ht="15.75">
      <c r="A335" s="157"/>
      <c r="B335" s="519"/>
      <c r="J335" s="524"/>
      <c r="K335" s="525"/>
    </row>
    <row r="336" spans="1:11" s="520" customFormat="1" ht="15.75">
      <c r="A336" s="157"/>
      <c r="B336" s="519"/>
      <c r="J336" s="524"/>
      <c r="K336" s="525"/>
    </row>
    <row r="337" spans="1:11" s="520" customFormat="1" ht="15.75">
      <c r="A337" s="157"/>
      <c r="B337" s="519"/>
      <c r="J337" s="524"/>
      <c r="K337" s="525"/>
    </row>
    <row r="338" spans="1:11" s="520" customFormat="1" ht="15.75">
      <c r="A338" s="157"/>
      <c r="B338" s="519"/>
      <c r="J338" s="524"/>
      <c r="K338" s="525"/>
    </row>
    <row r="339" spans="1:11" s="520" customFormat="1" ht="15.75">
      <c r="A339" s="157"/>
      <c r="B339" s="519"/>
      <c r="J339" s="524"/>
      <c r="K339" s="525"/>
    </row>
    <row r="340" spans="1:11" s="520" customFormat="1" ht="15.75">
      <c r="A340" s="157"/>
      <c r="B340" s="519"/>
      <c r="J340" s="524"/>
      <c r="K340" s="525"/>
    </row>
    <row r="341" spans="1:11" s="520" customFormat="1" ht="15.75">
      <c r="A341" s="157"/>
      <c r="B341" s="519"/>
      <c r="J341" s="524"/>
      <c r="K341" s="525"/>
    </row>
    <row r="342" spans="1:11" s="520" customFormat="1" ht="15.75">
      <c r="A342" s="157"/>
      <c r="B342" s="519"/>
      <c r="J342" s="524"/>
      <c r="K342" s="525"/>
    </row>
    <row r="343" spans="1:11" s="520" customFormat="1" ht="15.75">
      <c r="A343" s="157"/>
      <c r="B343" s="519"/>
      <c r="J343" s="524"/>
      <c r="K343" s="525"/>
    </row>
    <row r="344" spans="1:11" s="520" customFormat="1" ht="15.75">
      <c r="A344" s="157"/>
      <c r="B344" s="519"/>
      <c r="J344" s="524"/>
      <c r="K344" s="525"/>
    </row>
    <row r="345" spans="1:11" s="520" customFormat="1" ht="15.75">
      <c r="A345" s="157"/>
      <c r="B345" s="519"/>
      <c r="J345" s="524"/>
      <c r="K345" s="525"/>
    </row>
    <row r="346" spans="1:11" s="520" customFormat="1" ht="15.75">
      <c r="A346" s="157"/>
      <c r="B346" s="519"/>
      <c r="J346" s="524"/>
      <c r="K346" s="525"/>
    </row>
    <row r="347" spans="1:11" s="520" customFormat="1" ht="15.75">
      <c r="A347" s="157"/>
      <c r="B347" s="519"/>
      <c r="J347" s="524"/>
      <c r="K347" s="525"/>
    </row>
    <row r="348" spans="1:11" s="520" customFormat="1" ht="15.75">
      <c r="A348" s="157"/>
      <c r="B348" s="519"/>
      <c r="J348" s="524"/>
      <c r="K348" s="525"/>
    </row>
    <row r="349" spans="1:11" s="520" customFormat="1" ht="15.75">
      <c r="A349" s="157"/>
      <c r="B349" s="519"/>
      <c r="J349" s="524"/>
      <c r="K349" s="525"/>
    </row>
    <row r="350" spans="1:11" s="520" customFormat="1" ht="15.75">
      <c r="A350" s="157"/>
      <c r="B350" s="519"/>
      <c r="J350" s="524"/>
      <c r="K350" s="525"/>
    </row>
    <row r="351" spans="1:11" s="520" customFormat="1" ht="15.75">
      <c r="A351" s="157"/>
      <c r="B351" s="519"/>
      <c r="J351" s="524"/>
      <c r="K351" s="525"/>
    </row>
    <row r="352" spans="1:11" s="520" customFormat="1" ht="15.75">
      <c r="A352" s="157"/>
      <c r="B352" s="519"/>
      <c r="J352" s="524"/>
      <c r="K352" s="525"/>
    </row>
    <row r="353" spans="1:11" s="520" customFormat="1" ht="15.75">
      <c r="A353" s="157"/>
      <c r="B353" s="519"/>
      <c r="J353" s="524"/>
      <c r="K353" s="525"/>
    </row>
    <row r="354" spans="1:11" s="520" customFormat="1" ht="15.75">
      <c r="A354" s="157"/>
      <c r="B354" s="519"/>
      <c r="J354" s="524"/>
      <c r="K354" s="525"/>
    </row>
    <row r="355" spans="1:11" s="520" customFormat="1" ht="15.75">
      <c r="A355" s="157"/>
      <c r="B355" s="519"/>
      <c r="J355" s="524"/>
      <c r="K355" s="525"/>
    </row>
    <row r="356" spans="1:11" s="520" customFormat="1" ht="15.75">
      <c r="A356" s="157"/>
      <c r="B356" s="519"/>
      <c r="J356" s="524"/>
      <c r="K356" s="525"/>
    </row>
    <row r="357" spans="1:11" s="520" customFormat="1" ht="15.75">
      <c r="A357" s="157"/>
      <c r="B357" s="519"/>
      <c r="J357" s="524"/>
      <c r="K357" s="525"/>
    </row>
    <row r="358" spans="1:11" s="520" customFormat="1" ht="15.75">
      <c r="A358" s="157"/>
      <c r="B358" s="519"/>
      <c r="J358" s="524"/>
      <c r="K358" s="525"/>
    </row>
    <row r="359" spans="1:11" s="520" customFormat="1" ht="15.75">
      <c r="A359" s="157"/>
      <c r="B359" s="519"/>
      <c r="J359" s="524"/>
      <c r="K359" s="525"/>
    </row>
    <row r="360" spans="1:11" s="520" customFormat="1" ht="15.75">
      <c r="A360" s="157"/>
      <c r="B360" s="519"/>
      <c r="J360" s="524"/>
      <c r="K360" s="525"/>
    </row>
    <row r="361" spans="1:11" s="520" customFormat="1" ht="15.75">
      <c r="A361" s="157"/>
      <c r="B361" s="519"/>
      <c r="J361" s="524"/>
      <c r="K361" s="525"/>
    </row>
    <row r="362" spans="1:11" s="520" customFormat="1" ht="15.75">
      <c r="A362" s="157"/>
      <c r="B362" s="519"/>
      <c r="J362" s="524"/>
      <c r="K362" s="525"/>
    </row>
    <row r="363" spans="1:11" s="520" customFormat="1" ht="15.75">
      <c r="A363" s="157"/>
      <c r="B363" s="519"/>
      <c r="J363" s="524"/>
      <c r="K363" s="525"/>
    </row>
    <row r="364" spans="1:11" s="520" customFormat="1" ht="15.75">
      <c r="A364" s="157"/>
      <c r="B364" s="519"/>
      <c r="J364" s="524"/>
      <c r="K364" s="525"/>
    </row>
    <row r="365" spans="1:11" s="520" customFormat="1" ht="15.75">
      <c r="A365" s="157"/>
      <c r="B365" s="519"/>
      <c r="J365" s="524"/>
      <c r="K365" s="525"/>
    </row>
    <row r="366" spans="1:11" s="520" customFormat="1" ht="15.75">
      <c r="A366" s="157"/>
      <c r="B366" s="519"/>
      <c r="J366" s="524"/>
      <c r="K366" s="525"/>
    </row>
    <row r="367" spans="1:11" s="520" customFormat="1" ht="15.75">
      <c r="A367" s="157"/>
      <c r="B367" s="519"/>
      <c r="J367" s="524"/>
      <c r="K367" s="525"/>
    </row>
    <row r="368" spans="1:11" s="520" customFormat="1" ht="15.75">
      <c r="A368" s="157"/>
      <c r="B368" s="519"/>
      <c r="J368" s="524"/>
      <c r="K368" s="525"/>
    </row>
    <row r="369" spans="1:11" s="520" customFormat="1" ht="15.75">
      <c r="A369" s="157"/>
      <c r="B369" s="519"/>
      <c r="J369" s="524"/>
      <c r="K369" s="525"/>
    </row>
    <row r="370" spans="1:11" s="520" customFormat="1" ht="15.75">
      <c r="A370" s="157"/>
      <c r="B370" s="519"/>
      <c r="J370" s="524"/>
      <c r="K370" s="525"/>
    </row>
    <row r="371" spans="1:11" s="520" customFormat="1" ht="15.75">
      <c r="A371" s="157"/>
      <c r="B371" s="519"/>
      <c r="J371" s="524"/>
      <c r="K371" s="525"/>
    </row>
    <row r="372" spans="1:11" s="520" customFormat="1" ht="15.75">
      <c r="A372" s="157"/>
      <c r="B372" s="519"/>
      <c r="J372" s="524"/>
      <c r="K372" s="525"/>
    </row>
    <row r="373" spans="1:11" s="520" customFormat="1" ht="15.75">
      <c r="A373" s="157"/>
      <c r="B373" s="519"/>
      <c r="J373" s="524"/>
      <c r="K373" s="525"/>
    </row>
    <row r="374" spans="1:11" s="520" customFormat="1" ht="15.75">
      <c r="A374" s="157"/>
      <c r="B374" s="519"/>
      <c r="J374" s="524"/>
      <c r="K374" s="525"/>
    </row>
    <row r="375" spans="1:11" s="520" customFormat="1" ht="15.75">
      <c r="A375" s="157"/>
      <c r="B375" s="519"/>
      <c r="J375" s="524"/>
      <c r="K375" s="525"/>
    </row>
    <row r="376" spans="1:11" s="520" customFormat="1" ht="15.75">
      <c r="A376" s="157"/>
      <c r="B376" s="519"/>
      <c r="J376" s="524"/>
      <c r="K376" s="525"/>
    </row>
    <row r="377" spans="1:11" s="520" customFormat="1" ht="15.75">
      <c r="A377" s="157"/>
      <c r="B377" s="519"/>
      <c r="J377" s="524"/>
      <c r="K377" s="525"/>
    </row>
    <row r="378" spans="1:11" s="520" customFormat="1" ht="15.75">
      <c r="A378" s="157"/>
      <c r="B378" s="519"/>
      <c r="J378" s="524"/>
      <c r="K378" s="525"/>
    </row>
    <row r="379" spans="1:11" s="520" customFormat="1" ht="15.75">
      <c r="A379" s="157"/>
      <c r="B379" s="519"/>
      <c r="J379" s="524"/>
      <c r="K379" s="525"/>
    </row>
    <row r="380" spans="1:11" s="520" customFormat="1" ht="15.75">
      <c r="A380" s="157"/>
      <c r="B380" s="519"/>
      <c r="J380" s="524"/>
      <c r="K380" s="525"/>
    </row>
    <row r="381" spans="1:11" s="520" customFormat="1" ht="15.75">
      <c r="A381" s="157"/>
      <c r="B381" s="519"/>
      <c r="J381" s="524"/>
      <c r="K381" s="525"/>
    </row>
    <row r="382" spans="1:11" s="520" customFormat="1" ht="15.75">
      <c r="A382" s="157"/>
      <c r="B382" s="519"/>
      <c r="J382" s="524"/>
      <c r="K382" s="525"/>
    </row>
    <row r="383" spans="1:11" s="520" customFormat="1" ht="15.75">
      <c r="A383" s="157"/>
      <c r="B383" s="519"/>
      <c r="J383" s="524"/>
      <c r="K383" s="525"/>
    </row>
    <row r="384" spans="1:11" s="520" customFormat="1" ht="15.75">
      <c r="A384" s="157"/>
      <c r="B384" s="519"/>
      <c r="J384" s="524"/>
      <c r="K384" s="525"/>
    </row>
    <row r="385" spans="1:11" s="520" customFormat="1" ht="15.75">
      <c r="A385" s="157"/>
      <c r="B385" s="519"/>
      <c r="J385" s="524"/>
      <c r="K385" s="525"/>
    </row>
    <row r="386" spans="1:11" s="520" customFormat="1" ht="15.75">
      <c r="A386" s="157"/>
      <c r="B386" s="519"/>
      <c r="J386" s="524"/>
      <c r="K386" s="525"/>
    </row>
    <row r="387" spans="1:11" s="520" customFormat="1" ht="15.75">
      <c r="A387" s="157"/>
      <c r="B387" s="519"/>
      <c r="J387" s="524"/>
      <c r="K387" s="525"/>
    </row>
    <row r="388" spans="1:11" s="520" customFormat="1" ht="15.75">
      <c r="A388" s="157"/>
      <c r="B388" s="519"/>
      <c r="J388" s="524"/>
      <c r="K388" s="525"/>
    </row>
    <row r="389" spans="1:11" s="520" customFormat="1" ht="15.75">
      <c r="A389" s="157"/>
      <c r="B389" s="519"/>
      <c r="J389" s="524"/>
      <c r="K389" s="525"/>
    </row>
    <row r="390" spans="1:11" s="520" customFormat="1" ht="15.75">
      <c r="A390" s="157"/>
      <c r="B390" s="519"/>
      <c r="J390" s="524"/>
      <c r="K390" s="525"/>
    </row>
    <row r="391" spans="1:11" s="520" customFormat="1" ht="15.75">
      <c r="A391" s="157"/>
      <c r="B391" s="519"/>
      <c r="J391" s="524"/>
      <c r="K391" s="525"/>
    </row>
    <row r="392" spans="1:11" s="520" customFormat="1" ht="15.75">
      <c r="A392" s="157"/>
      <c r="B392" s="519"/>
      <c r="J392" s="524"/>
      <c r="K392" s="525"/>
    </row>
    <row r="393" spans="1:11" s="520" customFormat="1" ht="15.75">
      <c r="A393" s="157"/>
      <c r="B393" s="519"/>
      <c r="J393" s="524"/>
      <c r="K393" s="525"/>
    </row>
    <row r="394" spans="1:11" s="520" customFormat="1" ht="15.75">
      <c r="A394" s="157"/>
      <c r="B394" s="519"/>
      <c r="J394" s="524"/>
      <c r="K394" s="525"/>
    </row>
    <row r="395" spans="1:11" s="520" customFormat="1" ht="15.75">
      <c r="A395" s="157"/>
      <c r="B395" s="519"/>
      <c r="J395" s="524"/>
      <c r="K395" s="525"/>
    </row>
    <row r="396" spans="1:11" s="520" customFormat="1" ht="15.75">
      <c r="A396" s="157"/>
      <c r="B396" s="519"/>
      <c r="J396" s="524"/>
      <c r="K396" s="525"/>
    </row>
    <row r="397" spans="1:11" s="520" customFormat="1" ht="15.75">
      <c r="A397" s="157"/>
      <c r="B397" s="519"/>
      <c r="J397" s="524"/>
      <c r="K397" s="525"/>
    </row>
    <row r="398" spans="1:11" s="520" customFormat="1" ht="15.75">
      <c r="A398" s="157"/>
      <c r="B398" s="519"/>
      <c r="J398" s="524"/>
      <c r="K398" s="525"/>
    </row>
    <row r="399" spans="1:11" s="520" customFormat="1" ht="15.75">
      <c r="A399" s="157"/>
      <c r="B399" s="519"/>
      <c r="J399" s="524"/>
      <c r="K399" s="525"/>
    </row>
    <row r="400" spans="1:11" s="520" customFormat="1" ht="15.75">
      <c r="A400" s="157"/>
      <c r="B400" s="519"/>
      <c r="J400" s="524"/>
      <c r="K400" s="525"/>
    </row>
    <row r="401" spans="1:11" s="520" customFormat="1" ht="15.75">
      <c r="A401" s="157"/>
      <c r="B401" s="519"/>
      <c r="J401" s="524"/>
      <c r="K401" s="525"/>
    </row>
    <row r="402" spans="1:11" s="520" customFormat="1" ht="15.75">
      <c r="A402" s="157"/>
      <c r="B402" s="519"/>
      <c r="J402" s="524"/>
      <c r="K402" s="525"/>
    </row>
    <row r="403" spans="1:11" s="520" customFormat="1" ht="15.75">
      <c r="A403" s="157"/>
      <c r="B403" s="519"/>
      <c r="J403" s="524"/>
      <c r="K403" s="525"/>
    </row>
    <row r="404" spans="1:11" s="520" customFormat="1" ht="15.75">
      <c r="A404" s="157"/>
      <c r="B404" s="519"/>
      <c r="J404" s="524"/>
      <c r="K404" s="525"/>
    </row>
    <row r="405" spans="1:11" s="520" customFormat="1" ht="15.75">
      <c r="A405" s="157"/>
      <c r="B405" s="519"/>
      <c r="J405" s="524"/>
      <c r="K405" s="525"/>
    </row>
    <row r="406" spans="1:11" s="520" customFormat="1" ht="15.75">
      <c r="A406" s="157"/>
      <c r="B406" s="519"/>
      <c r="J406" s="524"/>
      <c r="K406" s="525"/>
    </row>
    <row r="407" spans="1:11" s="520" customFormat="1" ht="15.75">
      <c r="A407" s="157"/>
      <c r="B407" s="519"/>
      <c r="J407" s="524"/>
      <c r="K407" s="525"/>
    </row>
    <row r="408" spans="1:11" s="520" customFormat="1" ht="15.75">
      <c r="A408" s="157"/>
      <c r="B408" s="519"/>
      <c r="J408" s="524"/>
      <c r="K408" s="525"/>
    </row>
    <row r="409" spans="1:11" s="520" customFormat="1" ht="15.75">
      <c r="A409" s="157"/>
      <c r="B409" s="519"/>
      <c r="J409" s="524"/>
      <c r="K409" s="525"/>
    </row>
    <row r="410" spans="1:11" s="520" customFormat="1" ht="15.75">
      <c r="A410" s="157"/>
      <c r="B410" s="519"/>
      <c r="J410" s="524"/>
      <c r="K410" s="525"/>
    </row>
    <row r="411" spans="1:11" s="520" customFormat="1" ht="15.75">
      <c r="A411" s="157"/>
      <c r="B411" s="519"/>
      <c r="J411" s="524"/>
      <c r="K411" s="525"/>
    </row>
    <row r="412" spans="1:11" s="520" customFormat="1" ht="15.75">
      <c r="A412" s="157"/>
      <c r="B412" s="519"/>
      <c r="J412" s="524"/>
      <c r="K412" s="525"/>
    </row>
    <row r="413" spans="1:11" s="520" customFormat="1" ht="15.75">
      <c r="A413" s="157"/>
      <c r="B413" s="519"/>
      <c r="J413" s="524"/>
      <c r="K413" s="525"/>
    </row>
    <row r="414" spans="1:11" s="520" customFormat="1" ht="15.75">
      <c r="A414" s="157"/>
      <c r="B414" s="519"/>
      <c r="J414" s="524"/>
      <c r="K414" s="525"/>
    </row>
    <row r="415" spans="1:11" s="520" customFormat="1" ht="15.75">
      <c r="A415" s="157"/>
      <c r="B415" s="519"/>
      <c r="J415" s="524"/>
      <c r="K415" s="525"/>
    </row>
    <row r="416" spans="1:11" s="520" customFormat="1" ht="15.75">
      <c r="A416" s="157"/>
      <c r="B416" s="519"/>
      <c r="J416" s="524"/>
      <c r="K416" s="525"/>
    </row>
    <row r="417" spans="1:11" s="520" customFormat="1" ht="15.75">
      <c r="A417" s="157"/>
      <c r="B417" s="519"/>
      <c r="J417" s="524"/>
      <c r="K417" s="525"/>
    </row>
    <row r="418" spans="1:11" s="520" customFormat="1" ht="15.75">
      <c r="A418" s="157"/>
      <c r="B418" s="519"/>
      <c r="J418" s="524"/>
      <c r="K418" s="525"/>
    </row>
    <row r="419" spans="1:11" s="520" customFormat="1" ht="15.75">
      <c r="A419" s="157"/>
      <c r="B419" s="519"/>
      <c r="J419" s="524"/>
      <c r="K419" s="525"/>
    </row>
    <row r="420" spans="1:11" s="520" customFormat="1" ht="15.75">
      <c r="A420" s="157"/>
      <c r="B420" s="519"/>
      <c r="J420" s="524"/>
      <c r="K420" s="525"/>
    </row>
    <row r="421" spans="1:11" s="520" customFormat="1" ht="15.75">
      <c r="A421" s="157"/>
      <c r="B421" s="519"/>
      <c r="J421" s="524"/>
      <c r="K421" s="525"/>
    </row>
    <row r="422" spans="1:11" s="520" customFormat="1" ht="15.75">
      <c r="A422" s="157"/>
      <c r="B422" s="519"/>
      <c r="J422" s="524"/>
      <c r="K422" s="525"/>
    </row>
    <row r="423" spans="1:11" s="520" customFormat="1" ht="15.75">
      <c r="A423" s="157"/>
      <c r="B423" s="519"/>
      <c r="J423" s="524"/>
      <c r="K423" s="525"/>
    </row>
    <row r="424" spans="1:11" s="520" customFormat="1" ht="15.75">
      <c r="A424" s="157"/>
      <c r="B424" s="519"/>
      <c r="J424" s="524"/>
      <c r="K424" s="525"/>
    </row>
    <row r="425" spans="1:11" s="520" customFormat="1" ht="15.75">
      <c r="A425" s="157"/>
      <c r="B425" s="519"/>
      <c r="J425" s="524"/>
      <c r="K425" s="525"/>
    </row>
    <row r="426" spans="1:11" s="520" customFormat="1" ht="15.75">
      <c r="A426" s="157"/>
      <c r="B426" s="519"/>
      <c r="J426" s="524"/>
      <c r="K426" s="525"/>
    </row>
    <row r="427" spans="1:11" s="520" customFormat="1" ht="15.75">
      <c r="A427" s="157"/>
      <c r="B427" s="519"/>
      <c r="J427" s="524"/>
      <c r="K427" s="525"/>
    </row>
    <row r="428" spans="1:11" s="520" customFormat="1" ht="15.75">
      <c r="A428" s="157"/>
      <c r="B428" s="519"/>
      <c r="J428" s="524"/>
      <c r="K428" s="525"/>
    </row>
    <row r="429" spans="1:11" s="520" customFormat="1" ht="15.75">
      <c r="A429" s="157"/>
      <c r="B429" s="519"/>
      <c r="J429" s="524"/>
      <c r="K429" s="525"/>
    </row>
    <row r="430" spans="1:11" s="520" customFormat="1" ht="15.75">
      <c r="A430" s="157"/>
      <c r="B430" s="519"/>
      <c r="J430" s="524"/>
      <c r="K430" s="525"/>
    </row>
    <row r="431" spans="1:11" s="520" customFormat="1" ht="15.75">
      <c r="A431" s="157"/>
      <c r="B431" s="519"/>
      <c r="J431" s="524"/>
      <c r="K431" s="525"/>
    </row>
    <row r="432" spans="1:11" s="520" customFormat="1" ht="15.75">
      <c r="A432" s="157"/>
      <c r="B432" s="519"/>
      <c r="J432" s="524"/>
      <c r="K432" s="525"/>
    </row>
    <row r="433" spans="1:11" s="520" customFormat="1" ht="15.75">
      <c r="A433" s="157"/>
      <c r="B433" s="519"/>
      <c r="J433" s="524"/>
      <c r="K433" s="525"/>
    </row>
    <row r="434" spans="1:11" s="520" customFormat="1" ht="15.75">
      <c r="A434" s="157"/>
      <c r="B434" s="519"/>
      <c r="J434" s="524"/>
      <c r="K434" s="525"/>
    </row>
    <row r="435" spans="1:11" s="520" customFormat="1" ht="15.75">
      <c r="A435" s="157"/>
      <c r="B435" s="519"/>
      <c r="J435" s="524"/>
      <c r="K435" s="525"/>
    </row>
    <row r="436" spans="1:11" s="520" customFormat="1" ht="15.75">
      <c r="A436" s="157"/>
      <c r="B436" s="519"/>
      <c r="J436" s="524"/>
      <c r="K436" s="525"/>
    </row>
    <row r="437" spans="1:11" s="520" customFormat="1" ht="15.75">
      <c r="A437" s="157"/>
      <c r="B437" s="519"/>
      <c r="J437" s="524"/>
      <c r="K437" s="525"/>
    </row>
    <row r="438" spans="1:11" s="520" customFormat="1" ht="15.75">
      <c r="A438" s="157"/>
      <c r="B438" s="519"/>
      <c r="J438" s="524"/>
      <c r="K438" s="525"/>
    </row>
    <row r="439" spans="1:11" s="520" customFormat="1" ht="15.75">
      <c r="A439" s="157"/>
      <c r="B439" s="519"/>
      <c r="J439" s="524"/>
      <c r="K439" s="525"/>
    </row>
    <row r="440" spans="1:11" s="520" customFormat="1" ht="15.75">
      <c r="A440" s="157"/>
      <c r="B440" s="519"/>
      <c r="J440" s="524"/>
      <c r="K440" s="525"/>
    </row>
    <row r="441" spans="1:11" s="520" customFormat="1" ht="15.75">
      <c r="A441" s="157"/>
      <c r="B441" s="519"/>
      <c r="J441" s="524"/>
      <c r="K441" s="525"/>
    </row>
    <row r="442" spans="1:11" s="520" customFormat="1" ht="15.75">
      <c r="A442" s="157"/>
      <c r="B442" s="519"/>
      <c r="J442" s="524"/>
      <c r="K442" s="525"/>
    </row>
    <row r="443" spans="1:11" s="520" customFormat="1" ht="15.75">
      <c r="A443" s="157"/>
      <c r="B443" s="519"/>
      <c r="J443" s="524"/>
      <c r="K443" s="525"/>
    </row>
    <row r="444" spans="1:11" s="520" customFormat="1" ht="15.75">
      <c r="A444" s="157"/>
      <c r="B444" s="519"/>
      <c r="J444" s="524"/>
      <c r="K444" s="525"/>
    </row>
    <row r="445" spans="1:11" s="520" customFormat="1" ht="15.75">
      <c r="A445" s="157"/>
      <c r="B445" s="519"/>
      <c r="J445" s="524"/>
      <c r="K445" s="525"/>
    </row>
    <row r="446" spans="1:11" s="520" customFormat="1" ht="15.75">
      <c r="A446" s="157"/>
      <c r="B446" s="519"/>
      <c r="J446" s="524"/>
      <c r="K446" s="525"/>
    </row>
    <row r="447" spans="1:11" s="520" customFormat="1" ht="15.75">
      <c r="A447" s="157"/>
      <c r="B447" s="519"/>
      <c r="J447" s="524"/>
      <c r="K447" s="525"/>
    </row>
    <row r="448" spans="1:11" s="520" customFormat="1" ht="15.75">
      <c r="A448" s="157"/>
      <c r="B448" s="519"/>
      <c r="J448" s="524"/>
      <c r="K448" s="525"/>
    </row>
    <row r="449" spans="1:11" s="520" customFormat="1" ht="15.75">
      <c r="A449" s="157"/>
      <c r="B449" s="519"/>
      <c r="J449" s="524"/>
      <c r="K449" s="525"/>
    </row>
    <row r="450" spans="1:11" s="520" customFormat="1" ht="15.75">
      <c r="A450" s="157"/>
      <c r="B450" s="519"/>
      <c r="J450" s="524"/>
      <c r="K450" s="525"/>
    </row>
    <row r="451" spans="1:11" s="520" customFormat="1" ht="15.75">
      <c r="A451" s="157"/>
      <c r="B451" s="519"/>
      <c r="J451" s="524"/>
      <c r="K451" s="525"/>
    </row>
    <row r="452" spans="1:11" s="520" customFormat="1" ht="15.75">
      <c r="A452" s="157"/>
      <c r="B452" s="519"/>
      <c r="J452" s="524"/>
      <c r="K452" s="525"/>
    </row>
    <row r="453" spans="1:11" s="520" customFormat="1" ht="15.75">
      <c r="A453" s="157"/>
      <c r="B453" s="519"/>
      <c r="J453" s="524"/>
      <c r="K453" s="525"/>
    </row>
    <row r="454" spans="1:11" s="520" customFormat="1" ht="15.75">
      <c r="A454" s="157"/>
      <c r="B454" s="519"/>
      <c r="J454" s="524"/>
      <c r="K454" s="525"/>
    </row>
    <row r="455" spans="1:11" s="520" customFormat="1" ht="15.75">
      <c r="A455" s="157"/>
      <c r="B455" s="519"/>
      <c r="J455" s="524"/>
      <c r="K455" s="525"/>
    </row>
    <row r="456" spans="1:11" s="520" customFormat="1" ht="15.75">
      <c r="A456" s="157"/>
      <c r="B456" s="519"/>
      <c r="J456" s="524"/>
      <c r="K456" s="525"/>
    </row>
    <row r="457" spans="1:11" s="520" customFormat="1" ht="15.75">
      <c r="A457" s="157"/>
      <c r="B457" s="519"/>
      <c r="J457" s="524"/>
      <c r="K457" s="525"/>
    </row>
    <row r="458" spans="1:11" s="520" customFormat="1" ht="15.75">
      <c r="A458" s="157"/>
      <c r="B458" s="519"/>
      <c r="J458" s="524"/>
      <c r="K458" s="525"/>
    </row>
    <row r="459" spans="1:11" s="520" customFormat="1" ht="15.75">
      <c r="A459" s="157"/>
      <c r="B459" s="519"/>
      <c r="J459" s="524"/>
      <c r="K459" s="525"/>
    </row>
    <row r="460" spans="1:11" s="520" customFormat="1" ht="15.75">
      <c r="A460" s="157"/>
      <c r="B460" s="519"/>
      <c r="J460" s="524"/>
      <c r="K460" s="525"/>
    </row>
    <row r="461" spans="1:11" s="520" customFormat="1" ht="15.75">
      <c r="A461" s="157"/>
      <c r="B461" s="519"/>
      <c r="J461" s="524"/>
      <c r="K461" s="525"/>
    </row>
    <row r="462" spans="1:11" s="520" customFormat="1" ht="15.75">
      <c r="A462" s="157"/>
      <c r="B462" s="519"/>
      <c r="J462" s="524"/>
      <c r="K462" s="525"/>
    </row>
    <row r="463" spans="1:11" s="520" customFormat="1" ht="15.75">
      <c r="A463" s="157"/>
      <c r="B463" s="519"/>
      <c r="J463" s="524"/>
      <c r="K463" s="525"/>
    </row>
    <row r="464" spans="1:11" s="520" customFormat="1" ht="15.75">
      <c r="A464" s="157"/>
      <c r="B464" s="519"/>
      <c r="J464" s="524"/>
      <c r="K464" s="525"/>
    </row>
    <row r="465" spans="1:11" s="520" customFormat="1" ht="15.75">
      <c r="A465" s="157"/>
      <c r="B465" s="519"/>
      <c r="J465" s="524"/>
      <c r="K465" s="525"/>
    </row>
    <row r="466" spans="1:11" s="520" customFormat="1" ht="15.75">
      <c r="A466" s="157"/>
      <c r="B466" s="519"/>
      <c r="J466" s="524"/>
      <c r="K466" s="525"/>
    </row>
    <row r="467" spans="1:11" s="520" customFormat="1" ht="15.75">
      <c r="A467" s="157"/>
      <c r="B467" s="519"/>
      <c r="J467" s="524"/>
      <c r="K467" s="525"/>
    </row>
    <row r="468" spans="1:11" s="520" customFormat="1" ht="15.75">
      <c r="A468" s="157"/>
      <c r="B468" s="519"/>
      <c r="J468" s="524"/>
      <c r="K468" s="525"/>
    </row>
    <row r="469" spans="1:11" s="520" customFormat="1" ht="15.75">
      <c r="A469" s="157"/>
      <c r="B469" s="519"/>
      <c r="J469" s="524"/>
      <c r="K469" s="525"/>
    </row>
    <row r="470" spans="1:11" s="520" customFormat="1" ht="15.75">
      <c r="A470" s="157"/>
      <c r="B470" s="519"/>
      <c r="J470" s="524"/>
      <c r="K470" s="525"/>
    </row>
    <row r="471" spans="1:11" s="520" customFormat="1" ht="15.75">
      <c r="A471" s="157"/>
      <c r="B471" s="519"/>
      <c r="J471" s="524"/>
      <c r="K471" s="525"/>
    </row>
    <row r="472" spans="1:11" s="520" customFormat="1" ht="15.75">
      <c r="A472" s="157"/>
      <c r="B472" s="519"/>
      <c r="J472" s="524"/>
      <c r="K472" s="525"/>
    </row>
    <row r="473" spans="1:11" s="520" customFormat="1" ht="15.75">
      <c r="A473" s="157"/>
      <c r="B473" s="519"/>
      <c r="J473" s="524"/>
      <c r="K473" s="525"/>
    </row>
    <row r="474" spans="1:11" s="520" customFormat="1" ht="15.75">
      <c r="A474" s="157"/>
      <c r="B474" s="519"/>
      <c r="J474" s="524"/>
      <c r="K474" s="525"/>
    </row>
    <row r="475" spans="1:11" s="520" customFormat="1" ht="15.75">
      <c r="A475" s="157"/>
      <c r="B475" s="519"/>
      <c r="J475" s="524"/>
      <c r="K475" s="525"/>
    </row>
    <row r="476" spans="1:11" s="520" customFormat="1" ht="15.75">
      <c r="A476" s="157"/>
      <c r="B476" s="519"/>
      <c r="J476" s="524"/>
      <c r="K476" s="525"/>
    </row>
    <row r="477" spans="1:11" s="520" customFormat="1" ht="15.75">
      <c r="A477" s="157"/>
      <c r="B477" s="519"/>
      <c r="J477" s="524"/>
      <c r="K477" s="525"/>
    </row>
    <row r="478" spans="1:11" s="520" customFormat="1" ht="15.75">
      <c r="A478" s="157"/>
      <c r="B478" s="519"/>
      <c r="J478" s="524"/>
      <c r="K478" s="525"/>
    </row>
    <row r="479" spans="1:11" s="520" customFormat="1" ht="15.75">
      <c r="A479" s="157"/>
      <c r="B479" s="519"/>
      <c r="J479" s="524"/>
      <c r="K479" s="525"/>
    </row>
    <row r="480" spans="1:11" s="520" customFormat="1" ht="15.75">
      <c r="A480" s="157"/>
      <c r="B480" s="519"/>
      <c r="J480" s="524"/>
      <c r="K480" s="525"/>
    </row>
    <row r="481" spans="1:11" s="520" customFormat="1" ht="15.75">
      <c r="A481" s="157"/>
      <c r="B481" s="519"/>
      <c r="J481" s="524"/>
      <c r="K481" s="525"/>
    </row>
    <row r="482" spans="1:11" s="520" customFormat="1" ht="15.75">
      <c r="A482" s="157"/>
      <c r="B482" s="519"/>
      <c r="J482" s="524"/>
      <c r="K482" s="525"/>
    </row>
    <row r="483" spans="1:11" s="520" customFormat="1" ht="15.75">
      <c r="A483" s="157"/>
      <c r="B483" s="519"/>
      <c r="J483" s="524"/>
      <c r="K483" s="525"/>
    </row>
    <row r="484" spans="1:11" s="520" customFormat="1" ht="15.75">
      <c r="A484" s="157"/>
      <c r="B484" s="519"/>
      <c r="J484" s="524"/>
      <c r="K484" s="525"/>
    </row>
    <row r="485" spans="1:11" s="520" customFormat="1" ht="15.75">
      <c r="A485" s="157"/>
      <c r="B485" s="519"/>
      <c r="J485" s="524"/>
      <c r="K485" s="525"/>
    </row>
    <row r="486" spans="1:11" s="520" customFormat="1" ht="15.75">
      <c r="A486" s="157"/>
      <c r="B486" s="519"/>
      <c r="J486" s="524"/>
      <c r="K486" s="525"/>
    </row>
    <row r="487" spans="1:11" s="520" customFormat="1" ht="15.75">
      <c r="A487" s="157"/>
      <c r="B487" s="519"/>
      <c r="J487" s="524"/>
      <c r="K487" s="525"/>
    </row>
    <row r="488" spans="1:11" s="520" customFormat="1" ht="15.75">
      <c r="A488" s="157"/>
      <c r="B488" s="519"/>
      <c r="J488" s="524"/>
      <c r="K488" s="525"/>
    </row>
    <row r="489" spans="1:11" s="520" customFormat="1" ht="15.75">
      <c r="A489" s="157"/>
      <c r="B489" s="519"/>
      <c r="J489" s="524"/>
      <c r="K489" s="525"/>
    </row>
    <row r="490" spans="1:11" s="520" customFormat="1" ht="15.75">
      <c r="A490" s="157"/>
      <c r="B490" s="519"/>
      <c r="J490" s="524"/>
      <c r="K490" s="525"/>
    </row>
    <row r="491" spans="1:11" s="520" customFormat="1" ht="15.75">
      <c r="A491" s="157"/>
      <c r="B491" s="519"/>
      <c r="J491" s="524"/>
      <c r="K491" s="525"/>
    </row>
    <row r="492" spans="1:11" s="520" customFormat="1" ht="15.75">
      <c r="A492" s="157"/>
      <c r="B492" s="519"/>
      <c r="J492" s="524"/>
      <c r="K492" s="525"/>
    </row>
    <row r="493" spans="1:11" s="520" customFormat="1" ht="15.75">
      <c r="A493" s="157"/>
      <c r="B493" s="519"/>
      <c r="J493" s="524"/>
      <c r="K493" s="525"/>
    </row>
    <row r="494" spans="1:11" s="520" customFormat="1" ht="15.75">
      <c r="A494" s="157"/>
      <c r="B494" s="519"/>
      <c r="J494" s="524"/>
      <c r="K494" s="525"/>
    </row>
    <row r="495" spans="1:11" s="520" customFormat="1" ht="15.75">
      <c r="A495" s="157"/>
      <c r="B495" s="519"/>
      <c r="J495" s="524"/>
      <c r="K495" s="525"/>
    </row>
    <row r="496" spans="1:11" s="520" customFormat="1" ht="15.75">
      <c r="A496" s="157"/>
      <c r="B496" s="519"/>
      <c r="J496" s="524"/>
      <c r="K496" s="525"/>
    </row>
    <row r="497" spans="1:11" s="520" customFormat="1" ht="15.75">
      <c r="A497" s="157"/>
      <c r="B497" s="519"/>
      <c r="J497" s="524"/>
      <c r="K497" s="525"/>
    </row>
    <row r="498" spans="1:11" s="520" customFormat="1" ht="15.75">
      <c r="A498" s="157"/>
      <c r="B498" s="519"/>
      <c r="J498" s="524"/>
      <c r="K498" s="525"/>
    </row>
    <row r="499" spans="1:11" s="520" customFormat="1" ht="15.75">
      <c r="A499" s="157"/>
      <c r="B499" s="519"/>
      <c r="J499" s="524"/>
      <c r="K499" s="525"/>
    </row>
    <row r="500" spans="1:11" s="520" customFormat="1" ht="15.75">
      <c r="A500" s="157"/>
      <c r="B500" s="519"/>
      <c r="J500" s="524"/>
      <c r="K500" s="525"/>
    </row>
    <row r="501" spans="1:11" s="520" customFormat="1" ht="15.75">
      <c r="A501" s="157"/>
      <c r="B501" s="519"/>
      <c r="J501" s="524"/>
      <c r="K501" s="525"/>
    </row>
    <row r="502" spans="1:11" s="520" customFormat="1" ht="15.75">
      <c r="A502" s="157"/>
      <c r="B502" s="519"/>
      <c r="J502" s="524"/>
      <c r="K502" s="525"/>
    </row>
    <row r="503" spans="1:11" s="520" customFormat="1" ht="15.75">
      <c r="A503" s="157"/>
      <c r="B503" s="519"/>
      <c r="J503" s="524"/>
      <c r="K503" s="525"/>
    </row>
    <row r="504" spans="1:11" s="520" customFormat="1" ht="15.75">
      <c r="A504" s="157"/>
      <c r="B504" s="519"/>
      <c r="J504" s="524"/>
      <c r="K504" s="525"/>
    </row>
    <row r="505" spans="1:11" s="520" customFormat="1" ht="15.75">
      <c r="A505" s="157"/>
      <c r="B505" s="519"/>
      <c r="J505" s="524"/>
      <c r="K505" s="525"/>
    </row>
    <row r="506" spans="1:11" s="520" customFormat="1" ht="15.75">
      <c r="A506" s="157"/>
      <c r="B506" s="519"/>
      <c r="J506" s="524"/>
      <c r="K506" s="525"/>
    </row>
    <row r="507" spans="1:11" s="520" customFormat="1" ht="15.75">
      <c r="A507" s="157"/>
      <c r="B507" s="519"/>
      <c r="J507" s="524"/>
      <c r="K507" s="525"/>
    </row>
    <row r="508" spans="1:11" s="520" customFormat="1" ht="15.75">
      <c r="A508" s="157"/>
      <c r="B508" s="519"/>
      <c r="J508" s="524"/>
      <c r="K508" s="525"/>
    </row>
    <row r="509" spans="1:11" s="520" customFormat="1" ht="15.75">
      <c r="A509" s="157"/>
      <c r="B509" s="519"/>
      <c r="J509" s="524"/>
      <c r="K509" s="525"/>
    </row>
    <row r="510" spans="1:11" s="520" customFormat="1" ht="15.75">
      <c r="A510" s="157"/>
      <c r="B510" s="519"/>
      <c r="J510" s="524"/>
      <c r="K510" s="525"/>
    </row>
    <row r="511" spans="1:11" s="520" customFormat="1" ht="15.75">
      <c r="A511" s="157"/>
      <c r="B511" s="519"/>
      <c r="J511" s="524"/>
      <c r="K511" s="525"/>
    </row>
    <row r="512" spans="1:11" s="520" customFormat="1" ht="15.75">
      <c r="A512" s="157"/>
      <c r="B512" s="519"/>
      <c r="J512" s="524"/>
      <c r="K512" s="525"/>
    </row>
    <row r="513" spans="1:11" s="520" customFormat="1" ht="15.75">
      <c r="A513" s="157"/>
      <c r="B513" s="519"/>
      <c r="J513" s="524"/>
      <c r="K513" s="525"/>
    </row>
    <row r="514" spans="1:11" s="520" customFormat="1" ht="15.75">
      <c r="A514" s="157"/>
      <c r="B514" s="519"/>
      <c r="J514" s="524"/>
      <c r="K514" s="525"/>
    </row>
    <row r="515" spans="1:11" s="520" customFormat="1" ht="15.75">
      <c r="A515" s="157"/>
      <c r="B515" s="519"/>
      <c r="J515" s="524"/>
      <c r="K515" s="525"/>
    </row>
    <row r="516" spans="1:11" s="520" customFormat="1" ht="15.75">
      <c r="A516" s="157"/>
      <c r="B516" s="519"/>
      <c r="J516" s="524"/>
      <c r="K516" s="525"/>
    </row>
    <row r="517" spans="1:11" s="520" customFormat="1" ht="15.75">
      <c r="A517" s="157"/>
      <c r="B517" s="519"/>
      <c r="J517" s="524"/>
      <c r="K517" s="525"/>
    </row>
    <row r="518" spans="1:11" s="520" customFormat="1" ht="15.75">
      <c r="A518" s="157"/>
      <c r="B518" s="519"/>
      <c r="J518" s="524"/>
      <c r="K518" s="525"/>
    </row>
    <row r="519" spans="1:11" s="520" customFormat="1" ht="15.75">
      <c r="A519" s="157"/>
      <c r="B519" s="519"/>
      <c r="J519" s="524"/>
      <c r="K519" s="525"/>
    </row>
    <row r="520" spans="1:11" s="520" customFormat="1" ht="15.75">
      <c r="A520" s="157"/>
      <c r="B520" s="519"/>
      <c r="J520" s="524"/>
      <c r="K520" s="525"/>
    </row>
    <row r="521" spans="1:11" s="520" customFormat="1" ht="15.75">
      <c r="A521" s="157"/>
      <c r="B521" s="519"/>
      <c r="J521" s="524"/>
      <c r="K521" s="525"/>
    </row>
    <row r="522" spans="1:11" s="520" customFormat="1" ht="15.75">
      <c r="A522" s="157"/>
      <c r="B522" s="519"/>
      <c r="J522" s="524"/>
      <c r="K522" s="525"/>
    </row>
    <row r="523" spans="1:11" s="520" customFormat="1" ht="15.75">
      <c r="A523" s="157"/>
      <c r="B523" s="519"/>
      <c r="J523" s="524"/>
      <c r="K523" s="525"/>
    </row>
    <row r="524" spans="1:11" s="520" customFormat="1" ht="15.75">
      <c r="A524" s="157"/>
      <c r="B524" s="519"/>
      <c r="J524" s="524"/>
      <c r="K524" s="525"/>
    </row>
    <row r="525" spans="1:11" s="520" customFormat="1" ht="15.75">
      <c r="A525" s="157"/>
      <c r="B525" s="519"/>
      <c r="J525" s="524"/>
      <c r="K525" s="525"/>
    </row>
    <row r="526" spans="1:11" s="520" customFormat="1" ht="15.75">
      <c r="A526" s="157"/>
      <c r="B526" s="519"/>
      <c r="J526" s="524"/>
      <c r="K526" s="525"/>
    </row>
    <row r="527" spans="1:11" s="520" customFormat="1" ht="15.75">
      <c r="A527" s="157"/>
      <c r="B527" s="519"/>
      <c r="J527" s="524"/>
      <c r="K527" s="525"/>
    </row>
    <row r="528" spans="1:11" s="520" customFormat="1" ht="15.75">
      <c r="A528" s="157"/>
      <c r="B528" s="519"/>
      <c r="J528" s="524"/>
      <c r="K528" s="525"/>
    </row>
    <row r="529" spans="1:11" s="520" customFormat="1" ht="15.75">
      <c r="A529" s="157"/>
      <c r="B529" s="519"/>
      <c r="J529" s="524"/>
      <c r="K529" s="525"/>
    </row>
    <row r="530" spans="1:11" s="520" customFormat="1" ht="15.75">
      <c r="A530" s="157"/>
      <c r="B530" s="519"/>
      <c r="J530" s="524"/>
      <c r="K530" s="525"/>
    </row>
    <row r="531" spans="1:11" s="520" customFormat="1" ht="15.75">
      <c r="A531" s="157"/>
      <c r="B531" s="519"/>
      <c r="J531" s="524"/>
      <c r="K531" s="525"/>
    </row>
    <row r="532" spans="1:11" s="520" customFormat="1" ht="15.75">
      <c r="A532" s="157"/>
      <c r="B532" s="519"/>
      <c r="J532" s="524"/>
      <c r="K532" s="525"/>
    </row>
    <row r="533" spans="1:11" s="520" customFormat="1" ht="15.75">
      <c r="A533" s="157"/>
      <c r="B533" s="519"/>
      <c r="J533" s="524"/>
      <c r="K533" s="525"/>
    </row>
    <row r="534" spans="1:11" s="520" customFormat="1" ht="15.75">
      <c r="A534" s="157"/>
      <c r="B534" s="519"/>
      <c r="J534" s="524"/>
      <c r="K534" s="525"/>
    </row>
    <row r="535" spans="1:11" s="520" customFormat="1" ht="15.75">
      <c r="A535" s="157"/>
      <c r="B535" s="519"/>
      <c r="J535" s="524"/>
      <c r="K535" s="525"/>
    </row>
    <row r="536" spans="1:11" s="520" customFormat="1" ht="15.75">
      <c r="A536" s="157"/>
      <c r="B536" s="519"/>
      <c r="J536" s="524"/>
      <c r="K536" s="525"/>
    </row>
    <row r="537" spans="1:11" s="520" customFormat="1" ht="15.75">
      <c r="A537" s="157"/>
      <c r="B537" s="519"/>
      <c r="J537" s="524"/>
      <c r="K537" s="525"/>
    </row>
    <row r="538" spans="1:11" s="520" customFormat="1" ht="15.75">
      <c r="A538" s="157"/>
      <c r="B538" s="519"/>
      <c r="J538" s="524"/>
      <c r="K538" s="525"/>
    </row>
    <row r="539" spans="1:11" s="520" customFormat="1" ht="15.75">
      <c r="A539" s="157"/>
      <c r="B539" s="519"/>
      <c r="J539" s="524"/>
      <c r="K539" s="525"/>
    </row>
    <row r="540" spans="1:11" s="520" customFormat="1" ht="15.75">
      <c r="A540" s="157"/>
      <c r="B540" s="519"/>
      <c r="J540" s="524"/>
      <c r="K540" s="525"/>
    </row>
    <row r="541" spans="1:11" s="520" customFormat="1" ht="15.75">
      <c r="A541" s="157"/>
      <c r="B541" s="519"/>
      <c r="J541" s="524"/>
      <c r="K541" s="525"/>
    </row>
    <row r="542" spans="1:11" s="520" customFormat="1" ht="15.75">
      <c r="A542" s="157"/>
      <c r="B542" s="519"/>
      <c r="J542" s="524"/>
      <c r="K542" s="525"/>
    </row>
    <row r="543" spans="1:11" s="520" customFormat="1" ht="15.75">
      <c r="A543" s="157"/>
      <c r="B543" s="519"/>
      <c r="J543" s="524"/>
      <c r="K543" s="525"/>
    </row>
    <row r="544" spans="1:11" s="520" customFormat="1" ht="15.75">
      <c r="A544" s="157"/>
      <c r="B544" s="519"/>
      <c r="J544" s="524"/>
      <c r="K544" s="525"/>
    </row>
    <row r="545" spans="1:11" s="520" customFormat="1" ht="15.75">
      <c r="A545" s="157"/>
      <c r="B545" s="519"/>
      <c r="J545" s="524"/>
      <c r="K545" s="525"/>
    </row>
    <row r="546" spans="1:11" s="520" customFormat="1" ht="15.75">
      <c r="A546" s="157"/>
      <c r="B546" s="519"/>
      <c r="J546" s="524"/>
      <c r="K546" s="525"/>
    </row>
    <row r="547" spans="1:11" s="520" customFormat="1" ht="15.75">
      <c r="A547" s="157"/>
      <c r="B547" s="519"/>
      <c r="J547" s="524"/>
      <c r="K547" s="525"/>
    </row>
    <row r="548" spans="1:11" s="520" customFormat="1" ht="15.75">
      <c r="A548" s="157"/>
      <c r="B548" s="519"/>
      <c r="J548" s="524"/>
      <c r="K548" s="525"/>
    </row>
    <row r="549" spans="1:11" s="520" customFormat="1" ht="15.75">
      <c r="A549" s="157"/>
      <c r="B549" s="519"/>
      <c r="J549" s="524"/>
      <c r="K549" s="525"/>
    </row>
    <row r="550" spans="1:11" s="520" customFormat="1" ht="15.75">
      <c r="A550" s="157"/>
      <c r="B550" s="519"/>
      <c r="J550" s="524"/>
      <c r="K550" s="525"/>
    </row>
    <row r="551" spans="1:11" s="520" customFormat="1" ht="15.75">
      <c r="A551" s="157"/>
      <c r="B551" s="519"/>
      <c r="J551" s="524"/>
      <c r="K551" s="525"/>
    </row>
    <row r="552" spans="1:11" s="520" customFormat="1" ht="15.75">
      <c r="A552" s="157"/>
      <c r="B552" s="519"/>
      <c r="J552" s="524"/>
      <c r="K552" s="525"/>
    </row>
    <row r="553" spans="1:11" s="520" customFormat="1" ht="15.75">
      <c r="A553" s="157"/>
      <c r="B553" s="519"/>
      <c r="J553" s="524"/>
      <c r="K553" s="525"/>
    </row>
    <row r="554" spans="1:11" s="520" customFormat="1" ht="15.75">
      <c r="A554" s="157"/>
      <c r="B554" s="519"/>
      <c r="J554" s="524"/>
      <c r="K554" s="525"/>
    </row>
    <row r="555" spans="1:11" s="520" customFormat="1" ht="15.75">
      <c r="A555" s="157"/>
      <c r="B555" s="519"/>
      <c r="J555" s="524"/>
      <c r="K555" s="525"/>
    </row>
    <row r="556" spans="1:11" s="520" customFormat="1" ht="15.75">
      <c r="A556" s="157"/>
      <c r="B556" s="519"/>
      <c r="J556" s="524"/>
      <c r="K556" s="525"/>
    </row>
    <row r="557" spans="1:11" s="520" customFormat="1" ht="15.75">
      <c r="A557" s="157"/>
      <c r="B557" s="519"/>
      <c r="J557" s="524"/>
      <c r="K557" s="525"/>
    </row>
    <row r="558" spans="1:11" s="520" customFormat="1" ht="15.75">
      <c r="A558" s="157"/>
      <c r="B558" s="519"/>
      <c r="J558" s="524"/>
      <c r="K558" s="525"/>
    </row>
    <row r="559" spans="1:11" s="520" customFormat="1" ht="15.75">
      <c r="A559" s="157"/>
      <c r="B559" s="519"/>
      <c r="J559" s="524"/>
      <c r="K559" s="525"/>
    </row>
    <row r="560" spans="1:11" s="520" customFormat="1" ht="15.75">
      <c r="A560" s="157"/>
      <c r="B560" s="519"/>
      <c r="J560" s="524"/>
      <c r="K560" s="525"/>
    </row>
    <row r="561" spans="1:11" s="520" customFormat="1" ht="15.75">
      <c r="A561" s="157"/>
      <c r="B561" s="519"/>
      <c r="J561" s="524"/>
      <c r="K561" s="525"/>
    </row>
    <row r="562" spans="1:11" s="520" customFormat="1" ht="15.75">
      <c r="A562" s="157"/>
      <c r="B562" s="519"/>
      <c r="J562" s="524"/>
      <c r="K562" s="525"/>
    </row>
    <row r="563" spans="1:11" s="520" customFormat="1" ht="15.75">
      <c r="A563" s="157"/>
      <c r="B563" s="519"/>
      <c r="J563" s="524"/>
      <c r="K563" s="525"/>
    </row>
    <row r="564" spans="1:11" s="520" customFormat="1" ht="15.75">
      <c r="A564" s="157"/>
      <c r="B564" s="519"/>
      <c r="J564" s="524"/>
      <c r="K564" s="525"/>
    </row>
    <row r="565" spans="1:11" s="520" customFormat="1" ht="15.75">
      <c r="A565" s="157"/>
      <c r="B565" s="519"/>
      <c r="J565" s="524"/>
      <c r="K565" s="525"/>
    </row>
    <row r="566" spans="1:11" s="520" customFormat="1" ht="15.75">
      <c r="A566" s="157"/>
      <c r="B566" s="519"/>
      <c r="J566" s="524"/>
      <c r="K566" s="525"/>
    </row>
    <row r="567" spans="1:11" s="520" customFormat="1" ht="15.75">
      <c r="A567" s="157"/>
      <c r="B567" s="519"/>
      <c r="J567" s="524"/>
      <c r="K567" s="525"/>
    </row>
    <row r="568" spans="1:11" s="520" customFormat="1" ht="15.75">
      <c r="A568" s="157"/>
      <c r="B568" s="519"/>
      <c r="J568" s="524"/>
      <c r="K568" s="525"/>
    </row>
    <row r="569" spans="1:11" s="520" customFormat="1" ht="15.75">
      <c r="A569" s="157"/>
      <c r="B569" s="519"/>
      <c r="J569" s="524"/>
      <c r="K569" s="525"/>
    </row>
    <row r="570" spans="1:11" s="520" customFormat="1" ht="15.75">
      <c r="A570" s="157"/>
      <c r="B570" s="519"/>
      <c r="J570" s="524"/>
      <c r="K570" s="525"/>
    </row>
    <row r="571" spans="1:11" s="520" customFormat="1" ht="15.75">
      <c r="A571" s="157"/>
      <c r="B571" s="519"/>
      <c r="J571" s="524"/>
      <c r="K571" s="525"/>
    </row>
    <row r="572" spans="1:11" s="520" customFormat="1" ht="15.75">
      <c r="A572" s="157"/>
      <c r="B572" s="519"/>
      <c r="J572" s="524"/>
      <c r="K572" s="525"/>
    </row>
    <row r="573" spans="1:11" s="520" customFormat="1" ht="15.75">
      <c r="A573" s="157"/>
      <c r="B573" s="519"/>
      <c r="J573" s="524"/>
      <c r="K573" s="525"/>
    </row>
    <row r="574" spans="1:11" s="520" customFormat="1" ht="15.75">
      <c r="A574" s="157"/>
      <c r="B574" s="519"/>
      <c r="J574" s="524"/>
      <c r="K574" s="525"/>
    </row>
    <row r="575" spans="1:11" s="520" customFormat="1" ht="15.75">
      <c r="A575" s="157"/>
      <c r="B575" s="519"/>
      <c r="J575" s="524"/>
      <c r="K575" s="525"/>
    </row>
    <row r="576" spans="1:11" s="520" customFormat="1" ht="15.75">
      <c r="A576" s="157"/>
      <c r="B576" s="519"/>
      <c r="J576" s="524"/>
      <c r="K576" s="525"/>
    </row>
    <row r="577" spans="1:11" s="520" customFormat="1" ht="15.75">
      <c r="A577" s="157"/>
      <c r="B577" s="519"/>
      <c r="J577" s="524"/>
      <c r="K577" s="525"/>
    </row>
    <row r="578" spans="1:11" s="520" customFormat="1" ht="15.75">
      <c r="A578" s="157"/>
      <c r="B578" s="519"/>
      <c r="J578" s="524"/>
      <c r="K578" s="525"/>
    </row>
    <row r="579" spans="1:11" s="520" customFormat="1" ht="15.75">
      <c r="A579" s="157"/>
      <c r="B579" s="519"/>
      <c r="J579" s="524"/>
      <c r="K579" s="525"/>
    </row>
    <row r="580" spans="1:11" s="520" customFormat="1" ht="15.75">
      <c r="A580" s="157"/>
      <c r="B580" s="519"/>
      <c r="J580" s="524"/>
      <c r="K580" s="525"/>
    </row>
    <row r="581" spans="1:11" s="520" customFormat="1" ht="15.75">
      <c r="A581" s="157"/>
      <c r="B581" s="519"/>
      <c r="J581" s="524"/>
      <c r="K581" s="525"/>
    </row>
    <row r="582" spans="1:11" s="520" customFormat="1" ht="15.75">
      <c r="A582" s="157"/>
      <c r="B582" s="519"/>
      <c r="J582" s="524"/>
      <c r="K582" s="525"/>
    </row>
    <row r="583" spans="1:11" s="520" customFormat="1" ht="15.75">
      <c r="A583" s="157"/>
      <c r="B583" s="519"/>
      <c r="J583" s="524"/>
      <c r="K583" s="525"/>
    </row>
    <row r="584" spans="1:11" s="520" customFormat="1" ht="15.75">
      <c r="A584" s="157"/>
      <c r="B584" s="519"/>
      <c r="J584" s="524"/>
      <c r="K584" s="525"/>
    </row>
    <row r="585" spans="1:11" s="520" customFormat="1" ht="15.75">
      <c r="A585" s="157"/>
      <c r="B585" s="519"/>
      <c r="J585" s="524"/>
      <c r="K585" s="525"/>
    </row>
    <row r="586" spans="1:11" s="520" customFormat="1" ht="15.75">
      <c r="A586" s="157"/>
      <c r="B586" s="519"/>
      <c r="J586" s="524"/>
      <c r="K586" s="525"/>
    </row>
    <row r="587" spans="1:11" s="520" customFormat="1" ht="15.75">
      <c r="A587" s="157"/>
      <c r="B587" s="519"/>
      <c r="J587" s="524"/>
      <c r="K587" s="525"/>
    </row>
    <row r="588" spans="1:11" s="520" customFormat="1" ht="15.75">
      <c r="A588" s="157"/>
      <c r="B588" s="519"/>
      <c r="J588" s="524"/>
      <c r="K588" s="525"/>
    </row>
    <row r="589" spans="1:11" s="520" customFormat="1" ht="15.75">
      <c r="A589" s="157"/>
      <c r="B589" s="519"/>
      <c r="J589" s="524"/>
      <c r="K589" s="525"/>
    </row>
    <row r="590" spans="1:11" s="520" customFormat="1" ht="15.75">
      <c r="A590" s="157"/>
      <c r="B590" s="519"/>
      <c r="J590" s="524"/>
      <c r="K590" s="525"/>
    </row>
    <row r="591" spans="1:11" s="520" customFormat="1" ht="15.75">
      <c r="A591" s="157"/>
      <c r="B591" s="519"/>
      <c r="J591" s="524"/>
      <c r="K591" s="525"/>
    </row>
    <row r="592" spans="1:11" s="520" customFormat="1" ht="15.75">
      <c r="A592" s="157"/>
      <c r="B592" s="519"/>
      <c r="J592" s="524"/>
      <c r="K592" s="525"/>
    </row>
    <row r="593" spans="1:11" s="520" customFormat="1" ht="15.75">
      <c r="A593" s="157"/>
      <c r="B593" s="519"/>
      <c r="J593" s="524"/>
      <c r="K593" s="525"/>
    </row>
    <row r="594" spans="1:11" s="520" customFormat="1" ht="15.75">
      <c r="A594" s="157"/>
      <c r="B594" s="519"/>
      <c r="J594" s="524"/>
      <c r="K594" s="525"/>
    </row>
    <row r="595" spans="1:11" s="520" customFormat="1" ht="15.75">
      <c r="A595" s="157"/>
      <c r="B595" s="519"/>
      <c r="J595" s="524"/>
      <c r="K595" s="525"/>
    </row>
    <row r="596" spans="1:11" s="520" customFormat="1" ht="15.75">
      <c r="A596" s="157"/>
      <c r="B596" s="519"/>
      <c r="J596" s="524"/>
      <c r="K596" s="525"/>
    </row>
    <row r="597" spans="1:11" s="520" customFormat="1" ht="15.75">
      <c r="A597" s="157"/>
      <c r="B597" s="519"/>
      <c r="J597" s="524"/>
      <c r="K597" s="525"/>
    </row>
    <row r="598" spans="1:11" s="520" customFormat="1" ht="15.75">
      <c r="A598" s="157"/>
      <c r="B598" s="519"/>
      <c r="J598" s="524"/>
      <c r="K598" s="525"/>
    </row>
    <row r="599" spans="1:11" s="520" customFormat="1" ht="15.75">
      <c r="A599" s="157"/>
      <c r="B599" s="519"/>
      <c r="J599" s="524"/>
      <c r="K599" s="525"/>
    </row>
    <row r="600" spans="1:11" s="520" customFormat="1" ht="15.75">
      <c r="A600" s="157"/>
      <c r="B600" s="519"/>
      <c r="J600" s="524"/>
      <c r="K600" s="525"/>
    </row>
    <row r="601" spans="1:11" s="520" customFormat="1" ht="15.75">
      <c r="A601" s="157"/>
      <c r="B601" s="519"/>
      <c r="J601" s="524"/>
      <c r="K601" s="525"/>
    </row>
    <row r="602" spans="1:11" s="520" customFormat="1" ht="15.75">
      <c r="A602" s="157"/>
      <c r="B602" s="519"/>
      <c r="J602" s="524"/>
      <c r="K602" s="525"/>
    </row>
    <row r="603" spans="1:11" s="520" customFormat="1" ht="15.75">
      <c r="A603" s="157"/>
      <c r="B603" s="519"/>
      <c r="J603" s="524"/>
      <c r="K603" s="525"/>
    </row>
    <row r="604" spans="1:11" s="520" customFormat="1" ht="15.75">
      <c r="A604" s="157"/>
      <c r="B604" s="519"/>
      <c r="J604" s="524"/>
      <c r="K604" s="525"/>
    </row>
    <row r="605" spans="1:11" s="520" customFormat="1" ht="15.75">
      <c r="A605" s="157"/>
      <c r="B605" s="519"/>
      <c r="J605" s="524"/>
      <c r="K605" s="525"/>
    </row>
    <row r="606" spans="1:11" s="520" customFormat="1" ht="15.75">
      <c r="A606" s="157"/>
      <c r="B606" s="519"/>
      <c r="J606" s="524"/>
      <c r="K606" s="525"/>
    </row>
    <row r="607" spans="1:11" s="520" customFormat="1" ht="15.75">
      <c r="A607" s="157"/>
      <c r="B607" s="519"/>
      <c r="J607" s="524"/>
      <c r="K607" s="525"/>
    </row>
    <row r="608" spans="1:11" s="520" customFormat="1" ht="15.75">
      <c r="A608" s="157"/>
      <c r="B608" s="519"/>
      <c r="J608" s="524"/>
      <c r="K608" s="525"/>
    </row>
    <row r="609" spans="1:11" s="520" customFormat="1" ht="15.75">
      <c r="A609" s="157"/>
      <c r="B609" s="519"/>
      <c r="J609" s="524"/>
      <c r="K609" s="525"/>
    </row>
    <row r="610" spans="1:11" s="520" customFormat="1" ht="15.75">
      <c r="A610" s="157"/>
      <c r="B610" s="519"/>
      <c r="J610" s="524"/>
      <c r="K610" s="525"/>
    </row>
    <row r="611" spans="1:11" s="520" customFormat="1" ht="15.75">
      <c r="A611" s="157"/>
      <c r="B611" s="519"/>
      <c r="J611" s="524"/>
      <c r="K611" s="525"/>
    </row>
    <row r="612" spans="1:11" s="520" customFormat="1" ht="15.75">
      <c r="A612" s="157"/>
      <c r="B612" s="519"/>
      <c r="J612" s="524"/>
      <c r="K612" s="525"/>
    </row>
    <row r="613" spans="1:11" s="520" customFormat="1" ht="15.75">
      <c r="A613" s="157"/>
      <c r="B613" s="519"/>
      <c r="J613" s="524"/>
      <c r="K613" s="525"/>
    </row>
    <row r="614" spans="1:11" s="520" customFormat="1" ht="15.75">
      <c r="A614" s="157"/>
      <c r="B614" s="519"/>
      <c r="J614" s="524"/>
      <c r="K614" s="525"/>
    </row>
    <row r="615" spans="1:11" s="520" customFormat="1" ht="15.75">
      <c r="A615" s="157"/>
      <c r="B615" s="519"/>
      <c r="J615" s="524"/>
      <c r="K615" s="525"/>
    </row>
    <row r="616" spans="1:11" s="520" customFormat="1" ht="15.75">
      <c r="A616" s="157"/>
      <c r="B616" s="519"/>
      <c r="J616" s="524"/>
      <c r="K616" s="525"/>
    </row>
    <row r="617" spans="1:11" s="520" customFormat="1" ht="15.75">
      <c r="A617" s="157"/>
      <c r="B617" s="519"/>
      <c r="J617" s="524"/>
      <c r="K617" s="525"/>
    </row>
    <row r="618" spans="1:11" s="520" customFormat="1" ht="15.75">
      <c r="A618" s="157"/>
      <c r="B618" s="519"/>
      <c r="J618" s="524"/>
      <c r="K618" s="525"/>
    </row>
    <row r="619" spans="1:11" s="520" customFormat="1" ht="15.75">
      <c r="A619" s="157"/>
      <c r="B619" s="519"/>
      <c r="J619" s="524"/>
      <c r="K619" s="525"/>
    </row>
    <row r="620" spans="1:11" s="520" customFormat="1" ht="15.75">
      <c r="A620" s="157"/>
      <c r="B620" s="519"/>
      <c r="J620" s="524"/>
      <c r="K620" s="525"/>
    </row>
    <row r="621" spans="1:11" s="520" customFormat="1" ht="15.75">
      <c r="A621" s="157"/>
      <c r="B621" s="519"/>
      <c r="J621" s="524"/>
      <c r="K621" s="525"/>
    </row>
    <row r="622" spans="1:11" s="520" customFormat="1" ht="15.75">
      <c r="A622" s="157"/>
      <c r="B622" s="519"/>
      <c r="J622" s="524"/>
      <c r="K622" s="525"/>
    </row>
    <row r="623" spans="1:11" s="520" customFormat="1" ht="15.75">
      <c r="A623" s="157"/>
      <c r="B623" s="519"/>
      <c r="J623" s="524"/>
      <c r="K623" s="525"/>
    </row>
    <row r="624" spans="1:11" s="520" customFormat="1" ht="15.75">
      <c r="A624" s="157"/>
      <c r="B624" s="519"/>
      <c r="J624" s="524"/>
      <c r="K624" s="525"/>
    </row>
    <row r="625" spans="1:11" s="520" customFormat="1" ht="15.75">
      <c r="A625" s="157"/>
      <c r="B625" s="519"/>
      <c r="J625" s="524"/>
      <c r="K625" s="525"/>
    </row>
    <row r="626" spans="1:11" s="520" customFormat="1" ht="15.75">
      <c r="A626" s="157"/>
      <c r="B626" s="519"/>
      <c r="J626" s="524"/>
      <c r="K626" s="525"/>
    </row>
    <row r="627" spans="1:11" s="520" customFormat="1" ht="15.75">
      <c r="A627" s="157"/>
      <c r="B627" s="519"/>
      <c r="J627" s="524"/>
      <c r="K627" s="525"/>
    </row>
    <row r="628" spans="1:11" s="520" customFormat="1" ht="15.75">
      <c r="A628" s="157"/>
      <c r="B628" s="519"/>
      <c r="J628" s="524"/>
      <c r="K628" s="525"/>
    </row>
    <row r="629" spans="1:11" s="520" customFormat="1" ht="15.75">
      <c r="A629" s="157"/>
      <c r="B629" s="519"/>
      <c r="J629" s="524"/>
      <c r="K629" s="525"/>
    </row>
    <row r="630" spans="1:11" s="520" customFormat="1" ht="15.75">
      <c r="A630" s="157"/>
      <c r="B630" s="519"/>
      <c r="J630" s="524"/>
      <c r="K630" s="525"/>
    </row>
    <row r="631" spans="1:11" s="520" customFormat="1" ht="15.75">
      <c r="A631" s="157"/>
      <c r="B631" s="519"/>
      <c r="J631" s="524"/>
      <c r="K631" s="525"/>
    </row>
    <row r="632" spans="1:11" s="520" customFormat="1" ht="15.75">
      <c r="A632" s="157"/>
      <c r="B632" s="519"/>
      <c r="J632" s="524"/>
      <c r="K632" s="525"/>
    </row>
    <row r="633" spans="1:11" s="520" customFormat="1" ht="15.75">
      <c r="A633" s="157"/>
      <c r="B633" s="519"/>
      <c r="J633" s="524"/>
      <c r="K633" s="525"/>
    </row>
    <row r="634" spans="1:11" s="520" customFormat="1" ht="15.75">
      <c r="A634" s="157"/>
      <c r="B634" s="519"/>
      <c r="J634" s="524"/>
      <c r="K634" s="525"/>
    </row>
    <row r="635" spans="1:11" s="520" customFormat="1" ht="15.75">
      <c r="A635" s="157"/>
      <c r="B635" s="519"/>
      <c r="J635" s="524"/>
      <c r="K635" s="525"/>
    </row>
    <row r="636" spans="1:11" s="520" customFormat="1" ht="15.75">
      <c r="A636" s="157"/>
      <c r="B636" s="519"/>
      <c r="J636" s="524"/>
      <c r="K636" s="525"/>
    </row>
    <row r="637" spans="1:11" s="520" customFormat="1" ht="15.75">
      <c r="A637" s="157"/>
      <c r="B637" s="519"/>
      <c r="J637" s="524"/>
      <c r="K637" s="525"/>
    </row>
    <row r="638" spans="1:11" s="520" customFormat="1" ht="15.75">
      <c r="A638" s="157"/>
      <c r="B638" s="519"/>
      <c r="J638" s="524"/>
      <c r="K638" s="525"/>
    </row>
    <row r="639" spans="1:11" s="520" customFormat="1" ht="15.75">
      <c r="A639" s="157"/>
      <c r="B639" s="519"/>
      <c r="J639" s="524"/>
      <c r="K639" s="525"/>
    </row>
    <row r="640" spans="1:11" s="520" customFormat="1" ht="15.75">
      <c r="A640" s="157"/>
      <c r="B640" s="519"/>
      <c r="J640" s="524"/>
      <c r="K640" s="525"/>
    </row>
    <row r="641" spans="1:11" s="520" customFormat="1" ht="15.75">
      <c r="A641" s="157"/>
      <c r="B641" s="519"/>
      <c r="J641" s="524"/>
      <c r="K641" s="525"/>
    </row>
    <row r="642" spans="1:11" s="520" customFormat="1" ht="15.75">
      <c r="A642" s="157"/>
      <c r="B642" s="519"/>
      <c r="J642" s="524"/>
      <c r="K642" s="525"/>
    </row>
    <row r="643" spans="1:11" s="520" customFormat="1" ht="15.75">
      <c r="A643" s="157"/>
      <c r="B643" s="519"/>
      <c r="J643" s="524"/>
      <c r="K643" s="525"/>
    </row>
    <row r="644" spans="1:11" s="520" customFormat="1" ht="15.75">
      <c r="A644" s="157"/>
      <c r="B644" s="519"/>
      <c r="J644" s="524"/>
      <c r="K644" s="525"/>
    </row>
    <row r="645" spans="1:11" s="520" customFormat="1" ht="15.75">
      <c r="A645" s="157"/>
      <c r="B645" s="519"/>
      <c r="J645" s="524"/>
      <c r="K645" s="525"/>
    </row>
    <row r="646" spans="1:11" s="520" customFormat="1" ht="15.75">
      <c r="A646" s="157"/>
      <c r="B646" s="519"/>
      <c r="J646" s="524"/>
      <c r="K646" s="525"/>
    </row>
    <row r="647" spans="1:11" s="520" customFormat="1" ht="15.75">
      <c r="A647" s="157"/>
      <c r="B647" s="519"/>
      <c r="J647" s="524"/>
      <c r="K647" s="525"/>
    </row>
    <row r="648" spans="1:11" s="520" customFormat="1" ht="15.75">
      <c r="A648" s="157"/>
      <c r="B648" s="519"/>
      <c r="J648" s="524"/>
      <c r="K648" s="525"/>
    </row>
    <row r="649" spans="1:11" s="520" customFormat="1" ht="15.75">
      <c r="A649" s="157"/>
      <c r="B649" s="519"/>
      <c r="J649" s="524"/>
      <c r="K649" s="525"/>
    </row>
    <row r="650" spans="1:11" s="520" customFormat="1" ht="15.75">
      <c r="A650" s="157"/>
      <c r="B650" s="519"/>
      <c r="J650" s="524"/>
      <c r="K650" s="525"/>
    </row>
    <row r="651" spans="1:11" s="520" customFormat="1" ht="15.75">
      <c r="A651" s="157"/>
      <c r="B651" s="519"/>
      <c r="J651" s="524"/>
      <c r="K651" s="525"/>
    </row>
    <row r="652" spans="1:11" s="520" customFormat="1" ht="15.75">
      <c r="A652" s="157"/>
      <c r="B652" s="519"/>
      <c r="J652" s="524"/>
      <c r="K652" s="525"/>
    </row>
    <row r="653" spans="1:11" s="520" customFormat="1" ht="15.75">
      <c r="A653" s="157"/>
      <c r="B653" s="519"/>
      <c r="J653" s="524"/>
      <c r="K653" s="525"/>
    </row>
    <row r="654" spans="1:11" s="520" customFormat="1" ht="15.75">
      <c r="A654" s="157"/>
      <c r="B654" s="519"/>
      <c r="J654" s="524"/>
      <c r="K654" s="525"/>
    </row>
    <row r="655" spans="1:11" s="520" customFormat="1" ht="15.75">
      <c r="A655" s="157"/>
      <c r="B655" s="519"/>
      <c r="J655" s="524"/>
      <c r="K655" s="525"/>
    </row>
    <row r="656" spans="1:11" s="520" customFormat="1" ht="15.75">
      <c r="A656" s="157"/>
      <c r="B656" s="519"/>
      <c r="J656" s="524"/>
      <c r="K656" s="525"/>
    </row>
    <row r="657" spans="1:11" s="520" customFormat="1" ht="15.75">
      <c r="A657" s="157"/>
      <c r="B657" s="519"/>
      <c r="J657" s="524"/>
      <c r="K657" s="525"/>
    </row>
    <row r="658" spans="1:11" s="520" customFormat="1" ht="15.75">
      <c r="A658" s="157"/>
      <c r="B658" s="519"/>
      <c r="J658" s="524"/>
      <c r="K658" s="525"/>
    </row>
    <row r="659" spans="1:11" s="520" customFormat="1" ht="15.75">
      <c r="A659" s="157"/>
      <c r="B659" s="519"/>
      <c r="J659" s="524"/>
      <c r="K659" s="525"/>
    </row>
    <row r="660" spans="1:11" s="520" customFormat="1" ht="15.75">
      <c r="A660" s="157"/>
      <c r="B660" s="519"/>
      <c r="J660" s="524"/>
      <c r="K660" s="525"/>
    </row>
    <row r="661" spans="1:11" s="520" customFormat="1" ht="15.75">
      <c r="A661" s="157"/>
      <c r="B661" s="519"/>
      <c r="J661" s="524"/>
      <c r="K661" s="525"/>
    </row>
    <row r="662" spans="1:11" s="520" customFormat="1" ht="15.75">
      <c r="A662" s="157"/>
      <c r="B662" s="519"/>
      <c r="J662" s="524"/>
      <c r="K662" s="525"/>
    </row>
    <row r="663" spans="1:11" s="520" customFormat="1" ht="15.75">
      <c r="A663" s="157"/>
      <c r="B663" s="519"/>
      <c r="J663" s="524"/>
      <c r="K663" s="525"/>
    </row>
    <row r="664" spans="1:11" s="520" customFormat="1" ht="15.75">
      <c r="A664" s="157"/>
      <c r="B664" s="519"/>
      <c r="J664" s="524"/>
      <c r="K664" s="525"/>
    </row>
    <row r="665" spans="1:11" s="520" customFormat="1" ht="15.75">
      <c r="A665" s="157"/>
      <c r="B665" s="519"/>
      <c r="J665" s="524"/>
      <c r="K665" s="525"/>
    </row>
    <row r="666" spans="1:11" s="520" customFormat="1" ht="15.75">
      <c r="A666" s="157"/>
      <c r="B666" s="519"/>
      <c r="J666" s="524"/>
      <c r="K666" s="525"/>
    </row>
    <row r="667" spans="1:11" s="520" customFormat="1" ht="15.75">
      <c r="A667" s="157"/>
      <c r="B667" s="519"/>
      <c r="J667" s="524"/>
      <c r="K667" s="525"/>
    </row>
    <row r="668" spans="1:11" s="520" customFormat="1" ht="15.75">
      <c r="A668" s="157"/>
      <c r="B668" s="519"/>
      <c r="J668" s="524"/>
      <c r="K668" s="525"/>
    </row>
    <row r="669" spans="1:11" s="520" customFormat="1" ht="15.75">
      <c r="A669" s="157"/>
      <c r="B669" s="519"/>
      <c r="J669" s="524"/>
      <c r="K669" s="525"/>
    </row>
    <row r="670" spans="1:11" s="520" customFormat="1" ht="15.75">
      <c r="A670" s="157"/>
      <c r="B670" s="519"/>
      <c r="J670" s="524"/>
      <c r="K670" s="525"/>
    </row>
    <row r="671" spans="1:11" s="520" customFormat="1" ht="15.75">
      <c r="A671" s="157"/>
      <c r="B671" s="519"/>
      <c r="J671" s="524"/>
      <c r="K671" s="525"/>
    </row>
    <row r="672" spans="1:11" s="520" customFormat="1" ht="15.75">
      <c r="A672" s="157"/>
      <c r="B672" s="519"/>
      <c r="J672" s="524"/>
      <c r="K672" s="525"/>
    </row>
    <row r="673" spans="1:11" s="520" customFormat="1" ht="15.75">
      <c r="A673" s="157"/>
      <c r="B673" s="519"/>
      <c r="J673" s="524"/>
      <c r="K673" s="525"/>
    </row>
    <row r="674" spans="1:11" s="520" customFormat="1" ht="15.75">
      <c r="A674" s="157"/>
      <c r="B674" s="519"/>
      <c r="J674" s="524"/>
      <c r="K674" s="525"/>
    </row>
    <row r="675" spans="1:11" s="520" customFormat="1" ht="15.75">
      <c r="A675" s="157"/>
      <c r="B675" s="519"/>
      <c r="J675" s="524"/>
      <c r="K675" s="525"/>
    </row>
    <row r="676" spans="1:11" s="520" customFormat="1" ht="15.75">
      <c r="A676" s="157"/>
      <c r="B676" s="519"/>
      <c r="J676" s="524"/>
      <c r="K676" s="525"/>
    </row>
    <row r="677" spans="1:11" s="520" customFormat="1" ht="15.75">
      <c r="A677" s="157"/>
      <c r="B677" s="519"/>
      <c r="J677" s="524"/>
      <c r="K677" s="525"/>
    </row>
    <row r="678" spans="1:11" s="520" customFormat="1" ht="15.75">
      <c r="A678" s="157"/>
      <c r="B678" s="519"/>
      <c r="J678" s="524"/>
      <c r="K678" s="525"/>
    </row>
    <row r="679" spans="1:11" s="520" customFormat="1" ht="15.75">
      <c r="A679" s="157"/>
      <c r="B679" s="519"/>
      <c r="J679" s="524"/>
      <c r="K679" s="525"/>
    </row>
    <row r="680" spans="1:11" s="520" customFormat="1" ht="15.75">
      <c r="A680" s="157"/>
      <c r="B680" s="519"/>
      <c r="J680" s="524"/>
      <c r="K680" s="525"/>
    </row>
    <row r="681" spans="1:11" s="520" customFormat="1" ht="15.75">
      <c r="A681" s="157"/>
      <c r="B681" s="519"/>
      <c r="J681" s="524"/>
      <c r="K681" s="525"/>
    </row>
    <row r="682" spans="1:11" s="520" customFormat="1" ht="15.75">
      <c r="A682" s="157"/>
      <c r="B682" s="519"/>
      <c r="J682" s="524"/>
      <c r="K682" s="525"/>
    </row>
    <row r="683" spans="1:11" s="520" customFormat="1" ht="15.75">
      <c r="A683" s="157"/>
      <c r="B683" s="519"/>
      <c r="J683" s="524"/>
      <c r="K683" s="525"/>
    </row>
    <row r="684" spans="1:11" s="520" customFormat="1" ht="15.75">
      <c r="A684" s="157"/>
      <c r="B684" s="519"/>
      <c r="J684" s="524"/>
      <c r="K684" s="525"/>
    </row>
    <row r="685" spans="1:11" s="520" customFormat="1" ht="15.75">
      <c r="A685" s="157"/>
      <c r="B685" s="519"/>
      <c r="J685" s="524"/>
      <c r="K685" s="525"/>
    </row>
    <row r="686" spans="1:11" s="520" customFormat="1" ht="15.75">
      <c r="A686" s="157"/>
      <c r="B686" s="519"/>
      <c r="J686" s="524"/>
      <c r="K686" s="525"/>
    </row>
    <row r="687" spans="1:11" s="520" customFormat="1" ht="15.75">
      <c r="A687" s="157"/>
      <c r="B687" s="519"/>
      <c r="J687" s="524"/>
      <c r="K687" s="525"/>
    </row>
    <row r="688" spans="1:11" s="520" customFormat="1" ht="15.75">
      <c r="A688" s="157"/>
      <c r="B688" s="519"/>
      <c r="J688" s="524"/>
      <c r="K688" s="525"/>
    </row>
    <row r="689" spans="1:11" s="520" customFormat="1" ht="15.75">
      <c r="A689" s="157"/>
      <c r="B689" s="519"/>
      <c r="J689" s="524"/>
      <c r="K689" s="525"/>
    </row>
    <row r="690" spans="1:11" s="520" customFormat="1" ht="15.75">
      <c r="A690" s="157"/>
      <c r="B690" s="519"/>
      <c r="J690" s="524"/>
      <c r="K690" s="525"/>
    </row>
    <row r="691" spans="1:11" s="520" customFormat="1" ht="15.75">
      <c r="A691" s="157"/>
      <c r="B691" s="519"/>
      <c r="J691" s="524"/>
      <c r="K691" s="525"/>
    </row>
    <row r="692" spans="1:11" s="520" customFormat="1" ht="15.75">
      <c r="A692" s="157"/>
      <c r="B692" s="519"/>
      <c r="J692" s="524"/>
      <c r="K692" s="525"/>
    </row>
    <row r="693" spans="1:11" s="520" customFormat="1" ht="15.75">
      <c r="A693" s="157"/>
      <c r="B693" s="519"/>
      <c r="J693" s="524"/>
      <c r="K693" s="525"/>
    </row>
    <row r="694" spans="1:11" s="520" customFormat="1" ht="15.75">
      <c r="A694" s="157"/>
      <c r="B694" s="519"/>
      <c r="J694" s="524"/>
      <c r="K694" s="525"/>
    </row>
    <row r="695" spans="1:11" s="520" customFormat="1" ht="15.75">
      <c r="A695" s="157"/>
      <c r="B695" s="519"/>
      <c r="J695" s="524"/>
      <c r="K695" s="525"/>
    </row>
    <row r="696" spans="1:11" s="520" customFormat="1" ht="15.75">
      <c r="A696" s="157"/>
      <c r="B696" s="519"/>
      <c r="J696" s="524"/>
      <c r="K696" s="525"/>
    </row>
    <row r="697" spans="1:11" s="520" customFormat="1" ht="15.75">
      <c r="A697" s="157"/>
      <c r="B697" s="519"/>
      <c r="J697" s="524"/>
      <c r="K697" s="525"/>
    </row>
    <row r="698" spans="1:11" s="520" customFormat="1" ht="15.75">
      <c r="A698" s="157"/>
      <c r="B698" s="519"/>
      <c r="J698" s="524"/>
      <c r="K698" s="525"/>
    </row>
    <row r="699" spans="1:11" s="520" customFormat="1" ht="15.75">
      <c r="A699" s="157"/>
      <c r="B699" s="519"/>
      <c r="J699" s="524"/>
      <c r="K699" s="525"/>
    </row>
    <row r="700" spans="1:11" s="520" customFormat="1" ht="15.75">
      <c r="A700" s="157"/>
      <c r="B700" s="519"/>
      <c r="J700" s="524"/>
      <c r="K700" s="525"/>
    </row>
    <row r="701" spans="1:11" s="520" customFormat="1" ht="15.75">
      <c r="A701" s="157"/>
      <c r="B701" s="519"/>
      <c r="J701" s="524"/>
      <c r="K701" s="525"/>
    </row>
    <row r="702" spans="1:11" s="520" customFormat="1" ht="15.75">
      <c r="A702" s="157"/>
      <c r="B702" s="519"/>
      <c r="J702" s="524"/>
      <c r="K702" s="525"/>
    </row>
    <row r="703" spans="1:11" s="520" customFormat="1" ht="15.75">
      <c r="A703" s="157"/>
      <c r="B703" s="519"/>
      <c r="J703" s="524"/>
      <c r="K703" s="525"/>
    </row>
    <row r="704" spans="1:11" s="520" customFormat="1" ht="15.75">
      <c r="A704" s="157"/>
      <c r="B704" s="519"/>
      <c r="J704" s="524"/>
      <c r="K704" s="525"/>
    </row>
    <row r="705" spans="1:11" s="520" customFormat="1" ht="15.75">
      <c r="A705" s="157"/>
      <c r="B705" s="519"/>
      <c r="J705" s="524"/>
      <c r="K705" s="525"/>
    </row>
    <row r="706" spans="1:11" s="520" customFormat="1" ht="15.75">
      <c r="A706" s="157"/>
      <c r="B706" s="519"/>
      <c r="J706" s="524"/>
      <c r="K706" s="525"/>
    </row>
    <row r="707" spans="1:11" s="520" customFormat="1" ht="15.75">
      <c r="A707" s="157"/>
      <c r="B707" s="519"/>
      <c r="J707" s="524"/>
      <c r="K707" s="525"/>
    </row>
    <row r="708" spans="1:11" s="520" customFormat="1" ht="15.75">
      <c r="A708" s="157"/>
      <c r="B708" s="519"/>
      <c r="J708" s="524"/>
      <c r="K708" s="525"/>
    </row>
    <row r="709" spans="1:11" s="520" customFormat="1" ht="15.75">
      <c r="A709" s="157"/>
      <c r="B709" s="519"/>
      <c r="J709" s="524"/>
      <c r="K709" s="525"/>
    </row>
    <row r="710" spans="1:11" s="520" customFormat="1" ht="15.75">
      <c r="A710" s="157"/>
      <c r="B710" s="519"/>
      <c r="J710" s="524"/>
      <c r="K710" s="525"/>
    </row>
    <row r="711" spans="1:11" s="520" customFormat="1" ht="15.75">
      <c r="A711" s="157"/>
      <c r="B711" s="519"/>
      <c r="J711" s="524"/>
      <c r="K711" s="525"/>
    </row>
    <row r="712" spans="1:11" s="520" customFormat="1" ht="15.75">
      <c r="A712" s="157"/>
      <c r="B712" s="519"/>
      <c r="J712" s="524"/>
      <c r="K712" s="525"/>
    </row>
    <row r="713" spans="1:11" s="520" customFormat="1" ht="15.75">
      <c r="A713" s="157"/>
      <c r="B713" s="519"/>
      <c r="J713" s="524"/>
      <c r="K713" s="525"/>
    </row>
    <row r="714" spans="1:11" s="520" customFormat="1" ht="15.75">
      <c r="A714" s="157"/>
      <c r="B714" s="519"/>
      <c r="J714" s="524"/>
      <c r="K714" s="525"/>
    </row>
    <row r="715" spans="1:11" s="520" customFormat="1" ht="15.75">
      <c r="A715" s="157"/>
      <c r="B715" s="519"/>
      <c r="J715" s="524"/>
      <c r="K715" s="525"/>
    </row>
    <row r="716" spans="1:11" s="520" customFormat="1" ht="15.75">
      <c r="A716" s="157"/>
      <c r="B716" s="519"/>
      <c r="J716" s="524"/>
      <c r="K716" s="525"/>
    </row>
    <row r="717" spans="1:11" s="520" customFormat="1" ht="15.75">
      <c r="A717" s="157"/>
      <c r="B717" s="519"/>
      <c r="J717" s="524"/>
      <c r="K717" s="525"/>
    </row>
    <row r="718" spans="1:11" s="520" customFormat="1" ht="15.75">
      <c r="A718" s="157"/>
      <c r="B718" s="519"/>
      <c r="J718" s="524"/>
      <c r="K718" s="525"/>
    </row>
    <row r="719" spans="1:11" s="520" customFormat="1" ht="15.75">
      <c r="A719" s="157"/>
      <c r="B719" s="519"/>
      <c r="J719" s="524"/>
      <c r="K719" s="525"/>
    </row>
    <row r="720" spans="1:11" s="520" customFormat="1" ht="15.75">
      <c r="A720" s="157"/>
      <c r="B720" s="519"/>
      <c r="J720" s="524"/>
      <c r="K720" s="525"/>
    </row>
    <row r="721" spans="1:11" s="520" customFormat="1" ht="15.75">
      <c r="A721" s="157"/>
      <c r="B721" s="519"/>
      <c r="J721" s="524"/>
      <c r="K721" s="525"/>
    </row>
    <row r="722" spans="1:11" s="520" customFormat="1" ht="15.75">
      <c r="A722" s="157"/>
      <c r="B722" s="519"/>
      <c r="J722" s="524"/>
      <c r="K722" s="525"/>
    </row>
    <row r="723" spans="1:11" s="520" customFormat="1" ht="15.75">
      <c r="A723" s="157"/>
      <c r="B723" s="519"/>
      <c r="J723" s="524"/>
      <c r="K723" s="525"/>
    </row>
    <row r="724" spans="1:11" s="520" customFormat="1" ht="15.75">
      <c r="A724" s="157"/>
      <c r="B724" s="519"/>
      <c r="J724" s="524"/>
      <c r="K724" s="525"/>
    </row>
    <row r="725" spans="1:11" s="520" customFormat="1" ht="15.75">
      <c r="A725" s="157"/>
      <c r="B725" s="519"/>
      <c r="J725" s="524"/>
      <c r="K725" s="525"/>
    </row>
    <row r="726" spans="1:11" s="520" customFormat="1" ht="15.75">
      <c r="A726" s="157"/>
      <c r="B726" s="519"/>
      <c r="J726" s="524"/>
      <c r="K726" s="525"/>
    </row>
    <row r="727" spans="1:11" s="520" customFormat="1" ht="15.75">
      <c r="A727" s="157"/>
      <c r="B727" s="519"/>
      <c r="J727" s="524"/>
      <c r="K727" s="525"/>
    </row>
    <row r="728" spans="1:11" s="520" customFormat="1" ht="15.75">
      <c r="A728" s="157"/>
      <c r="B728" s="519"/>
      <c r="J728" s="524"/>
      <c r="K728" s="525"/>
    </row>
    <row r="729" spans="1:11" s="520" customFormat="1" ht="15.75">
      <c r="A729" s="157"/>
      <c r="B729" s="519"/>
      <c r="J729" s="524"/>
      <c r="K729" s="525"/>
    </row>
    <row r="730" spans="1:11" s="520" customFormat="1" ht="15.75">
      <c r="A730" s="157"/>
      <c r="B730" s="519"/>
      <c r="J730" s="524"/>
      <c r="K730" s="525"/>
    </row>
    <row r="731" spans="1:11" s="520" customFormat="1" ht="15.75">
      <c r="A731" s="157"/>
      <c r="B731" s="519"/>
      <c r="J731" s="524"/>
      <c r="K731" s="525"/>
    </row>
    <row r="732" spans="1:11" s="520" customFormat="1" ht="15.75">
      <c r="A732" s="157"/>
      <c r="B732" s="519"/>
      <c r="J732" s="524"/>
      <c r="K732" s="525"/>
    </row>
    <row r="733" spans="1:11" s="520" customFormat="1" ht="15.75">
      <c r="A733" s="157"/>
      <c r="B733" s="519"/>
      <c r="J733" s="524"/>
      <c r="K733" s="525"/>
    </row>
    <row r="734" spans="1:11" s="520" customFormat="1" ht="15.75">
      <c r="A734" s="157"/>
      <c r="B734" s="519"/>
      <c r="J734" s="524"/>
      <c r="K734" s="525"/>
    </row>
    <row r="735" spans="1:11" s="520" customFormat="1" ht="15.75">
      <c r="A735" s="157"/>
      <c r="B735" s="519"/>
      <c r="J735" s="524"/>
      <c r="K735" s="525"/>
    </row>
    <row r="736" spans="1:11" s="520" customFormat="1" ht="15.75">
      <c r="A736" s="157"/>
      <c r="B736" s="519"/>
      <c r="J736" s="524"/>
      <c r="K736" s="525"/>
    </row>
    <row r="737" spans="1:11" s="520" customFormat="1" ht="15.75">
      <c r="A737" s="157"/>
      <c r="B737" s="519"/>
      <c r="J737" s="524"/>
      <c r="K737" s="525"/>
    </row>
    <row r="738" spans="1:11" s="520" customFormat="1" ht="15.75">
      <c r="A738" s="157"/>
      <c r="B738" s="519"/>
      <c r="J738" s="524"/>
      <c r="K738" s="525"/>
    </row>
    <row r="739" spans="1:11" s="520" customFormat="1" ht="15.75">
      <c r="A739" s="157"/>
      <c r="B739" s="519"/>
      <c r="J739" s="524"/>
      <c r="K739" s="525"/>
    </row>
    <row r="740" spans="1:11" s="520" customFormat="1" ht="15.75">
      <c r="A740" s="157"/>
      <c r="B740" s="519"/>
      <c r="J740" s="524"/>
      <c r="K740" s="525"/>
    </row>
    <row r="741" spans="1:11" s="520" customFormat="1" ht="15.75">
      <c r="A741" s="157"/>
      <c r="B741" s="519"/>
      <c r="J741" s="524"/>
      <c r="K741" s="525"/>
    </row>
    <row r="742" spans="1:11" s="520" customFormat="1" ht="15.75">
      <c r="A742" s="157"/>
      <c r="B742" s="519"/>
      <c r="J742" s="524"/>
      <c r="K742" s="525"/>
    </row>
    <row r="743" spans="1:11" s="520" customFormat="1" ht="15.75">
      <c r="A743" s="157"/>
      <c r="B743" s="519"/>
      <c r="J743" s="524"/>
      <c r="K743" s="525"/>
    </row>
    <row r="744" spans="1:11" s="520" customFormat="1" ht="15.75">
      <c r="A744" s="157"/>
      <c r="B744" s="519"/>
      <c r="J744" s="524"/>
      <c r="K744" s="525"/>
    </row>
    <row r="745" spans="1:11" s="520" customFormat="1" ht="15.75">
      <c r="A745" s="157"/>
      <c r="B745" s="519"/>
      <c r="J745" s="524"/>
      <c r="K745" s="525"/>
    </row>
    <row r="746" spans="1:11" s="520" customFormat="1" ht="15.75">
      <c r="A746" s="157"/>
      <c r="B746" s="519"/>
      <c r="J746" s="524"/>
      <c r="K746" s="525"/>
    </row>
    <row r="747" spans="1:11" s="520" customFormat="1" ht="15.75">
      <c r="A747" s="157"/>
      <c r="B747" s="519"/>
      <c r="J747" s="524"/>
      <c r="K747" s="525"/>
    </row>
    <row r="748" spans="1:11" s="520" customFormat="1" ht="15.75">
      <c r="A748" s="157"/>
      <c r="B748" s="519"/>
      <c r="J748" s="524"/>
      <c r="K748" s="525"/>
    </row>
    <row r="749" spans="1:11" s="520" customFormat="1" ht="15.75">
      <c r="A749" s="157"/>
      <c r="B749" s="519"/>
      <c r="J749" s="524"/>
      <c r="K749" s="525"/>
    </row>
    <row r="750" spans="1:11" s="520" customFormat="1" ht="15.75">
      <c r="A750" s="157"/>
      <c r="B750" s="519"/>
      <c r="J750" s="524"/>
      <c r="K750" s="525"/>
    </row>
    <row r="751" spans="1:11" s="520" customFormat="1" ht="15.75">
      <c r="A751" s="157"/>
      <c r="B751" s="519"/>
      <c r="J751" s="524"/>
      <c r="K751" s="525"/>
    </row>
    <row r="752" spans="1:11" s="520" customFormat="1" ht="15.75">
      <c r="A752" s="157"/>
      <c r="B752" s="519"/>
      <c r="J752" s="524"/>
      <c r="K752" s="525"/>
    </row>
    <row r="753" spans="1:11" s="520" customFormat="1" ht="15.75">
      <c r="A753" s="157"/>
      <c r="B753" s="519"/>
      <c r="J753" s="524"/>
      <c r="K753" s="525"/>
    </row>
    <row r="754" spans="1:11" s="520" customFormat="1" ht="15.75">
      <c r="A754" s="157"/>
      <c r="B754" s="519"/>
      <c r="J754" s="524"/>
      <c r="K754" s="525"/>
    </row>
    <row r="755" spans="1:11" s="520" customFormat="1" ht="15.75">
      <c r="A755" s="157"/>
      <c r="B755" s="519"/>
      <c r="J755" s="524"/>
      <c r="K755" s="525"/>
    </row>
    <row r="756" spans="1:11" s="520" customFormat="1" ht="15.75">
      <c r="A756" s="157"/>
      <c r="B756" s="519"/>
      <c r="J756" s="524"/>
      <c r="K756" s="525"/>
    </row>
    <row r="757" spans="1:11" s="520" customFormat="1" ht="15.75">
      <c r="A757" s="157"/>
      <c r="B757" s="519"/>
      <c r="J757" s="524"/>
      <c r="K757" s="525"/>
    </row>
    <row r="758" spans="1:11" s="520" customFormat="1" ht="15.75">
      <c r="A758" s="157"/>
      <c r="B758" s="519"/>
      <c r="J758" s="524"/>
      <c r="K758" s="525"/>
    </row>
    <row r="759" spans="1:11" s="520" customFormat="1" ht="15.75">
      <c r="A759" s="157"/>
      <c r="B759" s="519"/>
      <c r="J759" s="524"/>
      <c r="K759" s="525"/>
    </row>
    <row r="760" spans="1:11" s="520" customFormat="1" ht="15.75">
      <c r="A760" s="157"/>
      <c r="B760" s="519"/>
      <c r="J760" s="524"/>
      <c r="K760" s="525"/>
    </row>
    <row r="761" spans="1:11" s="520" customFormat="1" ht="15.75">
      <c r="A761" s="157"/>
      <c r="B761" s="519"/>
      <c r="J761" s="524"/>
      <c r="K761" s="525"/>
    </row>
    <row r="762" spans="1:11" s="520" customFormat="1" ht="15.75">
      <c r="A762" s="157"/>
      <c r="B762" s="519"/>
      <c r="J762" s="524"/>
      <c r="K762" s="525"/>
    </row>
    <row r="763" spans="1:11" s="520" customFormat="1" ht="15.75">
      <c r="A763" s="157"/>
      <c r="B763" s="519"/>
      <c r="J763" s="524"/>
      <c r="K763" s="525"/>
    </row>
    <row r="764" spans="1:11" s="520" customFormat="1" ht="15.75">
      <c r="A764" s="157"/>
      <c r="B764" s="519"/>
      <c r="J764" s="524"/>
      <c r="K764" s="525"/>
    </row>
    <row r="765" spans="1:11" s="520" customFormat="1" ht="15.75">
      <c r="A765" s="157"/>
      <c r="B765" s="519"/>
      <c r="J765" s="524"/>
      <c r="K765" s="525"/>
    </row>
    <row r="766" spans="1:11" s="520" customFormat="1" ht="15.75">
      <c r="A766" s="157"/>
      <c r="B766" s="519"/>
      <c r="J766" s="524"/>
      <c r="K766" s="525"/>
    </row>
    <row r="767" spans="1:11" s="520" customFormat="1" ht="15.75">
      <c r="A767" s="157"/>
      <c r="B767" s="519"/>
      <c r="J767" s="524"/>
      <c r="K767" s="525"/>
    </row>
    <row r="768" spans="1:11" s="520" customFormat="1" ht="15.75">
      <c r="A768" s="157"/>
      <c r="B768" s="519"/>
      <c r="J768" s="524"/>
      <c r="K768" s="525"/>
    </row>
    <row r="769" spans="1:11" s="520" customFormat="1" ht="15.75">
      <c r="A769" s="157"/>
      <c r="B769" s="519"/>
      <c r="J769" s="524"/>
      <c r="K769" s="525"/>
    </row>
    <row r="770" spans="1:11" s="520" customFormat="1" ht="15.75">
      <c r="A770" s="157"/>
      <c r="B770" s="519"/>
      <c r="J770" s="524"/>
      <c r="K770" s="525"/>
    </row>
    <row r="771" spans="1:11" s="520" customFormat="1" ht="15.75">
      <c r="A771" s="157"/>
      <c r="B771" s="519"/>
      <c r="J771" s="524"/>
      <c r="K771" s="525"/>
    </row>
    <row r="772" spans="1:11" s="520" customFormat="1" ht="15.75">
      <c r="A772" s="157"/>
      <c r="B772" s="519"/>
      <c r="J772" s="524"/>
      <c r="K772" s="525"/>
    </row>
    <row r="773" spans="1:11" s="520" customFormat="1" ht="15.75">
      <c r="A773" s="157"/>
      <c r="B773" s="519"/>
      <c r="J773" s="524"/>
      <c r="K773" s="525"/>
    </row>
    <row r="774" spans="1:11" s="520" customFormat="1" ht="15.75">
      <c r="A774" s="157"/>
      <c r="B774" s="519"/>
      <c r="J774" s="524"/>
      <c r="K774" s="525"/>
    </row>
    <row r="775" spans="1:11" s="520" customFormat="1" ht="15.75">
      <c r="A775" s="157"/>
      <c r="B775" s="519"/>
      <c r="J775" s="524"/>
      <c r="K775" s="525"/>
    </row>
    <row r="776" spans="1:11" s="520" customFormat="1" ht="15.75">
      <c r="A776" s="157"/>
      <c r="B776" s="519"/>
      <c r="J776" s="524"/>
      <c r="K776" s="525"/>
    </row>
    <row r="777" spans="1:11" s="520" customFormat="1" ht="15.75">
      <c r="A777" s="157"/>
      <c r="B777" s="519"/>
      <c r="J777" s="524"/>
      <c r="K777" s="525"/>
    </row>
    <row r="778" spans="1:11" s="520" customFormat="1" ht="15.75">
      <c r="A778" s="157"/>
      <c r="B778" s="519"/>
      <c r="J778" s="524"/>
      <c r="K778" s="525"/>
    </row>
    <row r="779" spans="1:11" s="520" customFormat="1" ht="15.75">
      <c r="A779" s="157"/>
      <c r="B779" s="519"/>
      <c r="J779" s="524"/>
      <c r="K779" s="525"/>
    </row>
    <row r="780" spans="1:11" s="520" customFormat="1" ht="15.75">
      <c r="A780" s="157"/>
      <c r="B780" s="519"/>
      <c r="J780" s="524"/>
      <c r="K780" s="525"/>
    </row>
    <row r="781" spans="1:11" s="520" customFormat="1" ht="15.75">
      <c r="A781" s="157"/>
      <c r="B781" s="519"/>
      <c r="J781" s="524"/>
      <c r="K781" s="525"/>
    </row>
    <row r="782" spans="1:11" s="520" customFormat="1" ht="15.75">
      <c r="A782" s="157"/>
      <c r="B782" s="519"/>
      <c r="J782" s="524"/>
      <c r="K782" s="525"/>
    </row>
    <row r="783" spans="1:11" s="520" customFormat="1" ht="15.75">
      <c r="A783" s="157"/>
      <c r="B783" s="519"/>
      <c r="J783" s="524"/>
      <c r="K783" s="525"/>
    </row>
    <row r="784" spans="1:11" s="520" customFormat="1" ht="15.75">
      <c r="A784" s="157"/>
      <c r="B784" s="519"/>
      <c r="J784" s="524"/>
      <c r="K784" s="525"/>
    </row>
    <row r="785" spans="1:11" s="520" customFormat="1" ht="15.75">
      <c r="A785" s="157"/>
      <c r="B785" s="519"/>
      <c r="J785" s="524"/>
      <c r="K785" s="525"/>
    </row>
    <row r="786" spans="1:11" s="520" customFormat="1" ht="15.75">
      <c r="A786" s="157"/>
      <c r="B786" s="519"/>
      <c r="J786" s="524"/>
      <c r="K786" s="525"/>
    </row>
    <row r="787" spans="1:11" s="520" customFormat="1" ht="15.75">
      <c r="A787" s="157"/>
      <c r="B787" s="519"/>
      <c r="J787" s="524"/>
      <c r="K787" s="525"/>
    </row>
    <row r="788" spans="1:11" s="520" customFormat="1" ht="15.75">
      <c r="A788" s="157"/>
      <c r="B788" s="519"/>
      <c r="J788" s="524"/>
      <c r="K788" s="525"/>
    </row>
    <row r="789" spans="1:11" s="520" customFormat="1" ht="15.75">
      <c r="A789" s="157"/>
      <c r="B789" s="519"/>
      <c r="J789" s="524"/>
      <c r="K789" s="525"/>
    </row>
    <row r="790" spans="1:11" s="520" customFormat="1" ht="15.75">
      <c r="A790" s="157"/>
      <c r="B790" s="519"/>
      <c r="J790" s="524"/>
      <c r="K790" s="525"/>
    </row>
    <row r="791" spans="1:11" s="520" customFormat="1" ht="15.75">
      <c r="A791" s="157"/>
      <c r="B791" s="519"/>
      <c r="J791" s="524"/>
      <c r="K791" s="525"/>
    </row>
    <row r="792" spans="1:11" s="520" customFormat="1" ht="15.75">
      <c r="A792" s="157"/>
      <c r="B792" s="519"/>
      <c r="J792" s="524"/>
      <c r="K792" s="525"/>
    </row>
    <row r="793" spans="1:11" s="520" customFormat="1" ht="15.75">
      <c r="A793" s="157"/>
      <c r="B793" s="519"/>
      <c r="J793" s="524"/>
      <c r="K793" s="525"/>
    </row>
    <row r="794" spans="1:11" s="520" customFormat="1" ht="15.75">
      <c r="A794" s="157"/>
      <c r="B794" s="519"/>
      <c r="J794" s="524"/>
      <c r="K794" s="525"/>
    </row>
    <row r="795" spans="1:11" s="520" customFormat="1" ht="15.75">
      <c r="A795" s="157"/>
      <c r="B795" s="519"/>
      <c r="J795" s="524"/>
      <c r="K795" s="525"/>
    </row>
    <row r="796" spans="1:11" s="520" customFormat="1" ht="15.75">
      <c r="A796" s="157"/>
      <c r="B796" s="519"/>
      <c r="J796" s="524"/>
      <c r="K796" s="525"/>
    </row>
    <row r="797" spans="1:11" s="520" customFormat="1" ht="15.75">
      <c r="A797" s="157"/>
      <c r="B797" s="519"/>
      <c r="J797" s="524"/>
      <c r="K797" s="525"/>
    </row>
    <row r="798" spans="1:11" s="520" customFormat="1" ht="15.75">
      <c r="A798" s="157"/>
      <c r="B798" s="519"/>
      <c r="J798" s="524"/>
      <c r="K798" s="525"/>
    </row>
    <row r="799" spans="1:11" s="520" customFormat="1" ht="15.75">
      <c r="A799" s="157"/>
      <c r="B799" s="519"/>
      <c r="J799" s="524"/>
      <c r="K799" s="525"/>
    </row>
    <row r="800" spans="1:11" s="520" customFormat="1" ht="15.75">
      <c r="A800" s="157"/>
      <c r="B800" s="519"/>
      <c r="J800" s="524"/>
      <c r="K800" s="525"/>
    </row>
    <row r="801" spans="1:11" s="520" customFormat="1" ht="15.75">
      <c r="A801" s="157"/>
      <c r="B801" s="519"/>
      <c r="J801" s="524"/>
      <c r="K801" s="525"/>
    </row>
    <row r="802" spans="1:11" s="520" customFormat="1" ht="15.75">
      <c r="A802" s="157"/>
      <c r="B802" s="519"/>
      <c r="J802" s="524"/>
      <c r="K802" s="525"/>
    </row>
    <row r="803" spans="1:11" s="520" customFormat="1" ht="15.75">
      <c r="A803" s="157"/>
      <c r="B803" s="519"/>
      <c r="J803" s="524"/>
      <c r="K803" s="525"/>
    </row>
    <row r="804" spans="1:11" s="520" customFormat="1" ht="15.75">
      <c r="A804" s="157"/>
      <c r="B804" s="519"/>
      <c r="J804" s="524"/>
      <c r="K804" s="525"/>
    </row>
    <row r="805" spans="1:11" s="520" customFormat="1" ht="15.75">
      <c r="A805" s="157"/>
      <c r="B805" s="519"/>
      <c r="J805" s="524"/>
      <c r="K805" s="525"/>
    </row>
    <row r="806" spans="1:11" s="520" customFormat="1" ht="15.75">
      <c r="A806" s="157"/>
      <c r="B806" s="519"/>
      <c r="J806" s="524"/>
      <c r="K806" s="525"/>
    </row>
    <row r="807" spans="1:11" s="520" customFormat="1" ht="15.75">
      <c r="A807" s="157"/>
      <c r="B807" s="519"/>
      <c r="J807" s="524"/>
      <c r="K807" s="525"/>
    </row>
    <row r="808" spans="1:11" s="520" customFormat="1" ht="15.75">
      <c r="A808" s="157"/>
      <c r="B808" s="519"/>
      <c r="J808" s="524"/>
      <c r="K808" s="525"/>
    </row>
    <row r="809" spans="1:11" s="520" customFormat="1" ht="15.75">
      <c r="A809" s="157"/>
      <c r="B809" s="519"/>
      <c r="J809" s="524"/>
      <c r="K809" s="525"/>
    </row>
    <row r="810" spans="1:11" s="520" customFormat="1" ht="15.75">
      <c r="A810" s="157"/>
      <c r="B810" s="519"/>
      <c r="J810" s="524"/>
      <c r="K810" s="525"/>
    </row>
    <row r="811" spans="1:11" s="520" customFormat="1" ht="15.75">
      <c r="A811" s="157"/>
      <c r="B811" s="519"/>
      <c r="J811" s="524"/>
      <c r="K811" s="525"/>
    </row>
    <row r="812" spans="1:11" s="520" customFormat="1" ht="15.75">
      <c r="A812" s="157"/>
      <c r="B812" s="519"/>
      <c r="J812" s="524"/>
      <c r="K812" s="525"/>
    </row>
    <row r="813" spans="1:11" s="520" customFormat="1" ht="15.75">
      <c r="A813" s="157"/>
      <c r="B813" s="519"/>
      <c r="J813" s="524"/>
      <c r="K813" s="525"/>
    </row>
    <row r="814" spans="1:11" s="520" customFormat="1" ht="15.75">
      <c r="A814" s="157"/>
      <c r="B814" s="519"/>
      <c r="J814" s="524"/>
      <c r="K814" s="525"/>
    </row>
    <row r="815" spans="1:11" s="520" customFormat="1" ht="15.75">
      <c r="A815" s="157"/>
      <c r="B815" s="519"/>
      <c r="J815" s="524"/>
      <c r="K815" s="525"/>
    </row>
    <row r="816" spans="1:11" s="520" customFormat="1" ht="15.75">
      <c r="A816" s="157"/>
      <c r="B816" s="519"/>
      <c r="J816" s="524"/>
      <c r="K816" s="525"/>
    </row>
    <row r="817" spans="1:11" s="520" customFormat="1" ht="15.75">
      <c r="A817" s="157"/>
      <c r="B817" s="519"/>
      <c r="J817" s="524"/>
      <c r="K817" s="525"/>
    </row>
    <row r="818" spans="1:11" s="520" customFormat="1" ht="15.75">
      <c r="A818" s="157"/>
      <c r="B818" s="519"/>
      <c r="J818" s="524"/>
      <c r="K818" s="525"/>
    </row>
    <row r="819" spans="1:11" s="520" customFormat="1" ht="15.75">
      <c r="A819" s="157"/>
      <c r="B819" s="519"/>
      <c r="J819" s="524"/>
      <c r="K819" s="525"/>
    </row>
    <row r="820" spans="1:11" s="520" customFormat="1" ht="15.75">
      <c r="A820" s="157"/>
      <c r="B820" s="519"/>
      <c r="J820" s="524"/>
      <c r="K820" s="525"/>
    </row>
    <row r="821" spans="1:11" s="520" customFormat="1" ht="15.75">
      <c r="A821" s="157"/>
      <c r="B821" s="519"/>
      <c r="J821" s="524"/>
      <c r="K821" s="525"/>
    </row>
    <row r="822" spans="1:11" s="520" customFormat="1" ht="15.75">
      <c r="A822" s="157"/>
      <c r="B822" s="519"/>
      <c r="J822" s="524"/>
      <c r="K822" s="525"/>
    </row>
    <row r="823" spans="1:11" s="520" customFormat="1" ht="15.75">
      <c r="A823" s="157"/>
      <c r="B823" s="519"/>
      <c r="J823" s="524"/>
      <c r="K823" s="525"/>
    </row>
    <row r="824" spans="1:11" s="520" customFormat="1" ht="15.75">
      <c r="A824" s="157"/>
      <c r="B824" s="519"/>
      <c r="J824" s="524"/>
      <c r="K824" s="525"/>
    </row>
    <row r="825" spans="1:11" s="520" customFormat="1" ht="15.75">
      <c r="A825" s="157"/>
      <c r="B825" s="519"/>
      <c r="J825" s="524"/>
      <c r="K825" s="525"/>
    </row>
    <row r="826" spans="1:11" s="520" customFormat="1" ht="15.75">
      <c r="A826" s="157"/>
      <c r="B826" s="519"/>
      <c r="J826" s="524"/>
      <c r="K826" s="525"/>
    </row>
    <row r="827" spans="1:11" s="520" customFormat="1" ht="15.75">
      <c r="A827" s="157"/>
      <c r="B827" s="519"/>
      <c r="J827" s="524"/>
      <c r="K827" s="525"/>
    </row>
    <row r="828" spans="1:11" s="520" customFormat="1" ht="15.75">
      <c r="A828" s="157"/>
      <c r="B828" s="519"/>
      <c r="J828" s="524"/>
      <c r="K828" s="525"/>
    </row>
    <row r="829" spans="1:11" s="520" customFormat="1" ht="15.75">
      <c r="A829" s="157"/>
      <c r="B829" s="519"/>
      <c r="J829" s="524"/>
      <c r="K829" s="525"/>
    </row>
    <row r="830" spans="1:11" s="520" customFormat="1" ht="15.75">
      <c r="A830" s="157"/>
      <c r="B830" s="519"/>
      <c r="J830" s="524"/>
      <c r="K830" s="525"/>
    </row>
    <row r="831" spans="1:11" s="520" customFormat="1" ht="15.75">
      <c r="A831" s="157"/>
      <c r="B831" s="519"/>
      <c r="J831" s="524"/>
      <c r="K831" s="525"/>
    </row>
    <row r="832" spans="1:11" s="520" customFormat="1" ht="15.75">
      <c r="A832" s="157"/>
      <c r="B832" s="519"/>
      <c r="J832" s="524"/>
      <c r="K832" s="525"/>
    </row>
    <row r="833" spans="1:11" s="520" customFormat="1" ht="15.75">
      <c r="A833" s="157"/>
      <c r="B833" s="519"/>
      <c r="J833" s="524"/>
      <c r="K833" s="525"/>
    </row>
    <row r="834" spans="1:11" s="520" customFormat="1" ht="15.75">
      <c r="A834" s="157"/>
      <c r="B834" s="519"/>
      <c r="J834" s="524"/>
      <c r="K834" s="525"/>
    </row>
    <row r="835" spans="1:11" s="520" customFormat="1" ht="15.75">
      <c r="A835" s="157"/>
      <c r="B835" s="519"/>
      <c r="J835" s="524"/>
      <c r="K835" s="525"/>
    </row>
    <row r="836" spans="1:11" s="520" customFormat="1" ht="15.75">
      <c r="A836" s="157"/>
      <c r="B836" s="519"/>
      <c r="J836" s="524"/>
      <c r="K836" s="525"/>
    </row>
    <row r="837" spans="1:11" s="520" customFormat="1" ht="15.75">
      <c r="A837" s="157"/>
      <c r="B837" s="519"/>
      <c r="J837" s="524"/>
      <c r="K837" s="525"/>
    </row>
    <row r="838" spans="1:11" s="520" customFormat="1" ht="15.75">
      <c r="A838" s="157"/>
      <c r="B838" s="519"/>
      <c r="J838" s="524"/>
      <c r="K838" s="525"/>
    </row>
    <row r="839" spans="1:11" s="520" customFormat="1" ht="15.75">
      <c r="A839" s="157"/>
      <c r="B839" s="519"/>
      <c r="J839" s="524"/>
      <c r="K839" s="525"/>
    </row>
    <row r="840" spans="1:11" s="520" customFormat="1" ht="15.75">
      <c r="A840" s="157"/>
      <c r="B840" s="519"/>
      <c r="J840" s="524"/>
      <c r="K840" s="525"/>
    </row>
    <row r="841" spans="1:11" s="520" customFormat="1" ht="15.75">
      <c r="A841" s="157"/>
      <c r="B841" s="519"/>
      <c r="J841" s="524"/>
      <c r="K841" s="525"/>
    </row>
    <row r="842" spans="1:11" s="520" customFormat="1" ht="15.75">
      <c r="A842" s="157"/>
      <c r="B842" s="519"/>
      <c r="J842" s="524"/>
      <c r="K842" s="525"/>
    </row>
    <row r="843" spans="1:11" s="520" customFormat="1" ht="15.75">
      <c r="A843" s="157"/>
      <c r="B843" s="519"/>
      <c r="J843" s="524"/>
      <c r="K843" s="525"/>
    </row>
    <row r="844" spans="1:11" s="520" customFormat="1" ht="15.75">
      <c r="A844" s="157"/>
      <c r="B844" s="519"/>
      <c r="J844" s="524"/>
      <c r="K844" s="525"/>
    </row>
    <row r="845" spans="1:11" s="520" customFormat="1" ht="15.75">
      <c r="A845" s="157"/>
      <c r="B845" s="519"/>
      <c r="J845" s="524"/>
      <c r="K845" s="525"/>
    </row>
    <row r="846" spans="1:11" s="520" customFormat="1" ht="15.75">
      <c r="A846" s="157"/>
      <c r="B846" s="519"/>
      <c r="J846" s="524"/>
      <c r="K846" s="525"/>
    </row>
    <row r="847" spans="1:11" s="520" customFormat="1" ht="15.75">
      <c r="A847" s="157"/>
      <c r="B847" s="519"/>
      <c r="J847" s="524"/>
      <c r="K847" s="525"/>
    </row>
    <row r="848" spans="1:11" s="520" customFormat="1" ht="15.75">
      <c r="A848" s="157"/>
      <c r="B848" s="519"/>
      <c r="J848" s="524"/>
      <c r="K848" s="525"/>
    </row>
    <row r="849" spans="1:11" s="520" customFormat="1" ht="15.75">
      <c r="A849" s="157"/>
      <c r="B849" s="519"/>
      <c r="J849" s="524"/>
      <c r="K849" s="525"/>
    </row>
    <row r="850" spans="1:11" s="520" customFormat="1" ht="15.75">
      <c r="A850" s="157"/>
      <c r="B850" s="519"/>
      <c r="J850" s="524"/>
      <c r="K850" s="525"/>
    </row>
    <row r="851" spans="1:11" s="520" customFormat="1" ht="15.75">
      <c r="A851" s="157"/>
      <c r="B851" s="519"/>
      <c r="J851" s="524"/>
      <c r="K851" s="525"/>
    </row>
    <row r="852" spans="1:11" s="520" customFormat="1" ht="15.75">
      <c r="A852" s="157"/>
      <c r="B852" s="519"/>
      <c r="J852" s="524"/>
      <c r="K852" s="525"/>
    </row>
    <row r="853" spans="1:11" s="520" customFormat="1" ht="15.75">
      <c r="A853" s="157"/>
      <c r="B853" s="519"/>
      <c r="J853" s="524"/>
      <c r="K853" s="525"/>
    </row>
    <row r="854" spans="1:11" s="520" customFormat="1" ht="15.75">
      <c r="A854" s="157"/>
      <c r="B854" s="519"/>
      <c r="J854" s="524"/>
      <c r="K854" s="525"/>
    </row>
    <row r="855" spans="1:11" s="520" customFormat="1" ht="15.75">
      <c r="A855" s="157"/>
      <c r="B855" s="519"/>
      <c r="J855" s="524"/>
      <c r="K855" s="525"/>
    </row>
    <row r="856" spans="1:11" s="520" customFormat="1" ht="15.75">
      <c r="A856" s="157"/>
      <c r="B856" s="519"/>
      <c r="J856" s="524"/>
      <c r="K856" s="525"/>
    </row>
    <row r="857" spans="1:11" s="520" customFormat="1" ht="15.75">
      <c r="A857" s="157"/>
      <c r="B857" s="519"/>
      <c r="J857" s="524"/>
      <c r="K857" s="525"/>
    </row>
    <row r="858" spans="1:11" s="520" customFormat="1" ht="15.75">
      <c r="A858" s="157"/>
      <c r="B858" s="519"/>
      <c r="J858" s="524"/>
      <c r="K858" s="525"/>
    </row>
    <row r="859" spans="1:11" s="520" customFormat="1" ht="15.75">
      <c r="A859" s="157"/>
      <c r="B859" s="519"/>
      <c r="J859" s="524"/>
      <c r="K859" s="525"/>
    </row>
    <row r="860" spans="1:11" s="520" customFormat="1" ht="15.75">
      <c r="A860" s="157"/>
      <c r="B860" s="519"/>
      <c r="J860" s="524"/>
      <c r="K860" s="525"/>
    </row>
    <row r="861" spans="1:11" s="520" customFormat="1" ht="15.75">
      <c r="A861" s="157"/>
      <c r="B861" s="519"/>
      <c r="J861" s="524"/>
      <c r="K861" s="525"/>
    </row>
    <row r="862" spans="1:11" s="520" customFormat="1" ht="15.75">
      <c r="A862" s="157"/>
      <c r="B862" s="519"/>
      <c r="J862" s="524"/>
      <c r="K862" s="525"/>
    </row>
    <row r="863" spans="1:11" s="520" customFormat="1" ht="15.75">
      <c r="A863" s="157"/>
      <c r="B863" s="519"/>
      <c r="J863" s="524"/>
      <c r="K863" s="525"/>
    </row>
    <row r="864" spans="1:11" s="520" customFormat="1" ht="15.75">
      <c r="A864" s="157"/>
      <c r="B864" s="519"/>
      <c r="J864" s="524"/>
      <c r="K864" s="525"/>
    </row>
    <row r="865" spans="1:11" s="520" customFormat="1" ht="15.75">
      <c r="A865" s="157"/>
      <c r="B865" s="519"/>
      <c r="J865" s="524"/>
      <c r="K865" s="525"/>
    </row>
    <row r="866" spans="1:11" s="520" customFormat="1" ht="15.75">
      <c r="A866" s="157"/>
      <c r="B866" s="519"/>
      <c r="J866" s="524"/>
      <c r="K866" s="525"/>
    </row>
    <row r="867" spans="1:11" s="520" customFormat="1" ht="15.75">
      <c r="A867" s="157"/>
      <c r="B867" s="519"/>
      <c r="J867" s="524"/>
      <c r="K867" s="525"/>
    </row>
    <row r="868" spans="1:11" s="520" customFormat="1" ht="15.75">
      <c r="A868" s="157"/>
      <c r="B868" s="519"/>
      <c r="J868" s="524"/>
      <c r="K868" s="525"/>
    </row>
    <row r="869" spans="1:11" s="520" customFormat="1" ht="15.75">
      <c r="A869" s="157"/>
      <c r="B869" s="519"/>
      <c r="J869" s="524"/>
      <c r="K869" s="525"/>
    </row>
    <row r="870" spans="1:11" s="520" customFormat="1" ht="15.75">
      <c r="A870" s="157"/>
      <c r="B870" s="519"/>
      <c r="J870" s="524"/>
      <c r="K870" s="525"/>
    </row>
    <row r="871" spans="1:11" s="520" customFormat="1" ht="15.75">
      <c r="A871" s="157"/>
      <c r="B871" s="519"/>
      <c r="J871" s="524"/>
      <c r="K871" s="525"/>
    </row>
    <row r="872" spans="1:11" s="520" customFormat="1" ht="15.75">
      <c r="A872" s="157"/>
      <c r="B872" s="519"/>
      <c r="J872" s="524"/>
      <c r="K872" s="525"/>
    </row>
    <row r="873" spans="1:11" s="520" customFormat="1" ht="15.75">
      <c r="A873" s="157"/>
      <c r="B873" s="519"/>
      <c r="J873" s="524"/>
      <c r="K873" s="525"/>
    </row>
    <row r="874" spans="1:11" s="520" customFormat="1" ht="15.75">
      <c r="A874" s="157"/>
      <c r="B874" s="519"/>
      <c r="J874" s="524"/>
      <c r="K874" s="525"/>
    </row>
    <row r="875" spans="1:11" s="520" customFormat="1" ht="15.75">
      <c r="A875" s="157"/>
      <c r="B875" s="519"/>
      <c r="J875" s="524"/>
      <c r="K875" s="525"/>
    </row>
    <row r="876" spans="1:11" s="520" customFormat="1" ht="15.75">
      <c r="A876" s="157"/>
      <c r="B876" s="519"/>
      <c r="J876" s="524"/>
      <c r="K876" s="525"/>
    </row>
    <row r="877" spans="1:11" s="520" customFormat="1" ht="15.75">
      <c r="A877" s="157"/>
      <c r="B877" s="519"/>
      <c r="J877" s="524"/>
      <c r="K877" s="525"/>
    </row>
    <row r="878" spans="1:11" s="520" customFormat="1" ht="15.75">
      <c r="A878" s="157"/>
      <c r="B878" s="519"/>
      <c r="J878" s="524"/>
      <c r="K878" s="525"/>
    </row>
    <row r="879" spans="1:11" s="520" customFormat="1" ht="15.75">
      <c r="A879" s="157"/>
      <c r="B879" s="519"/>
      <c r="J879" s="524"/>
      <c r="K879" s="525"/>
    </row>
    <row r="880" spans="1:11" s="520" customFormat="1" ht="15.75">
      <c r="A880" s="157"/>
      <c r="B880" s="519"/>
      <c r="J880" s="524"/>
      <c r="K880" s="525"/>
    </row>
    <row r="881" spans="1:11" s="520" customFormat="1" ht="15.75">
      <c r="A881" s="157"/>
      <c r="B881" s="519"/>
      <c r="J881" s="524"/>
      <c r="K881" s="525"/>
    </row>
    <row r="882" spans="1:11" s="520" customFormat="1" ht="15.75">
      <c r="A882" s="157"/>
      <c r="B882" s="519"/>
      <c r="J882" s="524"/>
      <c r="K882" s="525"/>
    </row>
    <row r="883" spans="1:11" s="520" customFormat="1" ht="15.75">
      <c r="A883" s="157"/>
      <c r="B883" s="519"/>
      <c r="J883" s="524"/>
      <c r="K883" s="525"/>
    </row>
    <row r="884" spans="1:11" s="520" customFormat="1" ht="15.75">
      <c r="A884" s="157"/>
      <c r="B884" s="519"/>
      <c r="J884" s="524"/>
      <c r="K884" s="525"/>
    </row>
    <row r="885" spans="1:11" s="520" customFormat="1" ht="15.75">
      <c r="A885" s="157"/>
      <c r="B885" s="519"/>
      <c r="J885" s="524"/>
      <c r="K885" s="525"/>
    </row>
    <row r="886" spans="1:11" s="520" customFormat="1" ht="15.75">
      <c r="A886" s="157"/>
      <c r="B886" s="519"/>
      <c r="J886" s="524"/>
      <c r="K886" s="525"/>
    </row>
    <row r="887" spans="1:11" s="520" customFormat="1" ht="15.75">
      <c r="A887" s="157"/>
      <c r="B887" s="519"/>
      <c r="J887" s="524"/>
      <c r="K887" s="525"/>
    </row>
    <row r="888" spans="1:11" s="520" customFormat="1" ht="15.75">
      <c r="A888" s="157"/>
      <c r="B888" s="519"/>
      <c r="J888" s="524"/>
      <c r="K888" s="525"/>
    </row>
    <row r="889" spans="1:11" s="520" customFormat="1" ht="15.75">
      <c r="A889" s="157"/>
      <c r="B889" s="519"/>
      <c r="J889" s="524"/>
      <c r="K889" s="525"/>
    </row>
    <row r="890" spans="1:11" s="520" customFormat="1" ht="15.75">
      <c r="A890" s="157"/>
      <c r="B890" s="519"/>
      <c r="J890" s="524"/>
      <c r="K890" s="525"/>
    </row>
    <row r="891" spans="1:11" s="520" customFormat="1" ht="15.75">
      <c r="A891" s="157"/>
      <c r="B891" s="519"/>
      <c r="J891" s="524"/>
      <c r="K891" s="525"/>
    </row>
    <row r="892" spans="1:11" s="520" customFormat="1" ht="15.75">
      <c r="A892" s="157"/>
      <c r="B892" s="519"/>
      <c r="J892" s="524"/>
      <c r="K892" s="525"/>
    </row>
    <row r="893" spans="1:11" s="520" customFormat="1" ht="15.75">
      <c r="A893" s="157"/>
      <c r="B893" s="519"/>
      <c r="J893" s="524"/>
      <c r="K893" s="525"/>
    </row>
    <row r="894" spans="1:11" s="520" customFormat="1" ht="15.75">
      <c r="A894" s="157"/>
      <c r="B894" s="519"/>
      <c r="J894" s="524"/>
      <c r="K894" s="525"/>
    </row>
    <row r="895" spans="1:11" s="520" customFormat="1" ht="15.75">
      <c r="A895" s="157"/>
      <c r="B895" s="519"/>
      <c r="J895" s="524"/>
      <c r="K895" s="525"/>
    </row>
    <row r="896" spans="1:11" s="520" customFormat="1" ht="15.75">
      <c r="A896" s="157"/>
      <c r="B896" s="519"/>
      <c r="J896" s="524"/>
      <c r="K896" s="525"/>
    </row>
    <row r="897" spans="1:11" s="520" customFormat="1" ht="15.75">
      <c r="A897" s="157"/>
      <c r="B897" s="519"/>
      <c r="J897" s="524"/>
      <c r="K897" s="525"/>
    </row>
    <row r="898" spans="1:11" s="520" customFormat="1" ht="15.75">
      <c r="A898" s="157"/>
      <c r="B898" s="519"/>
      <c r="J898" s="524"/>
      <c r="K898" s="525"/>
    </row>
    <row r="899" spans="1:11" s="520" customFormat="1" ht="15.75">
      <c r="A899" s="157"/>
      <c r="B899" s="519"/>
      <c r="J899" s="524"/>
      <c r="K899" s="525"/>
    </row>
    <row r="900" spans="1:11" s="520" customFormat="1" ht="15.75">
      <c r="A900" s="157"/>
      <c r="B900" s="519"/>
      <c r="J900" s="524"/>
      <c r="K900" s="525"/>
    </row>
    <row r="901" spans="1:11" s="520" customFormat="1" ht="15.75">
      <c r="A901" s="157"/>
      <c r="B901" s="519"/>
      <c r="J901" s="524"/>
      <c r="K901" s="525"/>
    </row>
    <row r="902" spans="1:11" s="520" customFormat="1" ht="15.75">
      <c r="A902" s="157"/>
      <c r="B902" s="519"/>
      <c r="J902" s="524"/>
      <c r="K902" s="525"/>
    </row>
    <row r="903" spans="1:11" s="520" customFormat="1" ht="15.75">
      <c r="A903" s="157"/>
      <c r="B903" s="519"/>
      <c r="J903" s="524"/>
      <c r="K903" s="525"/>
    </row>
    <row r="904" spans="1:11" s="520" customFormat="1" ht="15.75">
      <c r="A904" s="157"/>
      <c r="B904" s="519"/>
      <c r="J904" s="524"/>
      <c r="K904" s="525"/>
    </row>
    <row r="905" spans="1:11" s="520" customFormat="1" ht="15.75">
      <c r="A905" s="157"/>
      <c r="B905" s="519"/>
      <c r="J905" s="524"/>
      <c r="K905" s="525"/>
    </row>
    <row r="906" spans="1:11" s="520" customFormat="1" ht="15.75">
      <c r="A906" s="157"/>
      <c r="B906" s="519"/>
      <c r="J906" s="524"/>
      <c r="K906" s="525"/>
    </row>
    <row r="907" spans="1:11" s="520" customFormat="1" ht="15.75">
      <c r="A907" s="157"/>
      <c r="B907" s="519"/>
      <c r="J907" s="524"/>
      <c r="K907" s="525"/>
    </row>
    <row r="908" spans="1:11" s="520" customFormat="1" ht="15.75">
      <c r="A908" s="157"/>
      <c r="B908" s="519"/>
      <c r="J908" s="524"/>
      <c r="K908" s="525"/>
    </row>
    <row r="909" spans="1:11" s="520" customFormat="1" ht="15.75">
      <c r="A909" s="157"/>
      <c r="B909" s="519"/>
      <c r="J909" s="524"/>
      <c r="K909" s="525"/>
    </row>
    <row r="910" spans="1:11" s="520" customFormat="1" ht="15.75">
      <c r="A910" s="157"/>
      <c r="B910" s="519"/>
      <c r="J910" s="524"/>
      <c r="K910" s="525"/>
    </row>
    <row r="911" spans="1:11" s="520" customFormat="1" ht="15.75">
      <c r="A911" s="157"/>
      <c r="B911" s="519"/>
      <c r="J911" s="524"/>
      <c r="K911" s="525"/>
    </row>
    <row r="912" spans="1:11" s="520" customFormat="1" ht="15.75">
      <c r="A912" s="157"/>
      <c r="B912" s="519"/>
      <c r="J912" s="524"/>
      <c r="K912" s="525"/>
    </row>
    <row r="913" spans="1:11" s="520" customFormat="1" ht="15.75">
      <c r="A913" s="157"/>
      <c r="B913" s="519"/>
      <c r="J913" s="524"/>
      <c r="K913" s="525"/>
    </row>
    <row r="914" spans="1:11" s="520" customFormat="1" ht="15.75">
      <c r="A914" s="157"/>
      <c r="B914" s="519"/>
      <c r="J914" s="524"/>
      <c r="K914" s="525"/>
    </row>
    <row r="915" spans="1:11" s="520" customFormat="1" ht="15.75">
      <c r="A915" s="157"/>
      <c r="B915" s="519"/>
      <c r="J915" s="524"/>
      <c r="K915" s="525"/>
    </row>
    <row r="916" spans="1:11" s="520" customFormat="1" ht="15.75">
      <c r="A916" s="157"/>
      <c r="B916" s="519"/>
      <c r="J916" s="524"/>
      <c r="K916" s="525"/>
    </row>
    <row r="917" spans="1:11" s="520" customFormat="1" ht="15.75">
      <c r="A917" s="157"/>
      <c r="B917" s="519"/>
      <c r="J917" s="524"/>
      <c r="K917" s="525"/>
    </row>
    <row r="918" spans="1:11" s="520" customFormat="1" ht="15.75">
      <c r="A918" s="157"/>
      <c r="B918" s="519"/>
      <c r="J918" s="524"/>
      <c r="K918" s="525"/>
    </row>
    <row r="919" spans="1:11" s="520" customFormat="1" ht="15.75">
      <c r="A919" s="157"/>
      <c r="B919" s="519"/>
      <c r="J919" s="524"/>
      <c r="K919" s="525"/>
    </row>
    <row r="920" spans="1:11" s="520" customFormat="1" ht="15.75">
      <c r="A920" s="157"/>
      <c r="B920" s="519"/>
      <c r="J920" s="524"/>
      <c r="K920" s="525"/>
    </row>
    <row r="921" spans="1:11" s="520" customFormat="1" ht="15.75">
      <c r="A921" s="157"/>
      <c r="B921" s="519"/>
      <c r="J921" s="524"/>
      <c r="K921" s="525"/>
    </row>
    <row r="922" spans="1:11" s="520" customFormat="1" ht="15.75">
      <c r="A922" s="157"/>
      <c r="B922" s="519"/>
      <c r="J922" s="524"/>
      <c r="K922" s="525"/>
    </row>
    <row r="923" spans="1:11" s="520" customFormat="1" ht="15.75">
      <c r="A923" s="157"/>
      <c r="B923" s="519"/>
      <c r="J923" s="524"/>
      <c r="K923" s="525"/>
    </row>
    <row r="924" spans="1:11" s="520" customFormat="1" ht="15.75">
      <c r="A924" s="157"/>
      <c r="B924" s="519"/>
      <c r="J924" s="524"/>
      <c r="K924" s="525"/>
    </row>
    <row r="925" spans="1:11" s="520" customFormat="1" ht="15.75">
      <c r="A925" s="157"/>
      <c r="B925" s="519"/>
      <c r="J925" s="524"/>
      <c r="K925" s="525"/>
    </row>
    <row r="926" spans="1:11" s="520" customFormat="1" ht="15.75">
      <c r="A926" s="157"/>
      <c r="B926" s="519"/>
      <c r="J926" s="524"/>
      <c r="K926" s="525"/>
    </row>
    <row r="927" spans="1:11" s="520" customFormat="1" ht="15.75">
      <c r="A927" s="157"/>
      <c r="B927" s="519"/>
      <c r="J927" s="524"/>
      <c r="K927" s="525"/>
    </row>
    <row r="928" spans="1:11" s="520" customFormat="1" ht="15.75">
      <c r="A928" s="157"/>
      <c r="B928" s="519"/>
      <c r="J928" s="524"/>
      <c r="K928" s="525"/>
    </row>
    <row r="929" spans="1:11" s="520" customFormat="1" ht="15.75">
      <c r="A929" s="157"/>
      <c r="B929" s="519"/>
      <c r="J929" s="524"/>
      <c r="K929" s="525"/>
    </row>
    <row r="930" spans="1:11" s="520" customFormat="1" ht="15.75">
      <c r="A930" s="157"/>
      <c r="B930" s="519"/>
      <c r="J930" s="524"/>
      <c r="K930" s="525"/>
    </row>
    <row r="931" spans="1:11" s="520" customFormat="1" ht="15.75">
      <c r="A931" s="157"/>
      <c r="B931" s="519"/>
      <c r="J931" s="524"/>
      <c r="K931" s="525"/>
    </row>
    <row r="932" spans="1:11" s="520" customFormat="1" ht="15.75">
      <c r="A932" s="157"/>
      <c r="B932" s="519"/>
      <c r="J932" s="524"/>
      <c r="K932" s="525"/>
    </row>
    <row r="933" spans="1:11" s="520" customFormat="1" ht="15.75">
      <c r="A933" s="157"/>
      <c r="B933" s="519"/>
      <c r="J933" s="524"/>
      <c r="K933" s="525"/>
    </row>
    <row r="934" spans="1:11" s="520" customFormat="1" ht="15.75">
      <c r="A934" s="157"/>
      <c r="B934" s="519"/>
      <c r="J934" s="524"/>
      <c r="K934" s="525"/>
    </row>
    <row r="935" spans="1:11" s="520" customFormat="1" ht="15.75">
      <c r="A935" s="157"/>
      <c r="B935" s="519"/>
      <c r="J935" s="524"/>
      <c r="K935" s="525"/>
    </row>
    <row r="936" spans="1:11" s="520" customFormat="1" ht="15.75">
      <c r="A936" s="157"/>
      <c r="B936" s="519"/>
      <c r="J936" s="524"/>
      <c r="K936" s="525"/>
    </row>
    <row r="937" spans="1:11" s="520" customFormat="1" ht="15.75">
      <c r="A937" s="157"/>
      <c r="B937" s="519"/>
      <c r="J937" s="524"/>
      <c r="K937" s="525"/>
    </row>
    <row r="938" spans="1:11" s="520" customFormat="1" ht="15.75">
      <c r="A938" s="157"/>
      <c r="B938" s="519"/>
      <c r="J938" s="524"/>
      <c r="K938" s="525"/>
    </row>
    <row r="939" spans="1:11" s="520" customFormat="1" ht="15.75">
      <c r="A939" s="157"/>
      <c r="B939" s="519"/>
      <c r="J939" s="524"/>
      <c r="K939" s="525"/>
    </row>
    <row r="940" spans="1:11" s="520" customFormat="1" ht="15.75">
      <c r="A940" s="157"/>
      <c r="B940" s="519"/>
      <c r="J940" s="524"/>
      <c r="K940" s="525"/>
    </row>
    <row r="941" spans="1:11" s="520" customFormat="1" ht="15.75">
      <c r="A941" s="157"/>
      <c r="B941" s="519"/>
      <c r="J941" s="524"/>
      <c r="K941" s="525"/>
    </row>
    <row r="942" spans="1:11" s="520" customFormat="1" ht="15.75">
      <c r="A942" s="157"/>
      <c r="B942" s="519"/>
      <c r="J942" s="524"/>
      <c r="K942" s="525"/>
    </row>
    <row r="943" spans="1:11" s="520" customFormat="1" ht="15.75">
      <c r="A943" s="157"/>
      <c r="B943" s="519"/>
      <c r="J943" s="524"/>
      <c r="K943" s="525"/>
    </row>
    <row r="944" spans="1:11" s="520" customFormat="1" ht="15.75">
      <c r="A944" s="157"/>
      <c r="B944" s="519"/>
      <c r="J944" s="524"/>
      <c r="K944" s="525"/>
    </row>
    <row r="945" spans="1:11" s="520" customFormat="1" ht="15.75">
      <c r="A945" s="157"/>
      <c r="B945" s="519"/>
      <c r="J945" s="524"/>
      <c r="K945" s="525"/>
    </row>
    <row r="946" spans="1:11" s="520" customFormat="1" ht="15.75">
      <c r="A946" s="157"/>
      <c r="B946" s="519"/>
      <c r="J946" s="524"/>
      <c r="K946" s="525"/>
    </row>
    <row r="947" spans="1:11" s="520" customFormat="1" ht="15.75">
      <c r="A947" s="157"/>
      <c r="B947" s="519"/>
      <c r="J947" s="524"/>
      <c r="K947" s="525"/>
    </row>
    <row r="948" spans="1:11" s="520" customFormat="1" ht="15.75">
      <c r="A948" s="157"/>
      <c r="B948" s="519"/>
      <c r="J948" s="524"/>
      <c r="K948" s="525"/>
    </row>
    <row r="949" spans="1:11" s="520" customFormat="1" ht="15.75">
      <c r="A949" s="157"/>
      <c r="B949" s="519"/>
      <c r="J949" s="524"/>
      <c r="K949" s="525"/>
    </row>
    <row r="950" spans="1:11" s="520" customFormat="1" ht="15.75">
      <c r="A950" s="157"/>
      <c r="B950" s="519"/>
      <c r="J950" s="524"/>
      <c r="K950" s="525"/>
    </row>
    <row r="951" spans="1:11" s="520" customFormat="1" ht="15.75">
      <c r="A951" s="157"/>
      <c r="B951" s="519"/>
      <c r="J951" s="524"/>
      <c r="K951" s="525"/>
    </row>
    <row r="952" spans="1:11" s="520" customFormat="1" ht="15.75">
      <c r="A952" s="157"/>
      <c r="B952" s="519"/>
      <c r="J952" s="524"/>
      <c r="K952" s="525"/>
    </row>
    <row r="953" spans="1:11" s="520" customFormat="1" ht="15.75">
      <c r="A953" s="157"/>
      <c r="B953" s="519"/>
      <c r="J953" s="524"/>
      <c r="K953" s="525"/>
    </row>
    <row r="954" spans="1:11" s="520" customFormat="1" ht="15.75">
      <c r="A954" s="157"/>
      <c r="B954" s="519"/>
      <c r="J954" s="524"/>
      <c r="K954" s="525"/>
    </row>
    <row r="955" spans="1:11" s="520" customFormat="1" ht="15.75">
      <c r="A955" s="157"/>
      <c r="B955" s="519"/>
      <c r="J955" s="524"/>
      <c r="K955" s="525"/>
    </row>
    <row r="956" spans="1:11" s="520" customFormat="1" ht="15.75">
      <c r="A956" s="157"/>
      <c r="B956" s="519"/>
      <c r="J956" s="524"/>
      <c r="K956" s="525"/>
    </row>
    <row r="957" spans="1:11" s="520" customFormat="1" ht="15.75">
      <c r="A957" s="157"/>
      <c r="B957" s="519"/>
      <c r="J957" s="524"/>
      <c r="K957" s="525"/>
    </row>
    <row r="958" spans="1:11" s="520" customFormat="1" ht="15.75">
      <c r="A958" s="157"/>
      <c r="B958" s="519"/>
      <c r="J958" s="524"/>
      <c r="K958" s="525"/>
    </row>
    <row r="959" spans="1:11" s="520" customFormat="1" ht="15.75">
      <c r="A959" s="157"/>
      <c r="B959" s="519"/>
      <c r="J959" s="524"/>
      <c r="K959" s="525"/>
    </row>
    <row r="960" spans="1:11" s="520" customFormat="1" ht="15.75">
      <c r="A960" s="157"/>
      <c r="B960" s="519"/>
      <c r="J960" s="524"/>
      <c r="K960" s="525"/>
    </row>
    <row r="961" spans="1:11" s="520" customFormat="1" ht="15.75">
      <c r="A961" s="157"/>
      <c r="B961" s="519"/>
      <c r="J961" s="524"/>
      <c r="K961" s="525"/>
    </row>
    <row r="962" spans="1:11" s="520" customFormat="1" ht="15.75">
      <c r="A962" s="157"/>
      <c r="B962" s="519"/>
      <c r="J962" s="524"/>
      <c r="K962" s="525"/>
    </row>
    <row r="963" spans="1:11" s="520" customFormat="1" ht="15.75">
      <c r="A963" s="157"/>
      <c r="B963" s="519"/>
      <c r="J963" s="524"/>
      <c r="K963" s="525"/>
    </row>
    <row r="964" spans="1:11" s="520" customFormat="1" ht="15.75">
      <c r="A964" s="157"/>
      <c r="B964" s="519"/>
      <c r="J964" s="524"/>
      <c r="K964" s="525"/>
    </row>
    <row r="965" spans="1:11" s="520" customFormat="1" ht="15.75">
      <c r="A965" s="157"/>
      <c r="B965" s="519"/>
      <c r="J965" s="524"/>
      <c r="K965" s="525"/>
    </row>
    <row r="966" spans="1:11" s="520" customFormat="1" ht="15.75">
      <c r="A966" s="157"/>
      <c r="B966" s="519"/>
      <c r="J966" s="524"/>
      <c r="K966" s="525"/>
    </row>
    <row r="967" spans="1:11" s="520" customFormat="1" ht="15.75">
      <c r="A967" s="157"/>
      <c r="B967" s="519"/>
      <c r="J967" s="524"/>
      <c r="K967" s="525"/>
    </row>
    <row r="968" spans="1:11" s="520" customFormat="1" ht="15.75">
      <c r="A968" s="157"/>
      <c r="B968" s="519"/>
      <c r="J968" s="524"/>
      <c r="K968" s="525"/>
    </row>
    <row r="969" spans="1:11" s="520" customFormat="1" ht="15.75">
      <c r="A969" s="157"/>
      <c r="B969" s="519"/>
      <c r="J969" s="524"/>
      <c r="K969" s="525"/>
    </row>
    <row r="970" spans="1:11" s="520" customFormat="1" ht="15.75">
      <c r="A970" s="157"/>
      <c r="B970" s="519"/>
      <c r="J970" s="524"/>
      <c r="K970" s="525"/>
    </row>
    <row r="971" spans="1:11" s="520" customFormat="1" ht="15.75">
      <c r="A971" s="157"/>
      <c r="B971" s="519"/>
      <c r="J971" s="524"/>
      <c r="K971" s="525"/>
    </row>
    <row r="972" spans="1:11" s="520" customFormat="1" ht="15.75">
      <c r="A972" s="157"/>
      <c r="B972" s="519"/>
      <c r="J972" s="524"/>
      <c r="K972" s="525"/>
    </row>
    <row r="973" spans="1:11" s="520" customFormat="1" ht="15.75">
      <c r="A973" s="157"/>
      <c r="B973" s="519"/>
      <c r="J973" s="524"/>
      <c r="K973" s="525"/>
    </row>
    <row r="974" spans="1:11" s="520" customFormat="1" ht="15.75">
      <c r="A974" s="157"/>
      <c r="B974" s="519"/>
      <c r="J974" s="524"/>
      <c r="K974" s="525"/>
    </row>
    <row r="975" spans="1:11" s="520" customFormat="1" ht="15.75">
      <c r="A975" s="157"/>
      <c r="B975" s="519"/>
      <c r="J975" s="524"/>
      <c r="K975" s="525"/>
    </row>
    <row r="976" spans="1:11" s="520" customFormat="1" ht="15.75">
      <c r="A976" s="157"/>
      <c r="B976" s="519"/>
      <c r="J976" s="524"/>
      <c r="K976" s="525"/>
    </row>
    <row r="977" spans="1:11" s="520" customFormat="1" ht="15.75">
      <c r="A977" s="157"/>
      <c r="B977" s="519"/>
      <c r="J977" s="524"/>
      <c r="K977" s="525"/>
    </row>
    <row r="978" spans="1:11" s="520" customFormat="1" ht="15.75">
      <c r="A978" s="157"/>
      <c r="B978" s="519"/>
      <c r="J978" s="524"/>
      <c r="K978" s="525"/>
    </row>
    <row r="979" spans="1:11" s="520" customFormat="1" ht="15.75">
      <c r="A979" s="157"/>
      <c r="B979" s="519"/>
      <c r="J979" s="524"/>
      <c r="K979" s="525"/>
    </row>
    <row r="980" spans="1:11" s="520" customFormat="1" ht="15.75">
      <c r="A980" s="157"/>
      <c r="B980" s="519"/>
      <c r="J980" s="524"/>
      <c r="K980" s="525"/>
    </row>
    <row r="981" spans="1:11" s="520" customFormat="1" ht="15.75">
      <c r="A981" s="157"/>
      <c r="B981" s="519"/>
      <c r="J981" s="524"/>
      <c r="K981" s="525"/>
    </row>
    <row r="982" spans="1:11" s="520" customFormat="1" ht="15.75">
      <c r="A982" s="157"/>
      <c r="B982" s="519"/>
      <c r="J982" s="524"/>
      <c r="K982" s="525"/>
    </row>
    <row r="983" spans="1:11" s="520" customFormat="1" ht="15.75">
      <c r="A983" s="157"/>
      <c r="B983" s="519"/>
      <c r="J983" s="524"/>
      <c r="K983" s="525"/>
    </row>
    <row r="984" spans="1:11" s="520" customFormat="1" ht="15.75">
      <c r="A984" s="157"/>
      <c r="B984" s="519"/>
      <c r="J984" s="524"/>
      <c r="K984" s="525"/>
    </row>
    <row r="985" spans="1:11" s="520" customFormat="1" ht="15.75">
      <c r="A985" s="157"/>
      <c r="B985" s="519"/>
      <c r="J985" s="524"/>
      <c r="K985" s="525"/>
    </row>
    <row r="986" spans="1:11" s="520" customFormat="1" ht="15.75">
      <c r="A986" s="157"/>
      <c r="B986" s="519"/>
      <c r="J986" s="524"/>
      <c r="K986" s="525"/>
    </row>
    <row r="987" spans="1:11" s="520" customFormat="1" ht="15.75">
      <c r="A987" s="157"/>
      <c r="B987" s="519"/>
      <c r="J987" s="524"/>
      <c r="K987" s="525"/>
    </row>
    <row r="988" spans="1:11" s="520" customFormat="1" ht="15.75">
      <c r="A988" s="157"/>
      <c r="B988" s="519"/>
      <c r="J988" s="524"/>
      <c r="K988" s="525"/>
    </row>
    <row r="989" spans="1:11" s="520" customFormat="1" ht="15.75">
      <c r="A989" s="157"/>
      <c r="B989" s="519"/>
      <c r="J989" s="524"/>
      <c r="K989" s="525"/>
    </row>
    <row r="990" spans="1:11" s="520" customFormat="1" ht="15.75">
      <c r="A990" s="157"/>
      <c r="B990" s="519"/>
      <c r="J990" s="524"/>
      <c r="K990" s="525"/>
    </row>
    <row r="991" spans="1:11" s="520" customFormat="1" ht="15.75">
      <c r="A991" s="157"/>
      <c r="B991" s="519"/>
      <c r="J991" s="524"/>
      <c r="K991" s="525"/>
    </row>
    <row r="992" spans="1:11" s="520" customFormat="1" ht="15.75">
      <c r="A992" s="157"/>
      <c r="B992" s="519"/>
      <c r="J992" s="524"/>
      <c r="K992" s="525"/>
    </row>
    <row r="993" spans="1:11" s="520" customFormat="1" ht="15.75">
      <c r="A993" s="157"/>
      <c r="B993" s="519"/>
      <c r="J993" s="524"/>
      <c r="K993" s="525"/>
    </row>
    <row r="994" spans="1:11" s="520" customFormat="1" ht="15.75">
      <c r="A994" s="157"/>
      <c r="B994" s="519"/>
      <c r="J994" s="524"/>
      <c r="K994" s="525"/>
    </row>
    <row r="995" spans="1:11" s="520" customFormat="1" ht="15.75">
      <c r="A995" s="157"/>
      <c r="B995" s="519"/>
      <c r="J995" s="524"/>
      <c r="K995" s="525"/>
    </row>
    <row r="996" spans="1:11" s="520" customFormat="1" ht="15.75">
      <c r="A996" s="157"/>
      <c r="B996" s="519"/>
      <c r="J996" s="524"/>
      <c r="K996" s="525"/>
    </row>
    <row r="997" spans="1:11" s="520" customFormat="1" ht="15.75">
      <c r="A997" s="157"/>
      <c r="B997" s="519"/>
      <c r="J997" s="524"/>
      <c r="K997" s="525"/>
    </row>
    <row r="998" spans="1:11" s="520" customFormat="1" ht="15.75">
      <c r="A998" s="157"/>
      <c r="B998" s="519"/>
      <c r="J998" s="524"/>
      <c r="K998" s="525"/>
    </row>
    <row r="999" spans="1:11" s="520" customFormat="1" ht="15.75">
      <c r="A999" s="157"/>
      <c r="B999" s="519"/>
      <c r="J999" s="524"/>
      <c r="K999" s="525"/>
    </row>
    <row r="1000" spans="1:11" s="520" customFormat="1" ht="15.75">
      <c r="A1000" s="157"/>
      <c r="B1000" s="519"/>
      <c r="J1000" s="524"/>
      <c r="K1000" s="525"/>
    </row>
    <row r="1001" spans="1:11" s="520" customFormat="1" ht="15.75">
      <c r="A1001" s="157"/>
      <c r="B1001" s="519"/>
      <c r="J1001" s="524"/>
      <c r="K1001" s="525"/>
    </row>
    <row r="1002" spans="1:11" s="520" customFormat="1" ht="15.75">
      <c r="A1002" s="157"/>
      <c r="B1002" s="519"/>
      <c r="J1002" s="524"/>
      <c r="K1002" s="525"/>
    </row>
    <row r="1003" spans="1:11" s="520" customFormat="1" ht="15.75">
      <c r="A1003" s="157"/>
      <c r="B1003" s="519"/>
      <c r="J1003" s="524"/>
      <c r="K1003" s="525"/>
    </row>
    <row r="1004" spans="1:11" s="520" customFormat="1" ht="15.75">
      <c r="A1004" s="157"/>
      <c r="B1004" s="519"/>
      <c r="J1004" s="524"/>
      <c r="K1004" s="525"/>
    </row>
    <row r="1005" spans="1:11" s="520" customFormat="1" ht="15.75">
      <c r="A1005" s="157"/>
      <c r="B1005" s="519"/>
      <c r="J1005" s="524"/>
      <c r="K1005" s="525"/>
    </row>
    <row r="1006" spans="1:11" s="520" customFormat="1" ht="15.75">
      <c r="A1006" s="157"/>
      <c r="B1006" s="519"/>
      <c r="J1006" s="524"/>
      <c r="K1006" s="525"/>
    </row>
    <row r="1007" spans="1:11" s="520" customFormat="1" ht="15.75">
      <c r="A1007" s="157"/>
      <c r="B1007" s="519"/>
      <c r="J1007" s="524"/>
      <c r="K1007" s="525"/>
    </row>
    <row r="1008" spans="1:11" s="520" customFormat="1" ht="15.75">
      <c r="A1008" s="157"/>
      <c r="B1008" s="519"/>
      <c r="J1008" s="524"/>
      <c r="K1008" s="525"/>
    </row>
    <row r="1009" spans="1:11" s="520" customFormat="1" ht="15.75">
      <c r="A1009" s="157"/>
      <c r="B1009" s="519"/>
      <c r="J1009" s="524"/>
      <c r="K1009" s="525"/>
    </row>
    <row r="1010" spans="1:11" s="520" customFormat="1" ht="15.75">
      <c r="A1010" s="157"/>
      <c r="B1010" s="519"/>
      <c r="J1010" s="524"/>
      <c r="K1010" s="525"/>
    </row>
    <row r="1011" spans="1:11" s="520" customFormat="1" ht="15.75">
      <c r="A1011" s="157"/>
      <c r="B1011" s="519"/>
      <c r="J1011" s="524"/>
      <c r="K1011" s="525"/>
    </row>
    <row r="1012" spans="1:11" s="520" customFormat="1" ht="15.75">
      <c r="A1012" s="157"/>
      <c r="B1012" s="519"/>
      <c r="J1012" s="524"/>
      <c r="K1012" s="525"/>
    </row>
    <row r="1013" spans="1:11" s="520" customFormat="1" ht="15.75">
      <c r="A1013" s="157"/>
      <c r="B1013" s="519"/>
      <c r="J1013" s="524"/>
      <c r="K1013" s="525"/>
    </row>
    <row r="1014" spans="1:11" s="520" customFormat="1" ht="15.75">
      <c r="A1014" s="157"/>
      <c r="B1014" s="519"/>
      <c r="J1014" s="524"/>
      <c r="K1014" s="525"/>
    </row>
    <row r="1015" spans="1:11" s="520" customFormat="1" ht="15.75">
      <c r="A1015" s="157"/>
      <c r="B1015" s="519"/>
      <c r="J1015" s="524"/>
      <c r="K1015" s="525"/>
    </row>
    <row r="1016" spans="1:11" s="520" customFormat="1" ht="15.75">
      <c r="A1016" s="157"/>
      <c r="B1016" s="519"/>
      <c r="J1016" s="524"/>
      <c r="K1016" s="525"/>
    </row>
    <row r="1017" spans="1:11" s="520" customFormat="1" ht="15.75">
      <c r="A1017" s="157"/>
      <c r="B1017" s="519"/>
      <c r="J1017" s="524"/>
      <c r="K1017" s="525"/>
    </row>
    <row r="1018" spans="1:11" s="520" customFormat="1" ht="15.75">
      <c r="A1018" s="157"/>
      <c r="B1018" s="519"/>
      <c r="J1018" s="524"/>
      <c r="K1018" s="525"/>
    </row>
    <row r="1019" spans="1:11" s="520" customFormat="1" ht="15.75">
      <c r="A1019" s="157"/>
      <c r="B1019" s="519"/>
      <c r="J1019" s="524"/>
      <c r="K1019" s="525"/>
    </row>
    <row r="1020" spans="1:11" s="520" customFormat="1" ht="15.75">
      <c r="A1020" s="157"/>
      <c r="B1020" s="519"/>
      <c r="J1020" s="524"/>
      <c r="K1020" s="525"/>
    </row>
    <row r="1021" spans="1:11" s="520" customFormat="1" ht="15.75">
      <c r="A1021" s="157"/>
      <c r="B1021" s="519"/>
      <c r="J1021" s="524"/>
      <c r="K1021" s="525"/>
    </row>
    <row r="1022" spans="1:11" s="520" customFormat="1" ht="15.75">
      <c r="A1022" s="157"/>
      <c r="B1022" s="519"/>
      <c r="J1022" s="524"/>
      <c r="K1022" s="525"/>
    </row>
    <row r="1023" spans="1:11" s="520" customFormat="1" ht="15.75">
      <c r="A1023" s="157"/>
      <c r="B1023" s="519"/>
      <c r="J1023" s="524"/>
      <c r="K1023" s="525"/>
    </row>
    <row r="1024" spans="1:11" s="520" customFormat="1" ht="15.75">
      <c r="A1024" s="157"/>
      <c r="B1024" s="519"/>
      <c r="J1024" s="524"/>
      <c r="K1024" s="525"/>
    </row>
    <row r="1025" spans="1:11" s="520" customFormat="1" ht="15.75">
      <c r="A1025" s="157"/>
      <c r="B1025" s="519"/>
      <c r="J1025" s="524"/>
      <c r="K1025" s="525"/>
    </row>
    <row r="1026" spans="1:11" s="520" customFormat="1" ht="15.75">
      <c r="A1026" s="157"/>
      <c r="B1026" s="519"/>
      <c r="J1026" s="524"/>
      <c r="K1026" s="525"/>
    </row>
    <row r="1027" spans="1:11" s="520" customFormat="1" ht="15.75">
      <c r="A1027" s="157"/>
      <c r="B1027" s="519"/>
      <c r="J1027" s="524"/>
      <c r="K1027" s="525"/>
    </row>
    <row r="1028" spans="1:11" s="520" customFormat="1" ht="15.75">
      <c r="A1028" s="157"/>
      <c r="B1028" s="519"/>
      <c r="J1028" s="524"/>
      <c r="K1028" s="525"/>
    </row>
    <row r="1029" spans="1:11" s="520" customFormat="1" ht="15.75">
      <c r="A1029" s="157"/>
      <c r="B1029" s="519"/>
      <c r="J1029" s="524"/>
      <c r="K1029" s="525"/>
    </row>
    <row r="1030" spans="1:11" s="520" customFormat="1" ht="15.75">
      <c r="A1030" s="157"/>
      <c r="B1030" s="519"/>
      <c r="J1030" s="524"/>
      <c r="K1030" s="525"/>
    </row>
    <row r="1031" spans="1:11" s="520" customFormat="1" ht="15.75">
      <c r="A1031" s="157"/>
      <c r="B1031" s="519"/>
      <c r="J1031" s="524"/>
      <c r="K1031" s="525"/>
    </row>
    <row r="1032" spans="1:11" s="520" customFormat="1" ht="15.75">
      <c r="A1032" s="157"/>
      <c r="B1032" s="519"/>
      <c r="J1032" s="524"/>
      <c r="K1032" s="525"/>
    </row>
    <row r="1033" spans="1:11" s="520" customFormat="1" ht="15.75">
      <c r="A1033" s="157"/>
      <c r="B1033" s="519"/>
      <c r="J1033" s="524"/>
      <c r="K1033" s="525"/>
    </row>
    <row r="1034" spans="1:11" s="520" customFormat="1" ht="15.75">
      <c r="A1034" s="157"/>
      <c r="B1034" s="519"/>
      <c r="J1034" s="524"/>
      <c r="K1034" s="525"/>
    </row>
    <row r="1035" spans="1:11" s="520" customFormat="1" ht="15.75">
      <c r="A1035" s="157"/>
      <c r="B1035" s="519"/>
      <c r="J1035" s="524"/>
      <c r="K1035" s="525"/>
    </row>
    <row r="1036" spans="1:11" s="520" customFormat="1" ht="15.75">
      <c r="A1036" s="157"/>
      <c r="B1036" s="519"/>
      <c r="J1036" s="524"/>
      <c r="K1036" s="525"/>
    </row>
    <row r="1037" spans="1:11" s="520" customFormat="1" ht="15.75">
      <c r="A1037" s="157"/>
      <c r="B1037" s="519"/>
      <c r="J1037" s="524"/>
      <c r="K1037" s="525"/>
    </row>
    <row r="1038" spans="1:11" s="520" customFormat="1" ht="15.75">
      <c r="A1038" s="157"/>
      <c r="B1038" s="519"/>
      <c r="J1038" s="524"/>
      <c r="K1038" s="525"/>
    </row>
    <row r="1039" spans="1:11" s="520" customFormat="1" ht="15.75">
      <c r="A1039" s="157"/>
      <c r="B1039" s="519"/>
      <c r="J1039" s="524"/>
      <c r="K1039" s="525"/>
    </row>
    <row r="1040" spans="1:11" s="520" customFormat="1" ht="15.75">
      <c r="A1040" s="157"/>
      <c r="B1040" s="519"/>
      <c r="J1040" s="524"/>
      <c r="K1040" s="525"/>
    </row>
    <row r="1041" spans="1:11" s="520" customFormat="1" ht="15.75">
      <c r="A1041" s="157"/>
      <c r="B1041" s="519"/>
      <c r="J1041" s="524"/>
      <c r="K1041" s="525"/>
    </row>
    <row r="1042" spans="1:11" s="520" customFormat="1" ht="15.75">
      <c r="A1042" s="157"/>
      <c r="B1042" s="519"/>
      <c r="J1042" s="524"/>
      <c r="K1042" s="525"/>
    </row>
    <row r="1043" spans="1:11" s="520" customFormat="1" ht="15.75">
      <c r="A1043" s="157"/>
      <c r="B1043" s="519"/>
      <c r="J1043" s="524"/>
      <c r="K1043" s="525"/>
    </row>
    <row r="1044" spans="1:11" s="520" customFormat="1" ht="15.75">
      <c r="A1044" s="157"/>
      <c r="B1044" s="519"/>
      <c r="J1044" s="524"/>
      <c r="K1044" s="525"/>
    </row>
    <row r="1045" spans="1:11" s="520" customFormat="1" ht="15.75">
      <c r="A1045" s="157"/>
      <c r="B1045" s="519"/>
      <c r="J1045" s="524"/>
      <c r="K1045" s="525"/>
    </row>
    <row r="1046" spans="1:11" s="520" customFormat="1" ht="15.75">
      <c r="A1046" s="157"/>
      <c r="B1046" s="519"/>
      <c r="J1046" s="524"/>
      <c r="K1046" s="525"/>
    </row>
    <row r="1047" spans="1:11" s="520" customFormat="1" ht="15.75">
      <c r="A1047" s="157"/>
      <c r="B1047" s="519"/>
      <c r="J1047" s="524"/>
      <c r="K1047" s="525"/>
    </row>
    <row r="1048" spans="1:11" s="520" customFormat="1" ht="15.75">
      <c r="A1048" s="157"/>
      <c r="B1048" s="519"/>
      <c r="J1048" s="524"/>
      <c r="K1048" s="525"/>
    </row>
    <row r="1049" spans="1:11" s="520" customFormat="1" ht="15.75">
      <c r="A1049" s="157"/>
      <c r="B1049" s="519"/>
      <c r="J1049" s="524"/>
      <c r="K1049" s="525"/>
    </row>
    <row r="1050" spans="1:11" s="520" customFormat="1" ht="15.75">
      <c r="A1050" s="157"/>
      <c r="B1050" s="519"/>
      <c r="J1050" s="524"/>
      <c r="K1050" s="525"/>
    </row>
    <row r="1051" spans="1:11" s="520" customFormat="1" ht="15.75">
      <c r="A1051" s="157"/>
      <c r="B1051" s="519"/>
      <c r="J1051" s="524"/>
      <c r="K1051" s="525"/>
    </row>
    <row r="1052" spans="1:11" s="520" customFormat="1" ht="15.75">
      <c r="A1052" s="157"/>
      <c r="B1052" s="519"/>
      <c r="J1052" s="524"/>
      <c r="K1052" s="525"/>
    </row>
    <row r="1053" spans="1:11" s="520" customFormat="1" ht="15.75">
      <c r="A1053" s="157"/>
      <c r="B1053" s="519"/>
      <c r="J1053" s="524"/>
      <c r="K1053" s="525"/>
    </row>
    <row r="1054" spans="1:11" s="520" customFormat="1" ht="15.75">
      <c r="A1054" s="157"/>
      <c r="B1054" s="519"/>
      <c r="J1054" s="524"/>
      <c r="K1054" s="525"/>
    </row>
    <row r="1055" spans="1:11" s="520" customFormat="1" ht="15.75">
      <c r="A1055" s="157"/>
      <c r="B1055" s="519"/>
      <c r="J1055" s="524"/>
      <c r="K1055" s="525"/>
    </row>
    <row r="1056" spans="1:11" s="520" customFormat="1" ht="15.75">
      <c r="A1056" s="157"/>
      <c r="B1056" s="519"/>
      <c r="J1056" s="524"/>
      <c r="K1056" s="525"/>
    </row>
    <row r="1057" spans="1:11" s="520" customFormat="1" ht="15.75">
      <c r="A1057" s="157"/>
      <c r="B1057" s="519"/>
      <c r="J1057" s="524"/>
      <c r="K1057" s="525"/>
    </row>
    <row r="1058" spans="1:11" s="520" customFormat="1" ht="15.75">
      <c r="A1058" s="157"/>
      <c r="B1058" s="519"/>
      <c r="J1058" s="524"/>
      <c r="K1058" s="525"/>
    </row>
    <row r="1059" spans="1:11" s="520" customFormat="1" ht="15.75">
      <c r="A1059" s="157"/>
      <c r="B1059" s="519"/>
      <c r="J1059" s="524"/>
      <c r="K1059" s="525"/>
    </row>
    <row r="1060" spans="1:11" s="520" customFormat="1" ht="15.75">
      <c r="A1060" s="157"/>
      <c r="B1060" s="519"/>
      <c r="J1060" s="524"/>
      <c r="K1060" s="525"/>
    </row>
    <row r="1061" spans="1:11" s="520" customFormat="1" ht="15.75">
      <c r="A1061" s="157"/>
      <c r="B1061" s="519"/>
      <c r="J1061" s="524"/>
      <c r="K1061" s="525"/>
    </row>
    <row r="1062" spans="1:11" s="520" customFormat="1" ht="15.75">
      <c r="A1062" s="157"/>
      <c r="B1062" s="519"/>
      <c r="J1062" s="524"/>
      <c r="K1062" s="525"/>
    </row>
    <row r="1063" spans="1:11" s="520" customFormat="1" ht="15.75">
      <c r="A1063" s="157"/>
      <c r="B1063" s="519"/>
      <c r="J1063" s="524"/>
      <c r="K1063" s="525"/>
    </row>
    <row r="1064" spans="1:11" s="520" customFormat="1" ht="15.75">
      <c r="A1064" s="157"/>
      <c r="B1064" s="519"/>
      <c r="J1064" s="524"/>
      <c r="K1064" s="525"/>
    </row>
    <row r="1065" spans="1:11" s="520" customFormat="1" ht="15.75">
      <c r="A1065" s="157"/>
      <c r="B1065" s="519"/>
      <c r="J1065" s="524"/>
      <c r="K1065" s="525"/>
    </row>
    <row r="1066" spans="1:11" s="520" customFormat="1" ht="15.75">
      <c r="A1066" s="157"/>
      <c r="B1066" s="519"/>
      <c r="J1066" s="524"/>
      <c r="K1066" s="525"/>
    </row>
    <row r="1067" spans="1:11" s="520" customFormat="1" ht="15.75">
      <c r="A1067" s="157"/>
      <c r="B1067" s="519"/>
      <c r="J1067" s="524"/>
      <c r="K1067" s="525"/>
    </row>
    <row r="1068" spans="1:11" s="520" customFormat="1" ht="15.75">
      <c r="A1068" s="157"/>
      <c r="B1068" s="519"/>
      <c r="J1068" s="524"/>
      <c r="K1068" s="525"/>
    </row>
    <row r="1069" spans="1:11" s="520" customFormat="1" ht="15.75">
      <c r="A1069" s="157"/>
      <c r="B1069" s="519"/>
      <c r="J1069" s="524"/>
      <c r="K1069" s="525"/>
    </row>
    <row r="1070" spans="1:11" s="520" customFormat="1" ht="15.75">
      <c r="A1070" s="157"/>
      <c r="B1070" s="519"/>
      <c r="J1070" s="524"/>
      <c r="K1070" s="525"/>
    </row>
    <row r="1071" spans="1:11" s="520" customFormat="1" ht="15.75">
      <c r="A1071" s="157"/>
      <c r="B1071" s="519"/>
      <c r="J1071" s="524"/>
      <c r="K1071" s="525"/>
    </row>
    <row r="1072" spans="1:11" s="520" customFormat="1" ht="15.75">
      <c r="A1072" s="157"/>
      <c r="B1072" s="519"/>
      <c r="J1072" s="524"/>
      <c r="K1072" s="525"/>
    </row>
    <row r="1073" spans="1:11" s="520" customFormat="1" ht="15.75">
      <c r="A1073" s="157"/>
      <c r="B1073" s="519"/>
      <c r="J1073" s="524"/>
      <c r="K1073" s="525"/>
    </row>
    <row r="1074" spans="1:11" s="520" customFormat="1" ht="15.75">
      <c r="A1074" s="157"/>
      <c r="B1074" s="519"/>
      <c r="J1074" s="524"/>
      <c r="K1074" s="525"/>
    </row>
    <row r="1075" spans="1:11" s="520" customFormat="1" ht="15.75">
      <c r="A1075" s="157"/>
      <c r="B1075" s="519"/>
      <c r="J1075" s="524"/>
      <c r="K1075" s="525"/>
    </row>
    <row r="1076" spans="1:11" s="520" customFormat="1" ht="15.75">
      <c r="A1076" s="157"/>
      <c r="B1076" s="519"/>
      <c r="J1076" s="524"/>
      <c r="K1076" s="525"/>
    </row>
    <row r="1077" spans="1:11" s="520" customFormat="1" ht="15.75">
      <c r="A1077" s="157"/>
      <c r="B1077" s="519"/>
      <c r="J1077" s="524"/>
      <c r="K1077" s="525"/>
    </row>
    <row r="1078" spans="1:11" s="520" customFormat="1" ht="15.75">
      <c r="A1078" s="157"/>
      <c r="B1078" s="519"/>
      <c r="J1078" s="524"/>
      <c r="K1078" s="525"/>
    </row>
    <row r="1079" spans="1:11" s="520" customFormat="1" ht="15.75">
      <c r="A1079" s="157"/>
      <c r="B1079" s="519"/>
      <c r="J1079" s="524"/>
      <c r="K1079" s="525"/>
    </row>
    <row r="1080" spans="1:11" s="520" customFormat="1" ht="15.75">
      <c r="A1080" s="157"/>
      <c r="B1080" s="519"/>
      <c r="J1080" s="524"/>
      <c r="K1080" s="525"/>
    </row>
    <row r="1081" spans="1:11" s="520" customFormat="1" ht="15.75">
      <c r="A1081" s="157"/>
      <c r="B1081" s="519"/>
      <c r="J1081" s="524"/>
      <c r="K1081" s="525"/>
    </row>
    <row r="1082" spans="1:11" s="520" customFormat="1" ht="15.75">
      <c r="A1082" s="157"/>
      <c r="B1082" s="519"/>
      <c r="J1082" s="524"/>
      <c r="K1082" s="525"/>
    </row>
    <row r="1083" spans="1:11" s="520" customFormat="1" ht="15.75">
      <c r="A1083" s="157"/>
      <c r="B1083" s="519"/>
      <c r="J1083" s="524"/>
      <c r="K1083" s="525"/>
    </row>
    <row r="1084" spans="1:11" s="520" customFormat="1" ht="15.75">
      <c r="A1084" s="157"/>
      <c r="B1084" s="519"/>
      <c r="J1084" s="524"/>
      <c r="K1084" s="525"/>
    </row>
    <row r="1085" spans="1:11" s="520" customFormat="1" ht="15.75">
      <c r="A1085" s="157"/>
      <c r="B1085" s="519"/>
      <c r="J1085" s="524"/>
      <c r="K1085" s="525"/>
    </row>
    <row r="1086" spans="1:11" s="520" customFormat="1" ht="15.75">
      <c r="A1086" s="157"/>
      <c r="B1086" s="519"/>
      <c r="J1086" s="524"/>
      <c r="K1086" s="525"/>
    </row>
    <row r="1087" spans="1:11" s="520" customFormat="1" ht="15.75">
      <c r="A1087" s="157"/>
      <c r="B1087" s="519"/>
      <c r="J1087" s="524"/>
      <c r="K1087" s="525"/>
    </row>
    <row r="1088" spans="1:11" s="520" customFormat="1" ht="15.75">
      <c r="A1088" s="157"/>
      <c r="B1088" s="519"/>
      <c r="J1088" s="524"/>
      <c r="K1088" s="525"/>
    </row>
    <row r="1089" spans="1:11" s="520" customFormat="1" ht="15.75">
      <c r="A1089" s="157"/>
      <c r="B1089" s="519"/>
      <c r="J1089" s="524"/>
      <c r="K1089" s="525"/>
    </row>
    <row r="1090" spans="1:11" s="520" customFormat="1" ht="15.75">
      <c r="A1090" s="157"/>
      <c r="B1090" s="519"/>
      <c r="J1090" s="524"/>
      <c r="K1090" s="525"/>
    </row>
    <row r="1091" spans="1:11" s="520" customFormat="1" ht="15.75">
      <c r="A1091" s="157"/>
      <c r="B1091" s="519"/>
      <c r="J1091" s="524"/>
      <c r="K1091" s="525"/>
    </row>
    <row r="1092" spans="1:11" s="520" customFormat="1" ht="15.75">
      <c r="A1092" s="157"/>
      <c r="B1092" s="519"/>
      <c r="J1092" s="524"/>
      <c r="K1092" s="525"/>
    </row>
    <row r="1093" spans="1:11" s="520" customFormat="1" ht="15.75">
      <c r="A1093" s="157"/>
      <c r="B1093" s="519"/>
      <c r="J1093" s="524"/>
      <c r="K1093" s="525"/>
    </row>
    <row r="1094" spans="1:11" s="520" customFormat="1" ht="15.75">
      <c r="A1094" s="157"/>
      <c r="B1094" s="519"/>
      <c r="J1094" s="524"/>
      <c r="K1094" s="525"/>
    </row>
    <row r="1095" spans="1:11" s="520" customFormat="1" ht="15.75">
      <c r="A1095" s="157"/>
      <c r="B1095" s="519"/>
      <c r="J1095" s="524"/>
      <c r="K1095" s="525"/>
    </row>
    <row r="1096" spans="1:11" s="520" customFormat="1" ht="15.75">
      <c r="A1096" s="157"/>
      <c r="B1096" s="519"/>
      <c r="J1096" s="524"/>
      <c r="K1096" s="525"/>
    </row>
    <row r="1097" spans="1:11" s="520" customFormat="1" ht="15.75">
      <c r="A1097" s="157"/>
      <c r="B1097" s="519"/>
      <c r="J1097" s="524"/>
      <c r="K1097" s="525"/>
    </row>
    <row r="1098" spans="1:11" s="520" customFormat="1" ht="15.75">
      <c r="A1098" s="157"/>
      <c r="B1098" s="519"/>
      <c r="J1098" s="524"/>
      <c r="K1098" s="525"/>
    </row>
    <row r="1099" spans="1:11" s="520" customFormat="1" ht="15.75">
      <c r="A1099" s="157"/>
      <c r="B1099" s="519"/>
      <c r="J1099" s="524"/>
      <c r="K1099" s="525"/>
    </row>
    <row r="1100" spans="1:11" s="520" customFormat="1" ht="15.75">
      <c r="A1100" s="157"/>
      <c r="B1100" s="519"/>
      <c r="J1100" s="524"/>
      <c r="K1100" s="525"/>
    </row>
    <row r="1101" spans="1:11" s="520" customFormat="1" ht="15.75">
      <c r="A1101" s="157"/>
      <c r="B1101" s="519"/>
      <c r="J1101" s="524"/>
      <c r="K1101" s="525"/>
    </row>
    <row r="1102" spans="1:11" s="520" customFormat="1" ht="15.75">
      <c r="A1102" s="157"/>
      <c r="B1102" s="519"/>
      <c r="J1102" s="524"/>
      <c r="K1102" s="525"/>
    </row>
    <row r="1103" spans="1:11" s="520" customFormat="1" ht="15.75">
      <c r="A1103" s="157"/>
      <c r="B1103" s="519"/>
      <c r="J1103" s="524"/>
      <c r="K1103" s="525"/>
    </row>
    <row r="1104" spans="1:11" s="520" customFormat="1" ht="15.75">
      <c r="A1104" s="157"/>
      <c r="B1104" s="519"/>
      <c r="J1104" s="524"/>
      <c r="K1104" s="525"/>
    </row>
    <row r="1105" spans="1:11" s="520" customFormat="1" ht="15.75">
      <c r="A1105" s="157"/>
      <c r="B1105" s="519"/>
      <c r="J1105" s="524"/>
      <c r="K1105" s="525"/>
    </row>
    <row r="1106" spans="1:11" s="520" customFormat="1" ht="15.75">
      <c r="A1106" s="157"/>
      <c r="B1106" s="519"/>
      <c r="J1106" s="524"/>
      <c r="K1106" s="525"/>
    </row>
    <row r="1107" spans="1:11" s="520" customFormat="1" ht="15.75">
      <c r="A1107" s="157"/>
      <c r="B1107" s="519"/>
      <c r="J1107" s="524"/>
      <c r="K1107" s="525"/>
    </row>
    <row r="1108" spans="1:11" s="520" customFormat="1" ht="15.75">
      <c r="A1108" s="157"/>
      <c r="B1108" s="519"/>
      <c r="J1108" s="524"/>
      <c r="K1108" s="525"/>
    </row>
    <row r="1109" spans="1:11" s="520" customFormat="1" ht="15.75">
      <c r="A1109" s="157"/>
      <c r="B1109" s="519"/>
      <c r="J1109" s="524"/>
      <c r="K1109" s="525"/>
    </row>
    <row r="1110" spans="1:11" s="520" customFormat="1" ht="15.75">
      <c r="A1110" s="157"/>
      <c r="B1110" s="519"/>
      <c r="J1110" s="524"/>
      <c r="K1110" s="525"/>
    </row>
    <row r="1111" spans="1:11" s="520" customFormat="1" ht="15.75">
      <c r="A1111" s="157"/>
      <c r="B1111" s="519"/>
      <c r="J1111" s="524"/>
      <c r="K1111" s="525"/>
    </row>
    <row r="1112" spans="1:11" s="520" customFormat="1" ht="15.75">
      <c r="A1112" s="157"/>
      <c r="B1112" s="519"/>
      <c r="J1112" s="524"/>
      <c r="K1112" s="525"/>
    </row>
    <row r="1113" spans="1:11" s="520" customFormat="1" ht="15.75">
      <c r="A1113" s="157"/>
      <c r="B1113" s="519"/>
      <c r="J1113" s="524"/>
      <c r="K1113" s="525"/>
    </row>
    <row r="1114" spans="1:11" s="520" customFormat="1" ht="15.75">
      <c r="A1114" s="157"/>
      <c r="B1114" s="519"/>
      <c r="J1114" s="524"/>
      <c r="K1114" s="525"/>
    </row>
    <row r="1115" spans="1:11" s="520" customFormat="1" ht="15.75">
      <c r="A1115" s="157"/>
      <c r="B1115" s="519"/>
      <c r="J1115" s="524"/>
      <c r="K1115" s="525"/>
    </row>
    <row r="1116" spans="1:11" s="520" customFormat="1" ht="15.75">
      <c r="A1116" s="157"/>
      <c r="B1116" s="519"/>
      <c r="J1116" s="524"/>
      <c r="K1116" s="525"/>
    </row>
    <row r="1117" spans="1:11" s="520" customFormat="1" ht="15.75">
      <c r="A1117" s="157"/>
      <c r="B1117" s="519"/>
      <c r="J1117" s="524"/>
      <c r="K1117" s="525"/>
    </row>
    <row r="1118" spans="1:11" s="520" customFormat="1" ht="15.75">
      <c r="A1118" s="157"/>
      <c r="B1118" s="519"/>
      <c r="J1118" s="524"/>
      <c r="K1118" s="525"/>
    </row>
    <row r="1119" spans="1:11" s="520" customFormat="1" ht="15.75">
      <c r="A1119" s="157"/>
      <c r="B1119" s="519"/>
      <c r="J1119" s="524"/>
      <c r="K1119" s="525"/>
    </row>
    <row r="1120" spans="1:11" s="520" customFormat="1" ht="15.75">
      <c r="A1120" s="157"/>
      <c r="B1120" s="519"/>
      <c r="J1120" s="524"/>
      <c r="K1120" s="525"/>
    </row>
    <row r="1121" spans="1:11" s="520" customFormat="1" ht="15.75">
      <c r="A1121" s="157"/>
      <c r="B1121" s="519"/>
      <c r="J1121" s="524"/>
      <c r="K1121" s="525"/>
    </row>
    <row r="1122" spans="1:11" s="520" customFormat="1" ht="15.75">
      <c r="A1122" s="157"/>
      <c r="B1122" s="519"/>
      <c r="J1122" s="524"/>
      <c r="K1122" s="525"/>
    </row>
    <row r="1123" spans="1:11" s="520" customFormat="1" ht="15.75">
      <c r="A1123" s="157"/>
      <c r="B1123" s="519"/>
      <c r="J1123" s="524"/>
      <c r="K1123" s="525"/>
    </row>
    <row r="1124" spans="1:11" s="520" customFormat="1" ht="15.75">
      <c r="A1124" s="157"/>
      <c r="B1124" s="519"/>
      <c r="J1124" s="524"/>
      <c r="K1124" s="525"/>
    </row>
    <row r="1125" spans="1:11" s="520" customFormat="1" ht="15.75">
      <c r="A1125" s="157"/>
      <c r="B1125" s="519"/>
      <c r="J1125" s="524"/>
      <c r="K1125" s="525"/>
    </row>
    <row r="1126" spans="1:11" s="520" customFormat="1" ht="15.75">
      <c r="A1126" s="157"/>
      <c r="B1126" s="519"/>
      <c r="J1126" s="524"/>
      <c r="K1126" s="525"/>
    </row>
    <row r="1127" spans="1:11" s="520" customFormat="1" ht="15.75">
      <c r="A1127" s="157"/>
      <c r="B1127" s="519"/>
      <c r="J1127" s="524"/>
      <c r="K1127" s="525"/>
    </row>
    <row r="1128" spans="1:11" s="520" customFormat="1" ht="15.75">
      <c r="A1128" s="157"/>
      <c r="B1128" s="519"/>
      <c r="J1128" s="524"/>
      <c r="K1128" s="525"/>
    </row>
    <row r="1129" spans="1:11" s="520" customFormat="1" ht="15.75">
      <c r="A1129" s="157"/>
      <c r="B1129" s="519"/>
      <c r="J1129" s="524"/>
      <c r="K1129" s="525"/>
    </row>
    <row r="1130" spans="1:11" s="520" customFormat="1" ht="15.75">
      <c r="A1130" s="157"/>
      <c r="B1130" s="519"/>
      <c r="J1130" s="524"/>
      <c r="K1130" s="525"/>
    </row>
    <row r="1131" spans="1:11" s="520" customFormat="1" ht="15.75">
      <c r="A1131" s="157"/>
      <c r="B1131" s="519"/>
      <c r="J1131" s="524"/>
      <c r="K1131" s="525"/>
    </row>
    <row r="1132" spans="1:11" s="520" customFormat="1" ht="15.75">
      <c r="A1132" s="157"/>
      <c r="B1132" s="519"/>
      <c r="J1132" s="524"/>
      <c r="K1132" s="525"/>
    </row>
    <row r="1133" spans="1:11" s="520" customFormat="1" ht="15.75">
      <c r="A1133" s="157"/>
      <c r="B1133" s="519"/>
      <c r="J1133" s="524"/>
      <c r="K1133" s="525"/>
    </row>
    <row r="1134" spans="1:11" s="520" customFormat="1" ht="15.75">
      <c r="A1134" s="157"/>
      <c r="B1134" s="519"/>
      <c r="J1134" s="524"/>
      <c r="K1134" s="525"/>
    </row>
    <row r="1135" spans="1:11" s="520" customFormat="1" ht="15.75">
      <c r="A1135" s="157"/>
      <c r="B1135" s="519"/>
      <c r="J1135" s="524"/>
      <c r="K1135" s="525"/>
    </row>
    <row r="1136" spans="1:11" s="520" customFormat="1" ht="15.75">
      <c r="A1136" s="157"/>
      <c r="B1136" s="519"/>
      <c r="J1136" s="524"/>
      <c r="K1136" s="525"/>
    </row>
    <row r="1137" spans="1:11" s="520" customFormat="1" ht="15.75">
      <c r="A1137" s="157"/>
      <c r="B1137" s="519"/>
      <c r="J1137" s="524"/>
      <c r="K1137" s="525"/>
    </row>
    <row r="1138" spans="1:11" s="520" customFormat="1" ht="15.75">
      <c r="A1138" s="157"/>
      <c r="B1138" s="519"/>
      <c r="J1138" s="524"/>
      <c r="K1138" s="525"/>
    </row>
    <row r="1139" spans="1:11" s="520" customFormat="1" ht="15.75">
      <c r="A1139" s="157"/>
      <c r="B1139" s="519"/>
      <c r="J1139" s="524"/>
      <c r="K1139" s="525"/>
    </row>
    <row r="1140" spans="1:11" s="520" customFormat="1" ht="15.75">
      <c r="A1140" s="157"/>
      <c r="B1140" s="519"/>
      <c r="J1140" s="524"/>
      <c r="K1140" s="525"/>
    </row>
    <row r="1141" spans="1:11" s="520" customFormat="1" ht="15.75">
      <c r="A1141" s="157"/>
      <c r="B1141" s="519"/>
      <c r="J1141" s="524"/>
      <c r="K1141" s="525"/>
    </row>
    <row r="1142" spans="1:11" s="520" customFormat="1" ht="15.75">
      <c r="A1142" s="157"/>
      <c r="B1142" s="519"/>
      <c r="J1142" s="524"/>
      <c r="K1142" s="525"/>
    </row>
    <row r="1143" spans="1:11" s="520" customFormat="1" ht="15.75">
      <c r="A1143" s="157"/>
      <c r="B1143" s="519"/>
      <c r="J1143" s="524"/>
      <c r="K1143" s="525"/>
    </row>
    <row r="1144" spans="1:11" s="520" customFormat="1" ht="15.75">
      <c r="A1144" s="157"/>
      <c r="B1144" s="519"/>
      <c r="J1144" s="524"/>
      <c r="K1144" s="525"/>
    </row>
    <row r="1145" spans="1:11" s="520" customFormat="1" ht="15.75">
      <c r="A1145" s="157"/>
      <c r="B1145" s="519"/>
      <c r="J1145" s="524"/>
      <c r="K1145" s="525"/>
    </row>
    <row r="1146" spans="1:11" s="520" customFormat="1" ht="15.75">
      <c r="A1146" s="157"/>
      <c r="B1146" s="519"/>
      <c r="J1146" s="524"/>
      <c r="K1146" s="525"/>
    </row>
    <row r="1147" spans="1:11" s="520" customFormat="1" ht="15.75">
      <c r="A1147" s="157"/>
      <c r="B1147" s="519"/>
      <c r="J1147" s="524"/>
      <c r="K1147" s="525"/>
    </row>
    <row r="1148" spans="1:11" s="520" customFormat="1" ht="15.75">
      <c r="A1148" s="157"/>
      <c r="B1148" s="519"/>
      <c r="J1148" s="524"/>
      <c r="K1148" s="525"/>
    </row>
    <row r="1149" spans="1:11" s="520" customFormat="1" ht="15.75">
      <c r="A1149" s="157"/>
      <c r="B1149" s="519"/>
      <c r="J1149" s="524"/>
      <c r="K1149" s="525"/>
    </row>
    <row r="1150" spans="1:11" s="520" customFormat="1" ht="15.75">
      <c r="A1150" s="157"/>
      <c r="B1150" s="519"/>
      <c r="J1150" s="524"/>
      <c r="K1150" s="525"/>
    </row>
    <row r="1151" spans="1:11" s="520" customFormat="1" ht="15.75">
      <c r="A1151" s="157"/>
      <c r="B1151" s="519"/>
      <c r="J1151" s="524"/>
      <c r="K1151" s="525"/>
    </row>
    <row r="1152" spans="1:11" s="520" customFormat="1" ht="15.75">
      <c r="A1152" s="157"/>
      <c r="B1152" s="519"/>
      <c r="J1152" s="524"/>
      <c r="K1152" s="525"/>
    </row>
    <row r="1153" spans="1:11" s="520" customFormat="1" ht="15.75">
      <c r="A1153" s="157"/>
      <c r="B1153" s="519"/>
      <c r="J1153" s="524"/>
      <c r="K1153" s="525"/>
    </row>
    <row r="1154" spans="1:11" s="520" customFormat="1" ht="15.75">
      <c r="A1154" s="157"/>
      <c r="B1154" s="519"/>
      <c r="J1154" s="524"/>
      <c r="K1154" s="525"/>
    </row>
    <row r="1155" spans="1:11" s="520" customFormat="1" ht="15.75">
      <c r="A1155" s="157"/>
      <c r="B1155" s="519"/>
      <c r="J1155" s="524"/>
      <c r="K1155" s="525"/>
    </row>
    <row r="1156" spans="1:11" s="520" customFormat="1" ht="15.75">
      <c r="A1156" s="157"/>
      <c r="B1156" s="519"/>
      <c r="J1156" s="524"/>
      <c r="K1156" s="525"/>
    </row>
    <row r="1157" spans="1:11" s="520" customFormat="1" ht="15.75">
      <c r="A1157" s="157"/>
      <c r="B1157" s="519"/>
      <c r="J1157" s="524"/>
      <c r="K1157" s="525"/>
    </row>
    <row r="1158" spans="1:11" s="520" customFormat="1" ht="15.75">
      <c r="A1158" s="157"/>
      <c r="B1158" s="519"/>
      <c r="J1158" s="524"/>
      <c r="K1158" s="525"/>
    </row>
    <row r="1159" spans="1:11" s="520" customFormat="1" ht="15.75">
      <c r="A1159" s="157"/>
      <c r="B1159" s="519"/>
      <c r="J1159" s="524"/>
      <c r="K1159" s="525"/>
    </row>
    <row r="1160" spans="1:11" s="520" customFormat="1" ht="15.75">
      <c r="A1160" s="157"/>
      <c r="B1160" s="519"/>
      <c r="J1160" s="524"/>
      <c r="K1160" s="525"/>
    </row>
    <row r="1161" spans="1:11" s="520" customFormat="1" ht="15.75">
      <c r="A1161" s="157"/>
      <c r="B1161" s="519"/>
      <c r="J1161" s="524"/>
      <c r="K1161" s="525"/>
    </row>
    <row r="1162" spans="1:11" s="520" customFormat="1" ht="15.75">
      <c r="A1162" s="157"/>
      <c r="B1162" s="519"/>
      <c r="J1162" s="524"/>
      <c r="K1162" s="525"/>
    </row>
    <row r="1163" spans="1:11" s="520" customFormat="1" ht="15.75">
      <c r="A1163" s="157"/>
      <c r="B1163" s="519"/>
      <c r="J1163" s="524"/>
      <c r="K1163" s="525"/>
    </row>
    <row r="1164" spans="1:11" s="520" customFormat="1" ht="15.75">
      <c r="A1164" s="157"/>
      <c r="B1164" s="519"/>
      <c r="J1164" s="524"/>
      <c r="K1164" s="525"/>
    </row>
    <row r="1165" spans="1:11" s="520" customFormat="1" ht="15.75">
      <c r="A1165" s="157"/>
      <c r="B1165" s="519"/>
      <c r="J1165" s="524"/>
      <c r="K1165" s="525"/>
    </row>
    <row r="1166" spans="1:11" s="520" customFormat="1" ht="15.75">
      <c r="A1166" s="157"/>
      <c r="B1166" s="519"/>
      <c r="J1166" s="524"/>
      <c r="K1166" s="525"/>
    </row>
    <row r="1167" spans="1:11" s="520" customFormat="1" ht="15.75">
      <c r="A1167" s="157"/>
      <c r="B1167" s="519"/>
      <c r="J1167" s="524"/>
      <c r="K1167" s="525"/>
    </row>
    <row r="1168" spans="1:11" s="520" customFormat="1" ht="15.75">
      <c r="A1168" s="157"/>
      <c r="B1168" s="519"/>
      <c r="J1168" s="524"/>
      <c r="K1168" s="525"/>
    </row>
    <row r="1169" spans="1:11" s="520" customFormat="1" ht="15.75">
      <c r="A1169" s="157"/>
      <c r="B1169" s="519"/>
      <c r="J1169" s="524"/>
      <c r="K1169" s="525"/>
    </row>
    <row r="1170" spans="1:11" s="520" customFormat="1" ht="15.75">
      <c r="A1170" s="157"/>
      <c r="B1170" s="519"/>
      <c r="J1170" s="524"/>
      <c r="K1170" s="525"/>
    </row>
    <row r="1171" spans="1:11" s="520" customFormat="1" ht="15.75">
      <c r="A1171" s="157"/>
      <c r="B1171" s="519"/>
      <c r="J1171" s="524"/>
      <c r="K1171" s="525"/>
    </row>
    <row r="1172" spans="1:11" s="520" customFormat="1" ht="15.75">
      <c r="A1172" s="157"/>
      <c r="B1172" s="519"/>
      <c r="J1172" s="524"/>
      <c r="K1172" s="525"/>
    </row>
    <row r="1173" spans="1:11" s="520" customFormat="1" ht="15.75">
      <c r="A1173" s="157"/>
      <c r="B1173" s="519"/>
      <c r="J1173" s="524"/>
      <c r="K1173" s="525"/>
    </row>
    <row r="1174" spans="1:11" s="520" customFormat="1" ht="15.75">
      <c r="A1174" s="157"/>
      <c r="B1174" s="519"/>
      <c r="J1174" s="524"/>
      <c r="K1174" s="525"/>
    </row>
    <row r="1175" spans="1:11" s="520" customFormat="1" ht="15.75">
      <c r="A1175" s="157"/>
      <c r="B1175" s="519"/>
      <c r="J1175" s="524"/>
      <c r="K1175" s="525"/>
    </row>
    <row r="1176" spans="1:11" s="520" customFormat="1" ht="15.75">
      <c r="A1176" s="157"/>
      <c r="B1176" s="519"/>
      <c r="J1176" s="524"/>
      <c r="K1176" s="525"/>
    </row>
    <row r="1177" spans="1:11" s="520" customFormat="1" ht="15.75">
      <c r="A1177" s="157"/>
      <c r="B1177" s="519"/>
      <c r="J1177" s="524"/>
      <c r="K1177" s="525"/>
    </row>
    <row r="1178" spans="1:11" s="520" customFormat="1" ht="15.75">
      <c r="A1178" s="157"/>
      <c r="B1178" s="519"/>
      <c r="J1178" s="524"/>
      <c r="K1178" s="525"/>
    </row>
    <row r="1179" spans="1:11" s="520" customFormat="1" ht="15.75">
      <c r="A1179" s="157"/>
      <c r="B1179" s="519"/>
      <c r="J1179" s="524"/>
      <c r="K1179" s="525"/>
    </row>
    <row r="1180" spans="1:11" s="520" customFormat="1" ht="15.75">
      <c r="A1180" s="157"/>
      <c r="B1180" s="519"/>
      <c r="J1180" s="524"/>
      <c r="K1180" s="525"/>
    </row>
    <row r="1181" spans="1:11" s="520" customFormat="1" ht="15.75">
      <c r="A1181" s="157"/>
      <c r="B1181" s="519"/>
      <c r="J1181" s="524"/>
      <c r="K1181" s="525"/>
    </row>
    <row r="1182" spans="1:11" s="520" customFormat="1" ht="15.75">
      <c r="A1182" s="157"/>
      <c r="B1182" s="519"/>
      <c r="J1182" s="524"/>
      <c r="K1182" s="525"/>
    </row>
    <row r="1183" spans="1:11" s="520" customFormat="1" ht="15.75">
      <c r="A1183" s="157"/>
      <c r="B1183" s="519"/>
      <c r="J1183" s="524"/>
      <c r="K1183" s="525"/>
    </row>
    <row r="1184" spans="1:11" s="520" customFormat="1" ht="15.75">
      <c r="A1184" s="157"/>
      <c r="B1184" s="519"/>
      <c r="J1184" s="524"/>
      <c r="K1184" s="525"/>
    </row>
    <row r="1185" spans="1:11" s="520" customFormat="1" ht="15.75">
      <c r="A1185" s="157"/>
      <c r="B1185" s="519"/>
      <c r="J1185" s="524"/>
      <c r="K1185" s="525"/>
    </row>
    <row r="1186" spans="1:11" s="520" customFormat="1" ht="15.75">
      <c r="A1186" s="157"/>
      <c r="B1186" s="519"/>
      <c r="J1186" s="524"/>
      <c r="K1186" s="525"/>
    </row>
    <row r="1187" spans="1:11" s="520" customFormat="1" ht="15.75">
      <c r="A1187" s="157"/>
      <c r="B1187" s="519"/>
      <c r="J1187" s="524"/>
      <c r="K1187" s="525"/>
    </row>
    <row r="1188" spans="1:11" s="520" customFormat="1" ht="15.75">
      <c r="A1188" s="157"/>
      <c r="B1188" s="519"/>
      <c r="J1188" s="524"/>
      <c r="K1188" s="525"/>
    </row>
    <row r="1189" spans="1:11" s="520" customFormat="1" ht="15.75">
      <c r="A1189" s="157"/>
      <c r="B1189" s="519"/>
      <c r="J1189" s="524"/>
      <c r="K1189" s="525"/>
    </row>
    <row r="1190" spans="1:11" s="520" customFormat="1" ht="15.75">
      <c r="A1190" s="157"/>
      <c r="B1190" s="519"/>
      <c r="J1190" s="524"/>
      <c r="K1190" s="525"/>
    </row>
    <row r="1191" spans="1:11" s="520" customFormat="1" ht="15.75">
      <c r="A1191" s="157"/>
      <c r="B1191" s="519"/>
      <c r="J1191" s="524"/>
      <c r="K1191" s="525"/>
    </row>
    <row r="1192" spans="1:11" s="520" customFormat="1" ht="15.75">
      <c r="A1192" s="157"/>
      <c r="B1192" s="519"/>
      <c r="J1192" s="524"/>
      <c r="K1192" s="525"/>
    </row>
    <row r="1193" spans="1:11" s="520" customFormat="1" ht="15.75">
      <c r="A1193" s="157"/>
      <c r="B1193" s="519"/>
      <c r="J1193" s="524"/>
      <c r="K1193" s="525"/>
    </row>
    <row r="1194" spans="1:11" s="520" customFormat="1" ht="15.75">
      <c r="A1194" s="157"/>
      <c r="B1194" s="519"/>
      <c r="J1194" s="524"/>
      <c r="K1194" s="525"/>
    </row>
    <row r="1195" spans="1:11" s="520" customFormat="1" ht="15.75">
      <c r="A1195" s="157"/>
      <c r="B1195" s="519"/>
      <c r="J1195" s="524"/>
      <c r="K1195" s="525"/>
    </row>
    <row r="1196" spans="1:11" s="520" customFormat="1" ht="15.75">
      <c r="A1196" s="157"/>
      <c r="B1196" s="519"/>
      <c r="J1196" s="524"/>
      <c r="K1196" s="525"/>
    </row>
    <row r="1197" spans="1:11" s="520" customFormat="1" ht="15.75">
      <c r="A1197" s="157"/>
      <c r="B1197" s="519"/>
      <c r="J1197" s="524"/>
      <c r="K1197" s="525"/>
    </row>
    <row r="1198" spans="1:11" s="520" customFormat="1" ht="15.75">
      <c r="A1198" s="157"/>
      <c r="B1198" s="519"/>
      <c r="J1198" s="524"/>
      <c r="K1198" s="525"/>
    </row>
    <row r="1199" spans="1:11" s="520" customFormat="1" ht="15.75">
      <c r="A1199" s="157"/>
      <c r="B1199" s="519"/>
      <c r="J1199" s="524"/>
      <c r="K1199" s="525"/>
    </row>
    <row r="1200" spans="1:11" s="520" customFormat="1" ht="15.75">
      <c r="A1200" s="157"/>
      <c r="B1200" s="519"/>
      <c r="J1200" s="524"/>
      <c r="K1200" s="525"/>
    </row>
    <row r="1201" spans="1:11" s="520" customFormat="1" ht="15.75">
      <c r="A1201" s="157"/>
      <c r="B1201" s="519"/>
      <c r="J1201" s="524"/>
      <c r="K1201" s="525"/>
    </row>
    <row r="1202" spans="1:11" s="520" customFormat="1" ht="15.75">
      <c r="A1202" s="157"/>
      <c r="B1202" s="519"/>
      <c r="J1202" s="524"/>
      <c r="K1202" s="525"/>
    </row>
    <row r="1203" spans="1:11" s="520" customFormat="1" ht="15.75">
      <c r="A1203" s="157"/>
      <c r="B1203" s="519"/>
      <c r="J1203" s="524"/>
      <c r="K1203" s="525"/>
    </row>
    <row r="1204" spans="1:11" s="520" customFormat="1" ht="15.75">
      <c r="A1204" s="157"/>
      <c r="B1204" s="519"/>
      <c r="J1204" s="524"/>
      <c r="K1204" s="525"/>
    </row>
    <row r="1205" spans="1:11" s="520" customFormat="1" ht="15.75">
      <c r="A1205" s="157"/>
      <c r="B1205" s="519"/>
      <c r="J1205" s="524"/>
      <c r="K1205" s="525"/>
    </row>
    <row r="1206" spans="1:11" s="520" customFormat="1" ht="15.75">
      <c r="A1206" s="157"/>
      <c r="B1206" s="519"/>
      <c r="J1206" s="524"/>
      <c r="K1206" s="525"/>
    </row>
    <row r="1207" spans="1:11" s="520" customFormat="1" ht="15.75">
      <c r="A1207" s="157"/>
      <c r="B1207" s="519"/>
      <c r="J1207" s="524"/>
      <c r="K1207" s="525"/>
    </row>
    <row r="1208" spans="1:11" s="520" customFormat="1" ht="15.75">
      <c r="A1208" s="157"/>
      <c r="B1208" s="519"/>
      <c r="J1208" s="524"/>
      <c r="K1208" s="525"/>
    </row>
    <row r="1209" spans="1:11" s="520" customFormat="1" ht="15.75">
      <c r="A1209" s="157"/>
      <c r="B1209" s="519"/>
      <c r="J1209" s="524"/>
      <c r="K1209" s="525"/>
    </row>
    <row r="1210" spans="1:11" s="520" customFormat="1" ht="15.75">
      <c r="A1210" s="157"/>
      <c r="B1210" s="519"/>
      <c r="J1210" s="524"/>
      <c r="K1210" s="525"/>
    </row>
    <row r="1211" spans="1:11" s="520" customFormat="1" ht="15.75">
      <c r="A1211" s="157"/>
      <c r="B1211" s="519"/>
      <c r="J1211" s="524"/>
      <c r="K1211" s="525"/>
    </row>
    <row r="1212" spans="1:11" s="520" customFormat="1" ht="15.75">
      <c r="A1212" s="157"/>
      <c r="B1212" s="519"/>
      <c r="J1212" s="524"/>
      <c r="K1212" s="525"/>
    </row>
    <row r="1213" spans="1:11" s="520" customFormat="1" ht="15.75">
      <c r="A1213" s="157"/>
      <c r="B1213" s="519"/>
      <c r="J1213" s="524"/>
      <c r="K1213" s="525"/>
    </row>
    <row r="1214" spans="1:11" s="520" customFormat="1" ht="15.75">
      <c r="A1214" s="157"/>
      <c r="B1214" s="519"/>
      <c r="J1214" s="524"/>
      <c r="K1214" s="525"/>
    </row>
    <row r="1215" spans="1:11" s="520" customFormat="1" ht="15.75">
      <c r="A1215" s="157"/>
      <c r="B1215" s="519"/>
      <c r="J1215" s="524"/>
      <c r="K1215" s="525"/>
    </row>
    <row r="1216" spans="1:11" s="520" customFormat="1" ht="15.75">
      <c r="A1216" s="157"/>
      <c r="B1216" s="519"/>
      <c r="J1216" s="524"/>
      <c r="K1216" s="525"/>
    </row>
    <row r="1217" spans="1:11" s="520" customFormat="1" ht="15.75">
      <c r="A1217" s="157"/>
      <c r="B1217" s="519"/>
      <c r="J1217" s="524"/>
      <c r="K1217" s="525"/>
    </row>
    <row r="1218" spans="1:11" s="520" customFormat="1" ht="15.75">
      <c r="A1218" s="157"/>
      <c r="B1218" s="519"/>
      <c r="J1218" s="524"/>
      <c r="K1218" s="525"/>
    </row>
    <row r="1219" spans="1:11" s="520" customFormat="1" ht="15.75">
      <c r="A1219" s="157"/>
      <c r="B1219" s="519"/>
      <c r="J1219" s="524"/>
      <c r="K1219" s="525"/>
    </row>
    <row r="1220" spans="1:11" s="520" customFormat="1" ht="15.75">
      <c r="A1220" s="157"/>
      <c r="B1220" s="519"/>
      <c r="J1220" s="524"/>
      <c r="K1220" s="525"/>
    </row>
    <row r="1221" spans="1:11" s="520" customFormat="1" ht="15.75">
      <c r="A1221" s="157"/>
      <c r="B1221" s="519"/>
      <c r="J1221" s="524"/>
      <c r="K1221" s="525"/>
    </row>
    <row r="1222" spans="1:11" s="520" customFormat="1" ht="15.75">
      <c r="A1222" s="157"/>
      <c r="B1222" s="519"/>
      <c r="J1222" s="524"/>
      <c r="K1222" s="525"/>
    </row>
    <row r="1223" spans="1:11" s="520" customFormat="1" ht="15.75">
      <c r="A1223" s="157"/>
      <c r="B1223" s="519"/>
      <c r="J1223" s="524"/>
      <c r="K1223" s="525"/>
    </row>
    <row r="1224" spans="1:11" s="520" customFormat="1" ht="15.75">
      <c r="A1224" s="157"/>
      <c r="B1224" s="519"/>
      <c r="J1224" s="524"/>
      <c r="K1224" s="525"/>
    </row>
    <row r="1225" spans="1:11" s="520" customFormat="1" ht="15.75">
      <c r="A1225" s="157"/>
      <c r="B1225" s="519"/>
      <c r="J1225" s="524"/>
      <c r="K1225" s="525"/>
    </row>
    <row r="1226" spans="1:11" s="520" customFormat="1" ht="15.75">
      <c r="A1226" s="157"/>
      <c r="B1226" s="519"/>
      <c r="J1226" s="524"/>
      <c r="K1226" s="525"/>
    </row>
    <row r="1227" spans="1:11" s="520" customFormat="1" ht="15.75">
      <c r="A1227" s="157"/>
      <c r="B1227" s="519"/>
      <c r="J1227" s="524"/>
      <c r="K1227" s="525"/>
    </row>
    <row r="1228" spans="1:11" s="520" customFormat="1" ht="15.75">
      <c r="A1228" s="157"/>
      <c r="B1228" s="519"/>
      <c r="J1228" s="524"/>
      <c r="K1228" s="525"/>
    </row>
    <row r="1229" spans="1:11" s="520" customFormat="1" ht="15.75">
      <c r="A1229" s="157"/>
      <c r="B1229" s="519"/>
      <c r="J1229" s="524"/>
      <c r="K1229" s="525"/>
    </row>
    <row r="1230" spans="1:11" s="520" customFormat="1" ht="15.75">
      <c r="A1230" s="157"/>
      <c r="B1230" s="519"/>
      <c r="J1230" s="524"/>
      <c r="K1230" s="525"/>
    </row>
    <row r="1231" spans="1:11" s="520" customFormat="1" ht="15.75">
      <c r="A1231" s="157"/>
      <c r="B1231" s="519"/>
      <c r="J1231" s="524"/>
      <c r="K1231" s="525"/>
    </row>
    <row r="1232" spans="1:11" s="520" customFormat="1" ht="15.75">
      <c r="A1232" s="157"/>
      <c r="B1232" s="519"/>
      <c r="J1232" s="524"/>
      <c r="K1232" s="525"/>
    </row>
    <row r="1233" spans="1:11" s="520" customFormat="1" ht="15.75">
      <c r="A1233" s="157"/>
      <c r="B1233" s="519"/>
      <c r="J1233" s="524"/>
      <c r="K1233" s="525"/>
    </row>
    <row r="1234" spans="1:11" s="520" customFormat="1" ht="15.75">
      <c r="A1234" s="157"/>
      <c r="B1234" s="519"/>
      <c r="J1234" s="524"/>
      <c r="K1234" s="525"/>
    </row>
    <row r="1235" spans="1:11" s="520" customFormat="1" ht="15.75">
      <c r="A1235" s="157"/>
      <c r="B1235" s="519"/>
      <c r="J1235" s="524"/>
      <c r="K1235" s="525"/>
    </row>
    <row r="1236" spans="1:11" s="520" customFormat="1" ht="15.75">
      <c r="A1236" s="157"/>
      <c r="B1236" s="519"/>
      <c r="J1236" s="524"/>
      <c r="K1236" s="525"/>
    </row>
    <row r="1237" spans="1:11" s="520" customFormat="1" ht="15.75">
      <c r="A1237" s="157"/>
      <c r="B1237" s="519"/>
      <c r="J1237" s="524"/>
      <c r="K1237" s="525"/>
    </row>
    <row r="1238" spans="1:11" s="520" customFormat="1" ht="15.75">
      <c r="A1238" s="157"/>
      <c r="B1238" s="519"/>
      <c r="J1238" s="524"/>
      <c r="K1238" s="525"/>
    </row>
    <row r="1239" spans="1:11" s="520" customFormat="1" ht="15.75">
      <c r="A1239" s="157"/>
      <c r="B1239" s="519"/>
      <c r="J1239" s="524"/>
      <c r="K1239" s="525"/>
    </row>
    <row r="1240" spans="1:11" s="520" customFormat="1" ht="15.75">
      <c r="A1240" s="157"/>
      <c r="B1240" s="519"/>
      <c r="J1240" s="524"/>
      <c r="K1240" s="525"/>
    </row>
    <row r="1241" spans="1:11" s="520" customFormat="1" ht="15.75">
      <c r="A1241" s="157"/>
      <c r="B1241" s="519"/>
      <c r="J1241" s="524"/>
      <c r="K1241" s="525"/>
    </row>
    <row r="1242" spans="1:11" s="520" customFormat="1" ht="15.75">
      <c r="A1242" s="157"/>
      <c r="B1242" s="519"/>
      <c r="J1242" s="524"/>
      <c r="K1242" s="525"/>
    </row>
    <row r="1243" spans="1:11" s="520" customFormat="1" ht="15.75">
      <c r="A1243" s="157"/>
      <c r="B1243" s="519"/>
      <c r="J1243" s="524"/>
      <c r="K1243" s="525"/>
    </row>
    <row r="1244" spans="1:11" s="520" customFormat="1" ht="15.75">
      <c r="A1244" s="157"/>
      <c r="B1244" s="519"/>
      <c r="J1244" s="524"/>
      <c r="K1244" s="525"/>
    </row>
    <row r="1245" spans="1:11" s="520" customFormat="1" ht="15.75">
      <c r="A1245" s="157"/>
      <c r="B1245" s="519"/>
      <c r="J1245" s="524"/>
      <c r="K1245" s="525"/>
    </row>
    <row r="1246" spans="1:11" s="520" customFormat="1" ht="15.75">
      <c r="A1246" s="157"/>
      <c r="B1246" s="519"/>
      <c r="J1246" s="524"/>
      <c r="K1246" s="525"/>
    </row>
    <row r="1247" spans="1:11" s="520" customFormat="1" ht="15.75">
      <c r="A1247" s="157"/>
      <c r="B1247" s="519"/>
      <c r="J1247" s="524"/>
      <c r="K1247" s="525"/>
    </row>
    <row r="1248" spans="1:11" s="520" customFormat="1" ht="15.75">
      <c r="A1248" s="157"/>
      <c r="B1248" s="519"/>
      <c r="J1248" s="524"/>
      <c r="K1248" s="525"/>
    </row>
    <row r="1249" spans="1:11" s="520" customFormat="1" ht="15.75">
      <c r="A1249" s="157"/>
      <c r="B1249" s="519"/>
      <c r="J1249" s="524"/>
      <c r="K1249" s="525"/>
    </row>
    <row r="1250" spans="1:11" s="520" customFormat="1" ht="15.75">
      <c r="A1250" s="157"/>
      <c r="B1250" s="519"/>
      <c r="J1250" s="524"/>
      <c r="K1250" s="525"/>
    </row>
    <row r="1251" spans="1:11" s="520" customFormat="1" ht="15.75">
      <c r="A1251" s="157"/>
      <c r="B1251" s="519"/>
      <c r="J1251" s="524"/>
      <c r="K1251" s="525"/>
    </row>
    <row r="1252" spans="1:11" s="520" customFormat="1" ht="15.75">
      <c r="A1252" s="157"/>
      <c r="B1252" s="519"/>
      <c r="J1252" s="524"/>
      <c r="K1252" s="525"/>
    </row>
    <row r="1253" spans="1:11" s="520" customFormat="1" ht="15.75">
      <c r="A1253" s="157"/>
      <c r="B1253" s="519"/>
      <c r="J1253" s="524"/>
      <c r="K1253" s="525"/>
    </row>
    <row r="1254" spans="1:11" s="520" customFormat="1" ht="15.75">
      <c r="A1254" s="157"/>
      <c r="B1254" s="519"/>
      <c r="J1254" s="524"/>
      <c r="K1254" s="525"/>
    </row>
    <row r="1255" spans="1:11" s="520" customFormat="1" ht="15.75">
      <c r="A1255" s="157"/>
      <c r="B1255" s="519"/>
      <c r="J1255" s="524"/>
      <c r="K1255" s="525"/>
    </row>
    <row r="1256" spans="1:11" s="520" customFormat="1" ht="15.75">
      <c r="A1256" s="157"/>
      <c r="B1256" s="519"/>
      <c r="J1256" s="524"/>
      <c r="K1256" s="525"/>
    </row>
    <row r="1257" spans="1:11" s="520" customFormat="1" ht="15.75">
      <c r="A1257" s="157"/>
      <c r="B1257" s="519"/>
      <c r="J1257" s="524"/>
      <c r="K1257" s="525"/>
    </row>
    <row r="1258" spans="1:11" s="520" customFormat="1" ht="15.75">
      <c r="A1258" s="157"/>
      <c r="B1258" s="519"/>
      <c r="J1258" s="524"/>
      <c r="K1258" s="525"/>
    </row>
    <row r="1259" spans="1:11" s="520" customFormat="1" ht="15.75">
      <c r="A1259" s="157"/>
      <c r="B1259" s="519"/>
      <c r="J1259" s="524"/>
      <c r="K1259" s="525"/>
    </row>
    <row r="1260" spans="1:11" s="520" customFormat="1" ht="15.75">
      <c r="A1260" s="157"/>
      <c r="B1260" s="519"/>
      <c r="J1260" s="524"/>
      <c r="K1260" s="525"/>
    </row>
    <row r="1261" spans="1:11" s="520" customFormat="1" ht="15.75">
      <c r="A1261" s="157"/>
      <c r="B1261" s="519"/>
      <c r="J1261" s="524"/>
      <c r="K1261" s="525"/>
    </row>
    <row r="1262" spans="1:11" s="520" customFormat="1" ht="15.75">
      <c r="A1262" s="157"/>
      <c r="B1262" s="519"/>
      <c r="J1262" s="524"/>
      <c r="K1262" s="525"/>
    </row>
    <row r="1263" spans="1:11" s="520" customFormat="1" ht="15.75">
      <c r="A1263" s="157"/>
      <c r="B1263" s="519"/>
      <c r="J1263" s="524"/>
      <c r="K1263" s="525"/>
    </row>
    <row r="1264" spans="1:11" s="520" customFormat="1" ht="15.75">
      <c r="A1264" s="157"/>
      <c r="B1264" s="519"/>
      <c r="J1264" s="524"/>
      <c r="K1264" s="525"/>
    </row>
    <row r="1265" spans="1:11" s="520" customFormat="1" ht="15.75">
      <c r="A1265" s="157"/>
      <c r="B1265" s="519"/>
      <c r="J1265" s="524"/>
      <c r="K1265" s="525"/>
    </row>
    <row r="1266" spans="1:11" s="520" customFormat="1" ht="15.75">
      <c r="A1266" s="157"/>
      <c r="B1266" s="519"/>
      <c r="J1266" s="524"/>
      <c r="K1266" s="525"/>
    </row>
    <row r="1267" spans="1:11" s="520" customFormat="1" ht="15.75">
      <c r="A1267" s="157"/>
      <c r="B1267" s="519"/>
      <c r="J1267" s="524"/>
      <c r="K1267" s="525"/>
    </row>
    <row r="1268" spans="1:11" s="520" customFormat="1" ht="15.75">
      <c r="A1268" s="157"/>
      <c r="B1268" s="519"/>
      <c r="J1268" s="524"/>
      <c r="K1268" s="525"/>
    </row>
    <row r="1269" spans="1:11" s="520" customFormat="1" ht="15.75">
      <c r="A1269" s="157"/>
      <c r="B1269" s="519"/>
      <c r="J1269" s="524"/>
      <c r="K1269" s="525"/>
    </row>
    <row r="1270" spans="1:11" s="520" customFormat="1" ht="15.75">
      <c r="A1270" s="157"/>
      <c r="B1270" s="519"/>
      <c r="J1270" s="524"/>
      <c r="K1270" s="525"/>
    </row>
    <row r="1271" spans="1:11" s="520" customFormat="1" ht="15.75">
      <c r="A1271" s="157"/>
      <c r="B1271" s="519"/>
      <c r="J1271" s="524"/>
      <c r="K1271" s="525"/>
    </row>
    <row r="1272" spans="1:11" s="520" customFormat="1" ht="15.75">
      <c r="A1272" s="157"/>
      <c r="B1272" s="519"/>
      <c r="J1272" s="524"/>
      <c r="K1272" s="525"/>
    </row>
    <row r="1273" spans="1:11" s="520" customFormat="1" ht="15.75">
      <c r="A1273" s="157"/>
      <c r="B1273" s="519"/>
      <c r="J1273" s="524"/>
      <c r="K1273" s="525"/>
    </row>
    <row r="1274" spans="1:11" s="520" customFormat="1" ht="15.75">
      <c r="A1274" s="157"/>
      <c r="B1274" s="519"/>
      <c r="J1274" s="524"/>
      <c r="K1274" s="525"/>
    </row>
    <row r="1275" spans="1:11" s="520" customFormat="1" ht="15.75">
      <c r="A1275" s="157"/>
      <c r="B1275" s="519"/>
      <c r="J1275" s="524"/>
      <c r="K1275" s="525"/>
    </row>
    <row r="1276" spans="1:11" s="520" customFormat="1" ht="15.75">
      <c r="A1276" s="157"/>
      <c r="B1276" s="519"/>
      <c r="J1276" s="524"/>
      <c r="K1276" s="525"/>
    </row>
    <row r="1277" spans="1:11" s="520" customFormat="1" ht="15.75">
      <c r="A1277" s="157"/>
      <c r="B1277" s="519"/>
      <c r="J1277" s="524"/>
      <c r="K1277" s="525"/>
    </row>
    <row r="1278" spans="1:11" s="520" customFormat="1" ht="15.75">
      <c r="A1278" s="157"/>
      <c r="B1278" s="519"/>
      <c r="J1278" s="524"/>
      <c r="K1278" s="525"/>
    </row>
    <row r="1279" spans="1:11" s="520" customFormat="1" ht="15.75">
      <c r="A1279" s="157"/>
      <c r="B1279" s="519"/>
      <c r="J1279" s="524"/>
      <c r="K1279" s="525"/>
    </row>
    <row r="1280" spans="1:11" s="520" customFormat="1" ht="15.75">
      <c r="A1280" s="157"/>
      <c r="B1280" s="519"/>
      <c r="J1280" s="524"/>
      <c r="K1280" s="525"/>
    </row>
    <row r="1281" spans="1:11" s="520" customFormat="1" ht="15.75">
      <c r="A1281" s="157"/>
      <c r="B1281" s="519"/>
      <c r="J1281" s="524"/>
      <c r="K1281" s="525"/>
    </row>
    <row r="1282" spans="1:11" s="520" customFormat="1" ht="15.75">
      <c r="A1282" s="157"/>
      <c r="B1282" s="519"/>
      <c r="J1282" s="524"/>
      <c r="K1282" s="525"/>
    </row>
    <row r="1283" spans="1:11" s="520" customFormat="1" ht="15.75">
      <c r="A1283" s="157"/>
      <c r="B1283" s="519"/>
      <c r="J1283" s="524"/>
      <c r="K1283" s="525"/>
    </row>
    <row r="1284" spans="1:11" s="520" customFormat="1" ht="15.75">
      <c r="A1284" s="157"/>
      <c r="B1284" s="519"/>
      <c r="J1284" s="524"/>
      <c r="K1284" s="525"/>
    </row>
    <row r="1285" spans="1:11" s="520" customFormat="1" ht="15.75">
      <c r="A1285" s="157"/>
      <c r="B1285" s="519"/>
      <c r="J1285" s="524"/>
      <c r="K1285" s="525"/>
    </row>
    <row r="1286" spans="1:11" s="520" customFormat="1" ht="15.75">
      <c r="A1286" s="157"/>
      <c r="B1286" s="519"/>
      <c r="J1286" s="524"/>
      <c r="K1286" s="525"/>
    </row>
    <row r="1287" spans="1:11" s="520" customFormat="1" ht="15.75">
      <c r="A1287" s="157"/>
      <c r="B1287" s="519"/>
      <c r="J1287" s="524"/>
      <c r="K1287" s="525"/>
    </row>
    <row r="1288" spans="1:11" s="520" customFormat="1" ht="15.75">
      <c r="A1288" s="157"/>
      <c r="B1288" s="519"/>
      <c r="J1288" s="524"/>
      <c r="K1288" s="525"/>
    </row>
    <row r="1289" spans="1:11" s="520" customFormat="1" ht="15.75">
      <c r="A1289" s="157"/>
      <c r="B1289" s="519"/>
      <c r="J1289" s="524"/>
      <c r="K1289" s="525"/>
    </row>
    <row r="1290" spans="1:11" s="520" customFormat="1" ht="15.75">
      <c r="A1290" s="157"/>
      <c r="B1290" s="519"/>
      <c r="J1290" s="524"/>
      <c r="K1290" s="525"/>
    </row>
    <row r="1291" spans="1:11" s="520" customFormat="1" ht="15.75">
      <c r="A1291" s="157"/>
      <c r="B1291" s="519"/>
      <c r="J1291" s="524"/>
      <c r="K1291" s="525"/>
    </row>
    <row r="1292" spans="1:11" s="520" customFormat="1" ht="15.75">
      <c r="A1292" s="157"/>
      <c r="B1292" s="519"/>
      <c r="J1292" s="524"/>
      <c r="K1292" s="525"/>
    </row>
    <row r="1293" spans="1:11" s="520" customFormat="1" ht="15.75">
      <c r="A1293" s="157"/>
      <c r="B1293" s="519"/>
      <c r="J1293" s="524"/>
      <c r="K1293" s="525"/>
    </row>
    <row r="1294" spans="1:11" s="520" customFormat="1" ht="15.75">
      <c r="A1294" s="157"/>
      <c r="B1294" s="519"/>
      <c r="J1294" s="524"/>
      <c r="K1294" s="525"/>
    </row>
    <row r="1295" spans="1:11" s="520" customFormat="1" ht="15.75">
      <c r="A1295" s="157"/>
      <c r="B1295" s="519"/>
      <c r="J1295" s="524"/>
      <c r="K1295" s="525"/>
    </row>
    <row r="1296" spans="1:11" s="520" customFormat="1" ht="15.75">
      <c r="A1296" s="157"/>
      <c r="B1296" s="519"/>
      <c r="J1296" s="524"/>
      <c r="K1296" s="525"/>
    </row>
    <row r="1297" spans="1:11" s="520" customFormat="1" ht="15.75">
      <c r="A1297" s="157"/>
      <c r="B1297" s="519"/>
      <c r="J1297" s="524"/>
      <c r="K1297" s="525"/>
    </row>
    <row r="1298" spans="1:11" s="520" customFormat="1" ht="15.75">
      <c r="A1298" s="157"/>
      <c r="B1298" s="519"/>
      <c r="J1298" s="524"/>
      <c r="K1298" s="525"/>
    </row>
    <row r="1299" spans="1:11" s="520" customFormat="1" ht="15.75">
      <c r="A1299" s="157"/>
      <c r="B1299" s="519"/>
      <c r="J1299" s="524"/>
      <c r="K1299" s="525"/>
    </row>
    <row r="1300" spans="1:11" s="520" customFormat="1" ht="15.75">
      <c r="A1300" s="157"/>
      <c r="B1300" s="519"/>
      <c r="J1300" s="524"/>
      <c r="K1300" s="525"/>
    </row>
    <row r="1301" spans="1:11" s="520" customFormat="1" ht="15.75">
      <c r="A1301" s="157"/>
      <c r="B1301" s="519"/>
      <c r="J1301" s="524"/>
      <c r="K1301" s="525"/>
    </row>
    <row r="1302" spans="1:11" s="520" customFormat="1" ht="15.75">
      <c r="A1302" s="157"/>
      <c r="B1302" s="519"/>
      <c r="J1302" s="524"/>
      <c r="K1302" s="525"/>
    </row>
    <row r="1303" spans="1:11" s="520" customFormat="1" ht="15.75">
      <c r="A1303" s="157"/>
      <c r="B1303" s="519"/>
      <c r="J1303" s="524"/>
      <c r="K1303" s="525"/>
    </row>
    <row r="1304" spans="1:11" s="520" customFormat="1" ht="15.75">
      <c r="A1304" s="157"/>
      <c r="B1304" s="519"/>
      <c r="J1304" s="524"/>
      <c r="K1304" s="525"/>
    </row>
    <row r="1305" spans="1:11" s="520" customFormat="1" ht="15.75">
      <c r="A1305" s="157"/>
      <c r="B1305" s="519"/>
      <c r="J1305" s="524"/>
      <c r="K1305" s="525"/>
    </row>
    <row r="1306" spans="1:11" s="520" customFormat="1" ht="15.75">
      <c r="A1306" s="157"/>
      <c r="B1306" s="519"/>
      <c r="J1306" s="524"/>
      <c r="K1306" s="525"/>
    </row>
    <row r="1307" spans="1:11" s="520" customFormat="1" ht="15.75">
      <c r="A1307" s="157"/>
      <c r="B1307" s="519"/>
      <c r="J1307" s="524"/>
      <c r="K1307" s="525"/>
    </row>
    <row r="1308" spans="1:11" s="520" customFormat="1" ht="15.75">
      <c r="A1308" s="157"/>
      <c r="B1308" s="519"/>
      <c r="J1308" s="524"/>
      <c r="K1308" s="525"/>
    </row>
    <row r="1309" spans="1:11" s="520" customFormat="1" ht="15.75">
      <c r="A1309" s="157"/>
      <c r="B1309" s="519"/>
      <c r="J1309" s="524"/>
      <c r="K1309" s="525"/>
    </row>
    <row r="1310" spans="1:11" s="520" customFormat="1" ht="15.75">
      <c r="A1310" s="157"/>
      <c r="B1310" s="519"/>
      <c r="J1310" s="524"/>
      <c r="K1310" s="525"/>
    </row>
    <row r="1311" spans="1:11" s="520" customFormat="1" ht="15.75">
      <c r="A1311" s="157"/>
      <c r="B1311" s="519"/>
      <c r="J1311" s="524"/>
      <c r="K1311" s="525"/>
    </row>
    <row r="1312" spans="1:11" s="520" customFormat="1" ht="15.75">
      <c r="A1312" s="157"/>
      <c r="B1312" s="519"/>
      <c r="J1312" s="524"/>
      <c r="K1312" s="525"/>
    </row>
    <row r="1313" spans="1:11" s="520" customFormat="1" ht="15.75">
      <c r="A1313" s="157"/>
      <c r="B1313" s="519"/>
      <c r="J1313" s="524"/>
      <c r="K1313" s="525"/>
    </row>
    <row r="1314" spans="1:11" s="520" customFormat="1" ht="15.75">
      <c r="A1314" s="157"/>
      <c r="B1314" s="519"/>
      <c r="J1314" s="524"/>
      <c r="K1314" s="525"/>
    </row>
    <row r="1315" spans="1:11" s="520" customFormat="1" ht="15.75">
      <c r="A1315" s="157"/>
      <c r="B1315" s="519"/>
      <c r="J1315" s="524"/>
      <c r="K1315" s="525"/>
    </row>
    <row r="1316" spans="1:11" s="520" customFormat="1" ht="15.75">
      <c r="A1316" s="157"/>
      <c r="B1316" s="519"/>
      <c r="J1316" s="524"/>
      <c r="K1316" s="525"/>
    </row>
    <row r="1317" spans="1:11" s="520" customFormat="1" ht="15.75">
      <c r="A1317" s="157"/>
      <c r="B1317" s="519"/>
      <c r="J1317" s="524"/>
      <c r="K1317" s="525"/>
    </row>
    <row r="1318" spans="1:11" s="520" customFormat="1" ht="15.75">
      <c r="A1318" s="157"/>
      <c r="B1318" s="519"/>
      <c r="J1318" s="524"/>
      <c r="K1318" s="525"/>
    </row>
    <row r="1319" spans="1:11" s="520" customFormat="1" ht="15.75">
      <c r="A1319" s="157"/>
      <c r="B1319" s="519"/>
      <c r="J1319" s="524"/>
      <c r="K1319" s="525"/>
    </row>
    <row r="1320" spans="1:11" s="520" customFormat="1" ht="15.75">
      <c r="A1320" s="157"/>
      <c r="B1320" s="519"/>
      <c r="J1320" s="524"/>
      <c r="K1320" s="525"/>
    </row>
    <row r="1321" spans="1:11" s="520" customFormat="1" ht="15.75">
      <c r="A1321" s="157"/>
      <c r="B1321" s="519"/>
      <c r="J1321" s="524"/>
      <c r="K1321" s="525"/>
    </row>
    <row r="1322" spans="1:11" s="520" customFormat="1" ht="15.75">
      <c r="A1322" s="157"/>
      <c r="B1322" s="519"/>
      <c r="J1322" s="524"/>
      <c r="K1322" s="525"/>
    </row>
    <row r="1323" spans="1:11" s="520" customFormat="1" ht="15.75">
      <c r="A1323" s="157"/>
      <c r="B1323" s="519"/>
      <c r="J1323" s="524"/>
      <c r="K1323" s="525"/>
    </row>
    <row r="1324" spans="1:11" s="520" customFormat="1" ht="15.75">
      <c r="A1324" s="157"/>
      <c r="B1324" s="519"/>
      <c r="J1324" s="524"/>
      <c r="K1324" s="525"/>
    </row>
    <row r="1325" spans="1:11" s="520" customFormat="1" ht="15.75">
      <c r="A1325" s="157"/>
      <c r="B1325" s="519"/>
      <c r="J1325" s="524"/>
      <c r="K1325" s="525"/>
    </row>
    <row r="1326" spans="1:11" s="520" customFormat="1" ht="15.75">
      <c r="A1326" s="157"/>
      <c r="B1326" s="519"/>
      <c r="J1326" s="524"/>
      <c r="K1326" s="525"/>
    </row>
    <row r="1327" spans="1:11" s="520" customFormat="1" ht="15.75">
      <c r="A1327" s="157"/>
      <c r="B1327" s="519"/>
      <c r="J1327" s="524"/>
      <c r="K1327" s="525"/>
    </row>
    <row r="1328" spans="1:11" s="520" customFormat="1" ht="15.75">
      <c r="A1328" s="157"/>
      <c r="B1328" s="519"/>
      <c r="J1328" s="524"/>
      <c r="K1328" s="525"/>
    </row>
    <row r="1329" spans="1:11" s="520" customFormat="1" ht="15.75">
      <c r="A1329" s="157"/>
      <c r="B1329" s="519"/>
      <c r="J1329" s="524"/>
      <c r="K1329" s="525"/>
    </row>
    <row r="1330" spans="1:11" s="520" customFormat="1" ht="15.75">
      <c r="A1330" s="157"/>
      <c r="B1330" s="519"/>
      <c r="J1330" s="524"/>
      <c r="K1330" s="525"/>
    </row>
    <row r="1331" spans="1:11" s="520" customFormat="1" ht="15.75">
      <c r="A1331" s="157"/>
      <c r="B1331" s="519"/>
      <c r="J1331" s="524"/>
      <c r="K1331" s="525"/>
    </row>
    <row r="1332" spans="1:11" s="520" customFormat="1" ht="15.75">
      <c r="A1332" s="157"/>
      <c r="B1332" s="519"/>
      <c r="J1332" s="524"/>
      <c r="K1332" s="525"/>
    </row>
    <row r="1333" spans="1:11" s="520" customFormat="1" ht="15.75">
      <c r="A1333" s="157"/>
      <c r="B1333" s="519"/>
      <c r="J1333" s="524"/>
      <c r="K1333" s="525"/>
    </row>
    <row r="1334" spans="1:11" s="520" customFormat="1" ht="15.75">
      <c r="A1334" s="157"/>
      <c r="B1334" s="519"/>
      <c r="J1334" s="524"/>
      <c r="K1334" s="525"/>
    </row>
    <row r="1335" spans="1:11" s="520" customFormat="1" ht="15.75">
      <c r="A1335" s="157"/>
      <c r="B1335" s="519"/>
      <c r="J1335" s="524"/>
      <c r="K1335" s="525"/>
    </row>
    <row r="1336" spans="1:11" s="520" customFormat="1" ht="15.75">
      <c r="A1336" s="157"/>
      <c r="B1336" s="519"/>
      <c r="J1336" s="524"/>
      <c r="K1336" s="525"/>
    </row>
    <row r="1337" spans="1:11" s="520" customFormat="1" ht="15.75">
      <c r="A1337" s="157"/>
      <c r="B1337" s="519"/>
      <c r="J1337" s="524"/>
      <c r="K1337" s="525"/>
    </row>
    <row r="1338" spans="1:11" s="520" customFormat="1" ht="15.75">
      <c r="A1338" s="157"/>
      <c r="B1338" s="519"/>
      <c r="J1338" s="524"/>
      <c r="K1338" s="525"/>
    </row>
    <row r="1339" spans="1:11" s="520" customFormat="1" ht="15.75">
      <c r="A1339" s="157"/>
      <c r="B1339" s="519"/>
      <c r="J1339" s="524"/>
      <c r="K1339" s="525"/>
    </row>
    <row r="1340" spans="1:11" s="520" customFormat="1" ht="15.75">
      <c r="A1340" s="157"/>
      <c r="B1340" s="519"/>
      <c r="J1340" s="524"/>
      <c r="K1340" s="525"/>
    </row>
    <row r="1341" spans="1:11" s="520" customFormat="1" ht="15.75">
      <c r="A1341" s="157"/>
      <c r="B1341" s="519"/>
      <c r="J1341" s="524"/>
      <c r="K1341" s="525"/>
    </row>
    <row r="1342" spans="1:11" s="520" customFormat="1" ht="15.75">
      <c r="A1342" s="157"/>
      <c r="B1342" s="519"/>
      <c r="J1342" s="524"/>
      <c r="K1342" s="525"/>
    </row>
    <row r="1343" spans="1:11" s="520" customFormat="1" ht="15.75">
      <c r="A1343" s="157"/>
      <c r="B1343" s="519"/>
      <c r="J1343" s="524"/>
      <c r="K1343" s="525"/>
    </row>
    <row r="1344" spans="1:11" s="520" customFormat="1" ht="15.75">
      <c r="A1344" s="157"/>
      <c r="B1344" s="519"/>
      <c r="J1344" s="524"/>
      <c r="K1344" s="525"/>
    </row>
    <row r="1345" spans="1:11" s="520" customFormat="1" ht="15.75">
      <c r="A1345" s="157"/>
      <c r="B1345" s="519"/>
      <c r="J1345" s="524"/>
      <c r="K1345" s="525"/>
    </row>
    <row r="1346" spans="1:11" s="520" customFormat="1" ht="15.75">
      <c r="A1346" s="157"/>
      <c r="B1346" s="519"/>
      <c r="J1346" s="524"/>
      <c r="K1346" s="525"/>
    </row>
    <row r="1347" spans="1:11" s="520" customFormat="1" ht="15.75">
      <c r="A1347" s="157"/>
      <c r="B1347" s="519"/>
      <c r="J1347" s="524"/>
      <c r="K1347" s="525"/>
    </row>
    <row r="1348" spans="1:11" s="520" customFormat="1" ht="15.75">
      <c r="A1348" s="157"/>
      <c r="B1348" s="519"/>
      <c r="J1348" s="524"/>
      <c r="K1348" s="525"/>
    </row>
    <row r="1349" spans="1:11" s="520" customFormat="1" ht="15.75">
      <c r="A1349" s="157"/>
      <c r="B1349" s="519"/>
      <c r="J1349" s="524"/>
      <c r="K1349" s="525"/>
    </row>
    <row r="1350" spans="1:11" s="520" customFormat="1" ht="15.75">
      <c r="A1350" s="157"/>
      <c r="B1350" s="519"/>
      <c r="J1350" s="524"/>
      <c r="K1350" s="525"/>
    </row>
    <row r="1351" spans="1:11" s="520" customFormat="1" ht="15.75">
      <c r="A1351" s="157"/>
      <c r="B1351" s="519"/>
      <c r="J1351" s="524"/>
      <c r="K1351" s="525"/>
    </row>
    <row r="1352" spans="1:11" s="520" customFormat="1" ht="15.75">
      <c r="A1352" s="157"/>
      <c r="B1352" s="519"/>
      <c r="J1352" s="524"/>
      <c r="K1352" s="525"/>
    </row>
    <row r="1353" spans="1:11" s="520" customFormat="1" ht="15.75">
      <c r="A1353" s="157"/>
      <c r="B1353" s="519"/>
      <c r="J1353" s="524"/>
      <c r="K1353" s="525"/>
    </row>
    <row r="1354" spans="1:11" s="520" customFormat="1" ht="15.75">
      <c r="A1354" s="157"/>
      <c r="B1354" s="519"/>
      <c r="J1354" s="524"/>
      <c r="K1354" s="525"/>
    </row>
    <row r="1355" spans="1:11" s="520" customFormat="1" ht="15.75">
      <c r="A1355" s="157"/>
      <c r="B1355" s="519"/>
      <c r="J1355" s="524"/>
      <c r="K1355" s="525"/>
    </row>
    <row r="1356" spans="1:11" s="520" customFormat="1" ht="15.75">
      <c r="A1356" s="157"/>
      <c r="B1356" s="519"/>
      <c r="J1356" s="524"/>
      <c r="K1356" s="525"/>
    </row>
    <row r="1357" spans="1:11" s="520" customFormat="1" ht="15.75">
      <c r="A1357" s="157"/>
      <c r="B1357" s="519"/>
      <c r="J1357" s="524"/>
      <c r="K1357" s="525"/>
    </row>
    <row r="1358" spans="1:11" s="520" customFormat="1" ht="15.75">
      <c r="A1358" s="157"/>
      <c r="B1358" s="519"/>
      <c r="J1358" s="524"/>
      <c r="K1358" s="525"/>
    </row>
    <row r="1359" spans="1:11" s="520" customFormat="1" ht="15.75">
      <c r="A1359" s="157"/>
      <c r="B1359" s="519"/>
      <c r="J1359" s="524"/>
      <c r="K1359" s="525"/>
    </row>
    <row r="1360" spans="1:11" s="520" customFormat="1" ht="15.75">
      <c r="A1360" s="157"/>
      <c r="B1360" s="519"/>
      <c r="J1360" s="524"/>
      <c r="K1360" s="525"/>
    </row>
    <row r="1361" spans="1:11" s="520" customFormat="1" ht="15.75">
      <c r="A1361" s="157"/>
      <c r="B1361" s="519"/>
      <c r="J1361" s="524"/>
      <c r="K1361" s="525"/>
    </row>
    <row r="1362" spans="1:11" s="520" customFormat="1" ht="15.75">
      <c r="A1362" s="157"/>
      <c r="B1362" s="519"/>
      <c r="J1362" s="524"/>
      <c r="K1362" s="525"/>
    </row>
    <row r="1363" spans="1:11" s="520" customFormat="1" ht="15.75">
      <c r="A1363" s="157"/>
      <c r="B1363" s="519"/>
      <c r="J1363" s="524"/>
      <c r="K1363" s="525"/>
    </row>
    <row r="1364" spans="1:11" s="520" customFormat="1" ht="15.75">
      <c r="A1364" s="157"/>
      <c r="B1364" s="519"/>
      <c r="J1364" s="524"/>
      <c r="K1364" s="525"/>
    </row>
    <row r="1365" spans="1:11" s="520" customFormat="1" ht="15.75">
      <c r="A1365" s="157"/>
      <c r="B1365" s="519"/>
      <c r="J1365" s="524"/>
      <c r="K1365" s="525"/>
    </row>
    <row r="1366" spans="1:11" s="520" customFormat="1" ht="15.75">
      <c r="A1366" s="157"/>
      <c r="B1366" s="519"/>
      <c r="J1366" s="524"/>
      <c r="K1366" s="525"/>
    </row>
    <row r="1367" spans="1:11" s="520" customFormat="1" ht="15.75">
      <c r="A1367" s="157"/>
      <c r="B1367" s="519"/>
      <c r="J1367" s="524"/>
      <c r="K1367" s="525"/>
    </row>
    <row r="1368" spans="1:11" s="520" customFormat="1" ht="15.75">
      <c r="A1368" s="157"/>
      <c r="B1368" s="519"/>
      <c r="J1368" s="524"/>
      <c r="K1368" s="525"/>
    </row>
    <row r="1369" spans="1:11" s="520" customFormat="1" ht="15.75">
      <c r="A1369" s="157"/>
      <c r="B1369" s="519"/>
      <c r="J1369" s="524"/>
      <c r="K1369" s="525"/>
    </row>
    <row r="1370" spans="1:11" s="520" customFormat="1" ht="15.75">
      <c r="A1370" s="157"/>
      <c r="B1370" s="519"/>
      <c r="J1370" s="524"/>
      <c r="K1370" s="525"/>
    </row>
    <row r="1371" spans="1:11" s="520" customFormat="1" ht="15.75">
      <c r="A1371" s="157"/>
      <c r="B1371" s="519"/>
      <c r="J1371" s="524"/>
      <c r="K1371" s="525"/>
    </row>
    <row r="1372" spans="1:11" s="520" customFormat="1" ht="15.75">
      <c r="A1372" s="157"/>
      <c r="B1372" s="519"/>
      <c r="J1372" s="524"/>
      <c r="K1372" s="525"/>
    </row>
    <row r="1373" spans="1:11" s="520" customFormat="1" ht="15.75">
      <c r="A1373" s="157"/>
      <c r="B1373" s="519"/>
      <c r="J1373" s="524"/>
      <c r="K1373" s="525"/>
    </row>
    <row r="1374" spans="1:11" s="520" customFormat="1" ht="15.75">
      <c r="A1374" s="157"/>
      <c r="B1374" s="519"/>
      <c r="J1374" s="524"/>
      <c r="K1374" s="525"/>
    </row>
    <row r="1375" spans="1:11" s="520" customFormat="1" ht="15.75">
      <c r="A1375" s="157"/>
      <c r="B1375" s="519"/>
      <c r="J1375" s="524"/>
      <c r="K1375" s="525"/>
    </row>
    <row r="1376" spans="1:11" s="520" customFormat="1" ht="15.75">
      <c r="A1376" s="157"/>
      <c r="B1376" s="519"/>
      <c r="J1376" s="524"/>
      <c r="K1376" s="525"/>
    </row>
    <row r="1377" spans="1:11" s="520" customFormat="1" ht="15.75">
      <c r="A1377" s="157"/>
      <c r="B1377" s="519"/>
      <c r="J1377" s="524"/>
      <c r="K1377" s="525"/>
    </row>
    <row r="1378" spans="1:11" s="520" customFormat="1" ht="15.75">
      <c r="A1378" s="157"/>
      <c r="B1378" s="519"/>
      <c r="J1378" s="524"/>
      <c r="K1378" s="525"/>
    </row>
    <row r="1379" spans="1:11" s="520" customFormat="1" ht="15.75">
      <c r="A1379" s="157"/>
      <c r="B1379" s="519"/>
      <c r="J1379" s="524"/>
      <c r="K1379" s="525"/>
    </row>
    <row r="1380" spans="1:11" s="520" customFormat="1" ht="15.75">
      <c r="A1380" s="157"/>
      <c r="B1380" s="519"/>
      <c r="J1380" s="524"/>
      <c r="K1380" s="525"/>
    </row>
    <row r="1381" spans="1:11" s="520" customFormat="1" ht="15.75">
      <c r="A1381" s="157"/>
      <c r="B1381" s="519"/>
      <c r="J1381" s="524"/>
      <c r="K1381" s="525"/>
    </row>
    <row r="1382" spans="1:11" s="520" customFormat="1" ht="15.75">
      <c r="A1382" s="157"/>
      <c r="B1382" s="519"/>
      <c r="J1382" s="524"/>
      <c r="K1382" s="525"/>
    </row>
    <row r="1383" spans="1:11" s="520" customFormat="1" ht="15.75">
      <c r="A1383" s="157"/>
      <c r="B1383" s="519"/>
      <c r="J1383" s="524"/>
      <c r="K1383" s="525"/>
    </row>
    <row r="1384" spans="1:11" s="520" customFormat="1" ht="15.75">
      <c r="A1384" s="157"/>
      <c r="B1384" s="519"/>
      <c r="J1384" s="524"/>
      <c r="K1384" s="525"/>
    </row>
    <row r="1385" spans="1:11" s="520" customFormat="1" ht="15.75">
      <c r="A1385" s="157"/>
      <c r="B1385" s="519"/>
      <c r="J1385" s="524"/>
      <c r="K1385" s="525"/>
    </row>
    <row r="1386" spans="1:11" s="520" customFormat="1" ht="15.75">
      <c r="A1386" s="157"/>
      <c r="B1386" s="519"/>
      <c r="J1386" s="524"/>
      <c r="K1386" s="525"/>
    </row>
    <row r="1387" spans="1:11" s="520" customFormat="1" ht="15.75">
      <c r="A1387" s="157"/>
      <c r="B1387" s="519"/>
      <c r="J1387" s="524"/>
      <c r="K1387" s="525"/>
    </row>
    <row r="1388" spans="1:11" s="520" customFormat="1" ht="15.75">
      <c r="A1388" s="157"/>
      <c r="B1388" s="519"/>
      <c r="J1388" s="524"/>
      <c r="K1388" s="525"/>
    </row>
    <row r="1389" spans="1:11" s="520" customFormat="1" ht="15.75">
      <c r="A1389" s="157"/>
      <c r="B1389" s="519"/>
      <c r="J1389" s="524"/>
      <c r="K1389" s="525"/>
    </row>
    <row r="1390" spans="1:11" s="520" customFormat="1" ht="15.75">
      <c r="A1390" s="157"/>
      <c r="B1390" s="519"/>
      <c r="J1390" s="524"/>
      <c r="K1390" s="525"/>
    </row>
    <row r="1391" spans="1:11" s="520" customFormat="1" ht="15.75">
      <c r="A1391" s="157"/>
      <c r="B1391" s="519"/>
      <c r="J1391" s="524"/>
      <c r="K1391" s="525"/>
    </row>
    <row r="1392" spans="1:11" s="520" customFormat="1" ht="15.75">
      <c r="A1392" s="157"/>
      <c r="B1392" s="519"/>
      <c r="J1392" s="524"/>
      <c r="K1392" s="525"/>
    </row>
    <row r="1393" spans="1:11" s="520" customFormat="1" ht="15.75">
      <c r="A1393" s="157"/>
      <c r="B1393" s="519"/>
      <c r="J1393" s="524"/>
      <c r="K1393" s="525"/>
    </row>
    <row r="1394" spans="1:11" s="520" customFormat="1" ht="15.75">
      <c r="A1394" s="157"/>
      <c r="B1394" s="519"/>
      <c r="J1394" s="524"/>
      <c r="K1394" s="525"/>
    </row>
    <row r="1395" spans="1:11" s="520" customFormat="1" ht="15.75">
      <c r="A1395" s="157"/>
      <c r="B1395" s="519"/>
      <c r="J1395" s="524"/>
      <c r="K1395" s="525"/>
    </row>
    <row r="1396" spans="1:11" s="520" customFormat="1" ht="15.75">
      <c r="A1396" s="157"/>
      <c r="B1396" s="519"/>
      <c r="J1396" s="524"/>
      <c r="K1396" s="525"/>
    </row>
    <row r="1397" spans="1:11" s="520" customFormat="1" ht="15.75">
      <c r="A1397" s="157"/>
      <c r="B1397" s="519"/>
      <c r="J1397" s="524"/>
      <c r="K1397" s="525"/>
    </row>
    <row r="1398" spans="1:11" s="520" customFormat="1" ht="15.75">
      <c r="A1398" s="157"/>
      <c r="B1398" s="519"/>
      <c r="J1398" s="524"/>
      <c r="K1398" s="525"/>
    </row>
    <row r="1399" spans="1:11" s="520" customFormat="1" ht="15.75">
      <c r="A1399" s="157"/>
      <c r="B1399" s="519"/>
      <c r="J1399" s="524"/>
      <c r="K1399" s="525"/>
    </row>
    <row r="1400" spans="1:11" s="520" customFormat="1" ht="15.75">
      <c r="A1400" s="157"/>
      <c r="B1400" s="519"/>
      <c r="J1400" s="524"/>
      <c r="K1400" s="525"/>
    </row>
    <row r="1401" spans="1:11" s="520" customFormat="1" ht="15.75">
      <c r="A1401" s="157"/>
      <c r="B1401" s="519"/>
      <c r="J1401" s="524"/>
      <c r="K1401" s="525"/>
    </row>
    <row r="1402" spans="1:11" s="520" customFormat="1" ht="15.75">
      <c r="A1402" s="157"/>
      <c r="B1402" s="519"/>
      <c r="J1402" s="524"/>
      <c r="K1402" s="525"/>
    </row>
    <row r="1403" spans="1:11" s="520" customFormat="1" ht="15.75">
      <c r="A1403" s="157"/>
      <c r="B1403" s="519"/>
      <c r="J1403" s="524"/>
      <c r="K1403" s="525"/>
    </row>
    <row r="1404" spans="1:11" s="520" customFormat="1" ht="15.75">
      <c r="A1404" s="157"/>
      <c r="B1404" s="519"/>
      <c r="J1404" s="524"/>
      <c r="K1404" s="525"/>
    </row>
    <row r="1405" spans="1:11" s="520" customFormat="1" ht="15.75">
      <c r="A1405" s="157"/>
      <c r="B1405" s="519"/>
      <c r="J1405" s="524"/>
      <c r="K1405" s="525"/>
    </row>
    <row r="1406" spans="1:11" s="520" customFormat="1" ht="15.75">
      <c r="A1406" s="157"/>
      <c r="B1406" s="519"/>
      <c r="J1406" s="524"/>
      <c r="K1406" s="525"/>
    </row>
    <row r="1407" spans="1:11" s="520" customFormat="1" ht="15.75">
      <c r="A1407" s="157"/>
      <c r="B1407" s="519"/>
      <c r="J1407" s="524"/>
      <c r="K1407" s="525"/>
    </row>
    <row r="1408" spans="1:11" s="520" customFormat="1" ht="15.75">
      <c r="A1408" s="157"/>
      <c r="B1408" s="519"/>
      <c r="J1408" s="524"/>
      <c r="K1408" s="525"/>
    </row>
    <row r="1409" spans="1:11" s="520" customFormat="1" ht="15.75">
      <c r="A1409" s="157"/>
      <c r="B1409" s="519"/>
      <c r="J1409" s="524"/>
      <c r="K1409" s="525"/>
    </row>
    <row r="1410" spans="1:11" s="520" customFormat="1" ht="15.75">
      <c r="A1410" s="157"/>
      <c r="B1410" s="519"/>
      <c r="J1410" s="524"/>
      <c r="K1410" s="525"/>
    </row>
    <row r="1411" spans="1:11" s="520" customFormat="1" ht="15.75">
      <c r="A1411" s="157"/>
      <c r="B1411" s="519"/>
      <c r="J1411" s="524"/>
      <c r="K1411" s="525"/>
    </row>
    <row r="1412" spans="1:11" s="520" customFormat="1" ht="15.75">
      <c r="A1412" s="157"/>
      <c r="B1412" s="519"/>
      <c r="J1412" s="524"/>
      <c r="K1412" s="525"/>
    </row>
    <row r="1413" spans="1:11" s="520" customFormat="1" ht="15.75">
      <c r="A1413" s="157"/>
      <c r="B1413" s="519"/>
      <c r="J1413" s="524"/>
      <c r="K1413" s="525"/>
    </row>
    <row r="1414" spans="1:11" s="520" customFormat="1" ht="15.75">
      <c r="A1414" s="157"/>
      <c r="B1414" s="519"/>
      <c r="J1414" s="524"/>
      <c r="K1414" s="525"/>
    </row>
    <row r="1415" spans="1:11" s="520" customFormat="1" ht="15.75">
      <c r="A1415" s="157"/>
      <c r="B1415" s="519"/>
      <c r="J1415" s="524"/>
      <c r="K1415" s="525"/>
    </row>
    <row r="1416" spans="1:11" s="520" customFormat="1" ht="15.75">
      <c r="A1416" s="157"/>
      <c r="B1416" s="519"/>
      <c r="J1416" s="524"/>
      <c r="K1416" s="525"/>
    </row>
    <row r="1417" spans="1:11" s="520" customFormat="1" ht="15.75">
      <c r="A1417" s="157"/>
      <c r="B1417" s="519"/>
      <c r="J1417" s="524"/>
      <c r="K1417" s="525"/>
    </row>
    <row r="1418" spans="1:11" s="520" customFormat="1" ht="15.75">
      <c r="A1418" s="157"/>
      <c r="B1418" s="519"/>
      <c r="J1418" s="524"/>
      <c r="K1418" s="525"/>
    </row>
    <row r="1419" spans="1:11" s="520" customFormat="1" ht="15.75">
      <c r="A1419" s="157"/>
      <c r="B1419" s="519"/>
      <c r="J1419" s="524"/>
      <c r="K1419" s="525"/>
    </row>
    <row r="1420" spans="1:11" s="520" customFormat="1" ht="15.75">
      <c r="A1420" s="157"/>
      <c r="B1420" s="519"/>
      <c r="J1420" s="524"/>
      <c r="K1420" s="525"/>
    </row>
    <row r="1421" spans="1:11" s="520" customFormat="1" ht="15.75">
      <c r="A1421" s="157"/>
      <c r="B1421" s="519"/>
      <c r="J1421" s="524"/>
      <c r="K1421" s="525"/>
    </row>
    <row r="1422" spans="1:11" s="520" customFormat="1" ht="15.75">
      <c r="A1422" s="157"/>
      <c r="B1422" s="519"/>
      <c r="J1422" s="524"/>
      <c r="K1422" s="525"/>
    </row>
    <row r="1423" spans="1:11" s="520" customFormat="1" ht="15.75">
      <c r="A1423" s="157"/>
      <c r="B1423" s="519"/>
      <c r="J1423" s="524"/>
      <c r="K1423" s="525"/>
    </row>
    <row r="1424" spans="1:11" s="520" customFormat="1" ht="15.75">
      <c r="A1424" s="157"/>
      <c r="B1424" s="519"/>
      <c r="J1424" s="524"/>
      <c r="K1424" s="525"/>
    </row>
    <row r="1425" spans="1:11" s="520" customFormat="1" ht="15.75">
      <c r="A1425" s="157"/>
      <c r="B1425" s="519"/>
      <c r="J1425" s="524"/>
      <c r="K1425" s="525"/>
    </row>
    <row r="1426" spans="1:11" s="520" customFormat="1" ht="15.75">
      <c r="A1426" s="157"/>
      <c r="B1426" s="519"/>
      <c r="J1426" s="524"/>
      <c r="K1426" s="525"/>
    </row>
    <row r="1427" spans="1:11" s="520" customFormat="1" ht="15.75">
      <c r="A1427" s="157"/>
      <c r="B1427" s="519"/>
      <c r="J1427" s="524"/>
      <c r="K1427" s="525"/>
    </row>
    <row r="1428" spans="1:11" s="520" customFormat="1" ht="15.75">
      <c r="A1428" s="157"/>
      <c r="B1428" s="519"/>
      <c r="J1428" s="524"/>
      <c r="K1428" s="525"/>
    </row>
    <row r="1429" spans="1:11" s="520" customFormat="1" ht="15.75">
      <c r="A1429" s="157"/>
      <c r="B1429" s="519"/>
      <c r="J1429" s="524"/>
      <c r="K1429" s="525"/>
    </row>
    <row r="1430" spans="1:11" s="520" customFormat="1" ht="15.75">
      <c r="A1430" s="157"/>
      <c r="B1430" s="519"/>
      <c r="J1430" s="524"/>
      <c r="K1430" s="525"/>
    </row>
    <row r="1431" spans="1:11" s="520" customFormat="1" ht="15.75">
      <c r="A1431" s="157"/>
      <c r="B1431" s="519"/>
      <c r="J1431" s="524"/>
      <c r="K1431" s="525"/>
    </row>
    <row r="1432" spans="1:11" s="520" customFormat="1" ht="15.75">
      <c r="A1432" s="157"/>
      <c r="B1432" s="519"/>
      <c r="J1432" s="524"/>
      <c r="K1432" s="525"/>
    </row>
    <row r="1433" spans="1:11" s="520" customFormat="1" ht="15.75">
      <c r="A1433" s="157"/>
      <c r="B1433" s="519"/>
      <c r="J1433" s="524"/>
      <c r="K1433" s="525"/>
    </row>
    <row r="1434" spans="1:11" s="520" customFormat="1" ht="15.75">
      <c r="A1434" s="157"/>
      <c r="B1434" s="519"/>
      <c r="J1434" s="524"/>
      <c r="K1434" s="525"/>
    </row>
    <row r="1435" spans="1:11" s="520" customFormat="1" ht="15.75">
      <c r="A1435" s="157"/>
      <c r="B1435" s="519"/>
      <c r="J1435" s="524"/>
      <c r="K1435" s="525"/>
    </row>
    <row r="1436" spans="1:11" s="520" customFormat="1" ht="15.75">
      <c r="A1436" s="157"/>
      <c r="B1436" s="519"/>
      <c r="J1436" s="524"/>
      <c r="K1436" s="525"/>
    </row>
    <row r="1437" spans="1:11" s="520" customFormat="1" ht="15.75">
      <c r="A1437" s="157"/>
      <c r="B1437" s="519"/>
      <c r="J1437" s="524"/>
      <c r="K1437" s="525"/>
    </row>
    <row r="1438" spans="1:11" s="520" customFormat="1" ht="15.75">
      <c r="A1438" s="157"/>
      <c r="B1438" s="519"/>
      <c r="J1438" s="524"/>
      <c r="K1438" s="525"/>
    </row>
    <row r="1439" spans="1:11" s="520" customFormat="1" ht="15.75">
      <c r="A1439" s="157"/>
      <c r="B1439" s="519"/>
      <c r="J1439" s="524"/>
      <c r="K1439" s="525"/>
    </row>
    <row r="1440" spans="1:11" s="520" customFormat="1" ht="15.75">
      <c r="A1440" s="157"/>
      <c r="B1440" s="519"/>
      <c r="J1440" s="524"/>
      <c r="K1440" s="525"/>
    </row>
    <row r="1441" spans="1:11" s="520" customFormat="1" ht="15.75">
      <c r="A1441" s="157"/>
      <c r="B1441" s="519"/>
      <c r="J1441" s="524"/>
      <c r="K1441" s="525"/>
    </row>
    <row r="1442" spans="1:11" s="520" customFormat="1" ht="15.75">
      <c r="A1442" s="157"/>
      <c r="B1442" s="519"/>
      <c r="J1442" s="524"/>
      <c r="K1442" s="525"/>
    </row>
    <row r="1443" spans="1:11" s="520" customFormat="1" ht="15.75">
      <c r="A1443" s="157"/>
      <c r="B1443" s="519"/>
      <c r="J1443" s="524"/>
      <c r="K1443" s="525"/>
    </row>
    <row r="1444" spans="1:11" s="520" customFormat="1" ht="15.75">
      <c r="A1444" s="157"/>
      <c r="B1444" s="519"/>
      <c r="J1444" s="524"/>
      <c r="K1444" s="525"/>
    </row>
    <row r="1445" spans="1:11" s="520" customFormat="1" ht="15.75">
      <c r="A1445" s="157"/>
      <c r="B1445" s="519"/>
      <c r="J1445" s="524"/>
      <c r="K1445" s="525"/>
    </row>
    <row r="1446" spans="1:11" s="520" customFormat="1" ht="15.75">
      <c r="A1446" s="157"/>
      <c r="B1446" s="519"/>
      <c r="J1446" s="524"/>
      <c r="K1446" s="525"/>
    </row>
    <row r="1447" spans="1:11" s="520" customFormat="1" ht="15.75">
      <c r="A1447" s="157"/>
      <c r="B1447" s="519"/>
      <c r="J1447" s="524"/>
      <c r="K1447" s="525"/>
    </row>
    <row r="1448" spans="1:11" s="520" customFormat="1" ht="15.75">
      <c r="A1448" s="157"/>
      <c r="B1448" s="519"/>
      <c r="J1448" s="524"/>
      <c r="K1448" s="525"/>
    </row>
    <row r="1449" spans="1:11" s="520" customFormat="1" ht="15.75">
      <c r="A1449" s="157"/>
      <c r="B1449" s="519"/>
      <c r="J1449" s="524"/>
      <c r="K1449" s="525"/>
    </row>
    <row r="1450" spans="1:11" s="520" customFormat="1" ht="15.75">
      <c r="A1450" s="157"/>
      <c r="B1450" s="519"/>
      <c r="J1450" s="524"/>
      <c r="K1450" s="525"/>
    </row>
    <row r="1451" spans="1:11" s="520" customFormat="1" ht="15.75">
      <c r="A1451" s="157"/>
      <c r="B1451" s="519"/>
      <c r="J1451" s="524"/>
      <c r="K1451" s="525"/>
    </row>
    <row r="1452" spans="1:11" s="520" customFormat="1" ht="15.75">
      <c r="A1452" s="157"/>
      <c r="B1452" s="519"/>
      <c r="J1452" s="524"/>
      <c r="K1452" s="525"/>
    </row>
    <row r="1453" spans="1:11" s="520" customFormat="1" ht="15.75">
      <c r="A1453" s="157"/>
      <c r="B1453" s="519"/>
      <c r="J1453" s="524"/>
      <c r="K1453" s="525"/>
    </row>
    <row r="1454" spans="1:11" s="520" customFormat="1" ht="15.75">
      <c r="A1454" s="157"/>
      <c r="B1454" s="519"/>
      <c r="J1454" s="524"/>
      <c r="K1454" s="525"/>
    </row>
    <row r="1455" spans="1:11" s="520" customFormat="1" ht="15.75">
      <c r="A1455" s="157"/>
      <c r="B1455" s="519"/>
      <c r="J1455" s="524"/>
      <c r="K1455" s="525"/>
    </row>
    <row r="1456" spans="1:11" s="520" customFormat="1" ht="15.75">
      <c r="A1456" s="157"/>
      <c r="B1456" s="519"/>
      <c r="J1456" s="524"/>
      <c r="K1456" s="525"/>
    </row>
    <row r="1457" spans="1:11" s="520" customFormat="1" ht="15.75">
      <c r="A1457" s="157"/>
      <c r="B1457" s="519"/>
      <c r="J1457" s="524"/>
      <c r="K1457" s="525"/>
    </row>
    <row r="1458" spans="1:11" s="520" customFormat="1" ht="15.75">
      <c r="A1458" s="157"/>
      <c r="B1458" s="519"/>
      <c r="J1458" s="524"/>
      <c r="K1458" s="525"/>
    </row>
    <row r="1459" spans="1:11" s="520" customFormat="1" ht="15.75">
      <c r="A1459" s="157"/>
      <c r="B1459" s="519"/>
      <c r="J1459" s="524"/>
      <c r="K1459" s="525"/>
    </row>
    <row r="1460" spans="1:11" s="520" customFormat="1" ht="15.75">
      <c r="A1460" s="157"/>
      <c r="B1460" s="519"/>
      <c r="J1460" s="524"/>
      <c r="K1460" s="525"/>
    </row>
    <row r="1461" spans="1:11" s="520" customFormat="1" ht="15.75">
      <c r="A1461" s="157"/>
      <c r="B1461" s="519"/>
      <c r="J1461" s="524"/>
      <c r="K1461" s="525"/>
    </row>
    <row r="1462" spans="1:11" s="520" customFormat="1" ht="15.75">
      <c r="A1462" s="157"/>
      <c r="B1462" s="519"/>
      <c r="J1462" s="524"/>
      <c r="K1462" s="525"/>
    </row>
    <row r="1463" spans="1:11" s="520" customFormat="1" ht="15.75">
      <c r="A1463" s="157"/>
      <c r="B1463" s="519"/>
      <c r="J1463" s="524"/>
      <c r="K1463" s="525"/>
    </row>
    <row r="1464" spans="1:11" s="520" customFormat="1" ht="15.75">
      <c r="A1464" s="157"/>
      <c r="B1464" s="519"/>
      <c r="J1464" s="524"/>
      <c r="K1464" s="525"/>
    </row>
    <row r="1465" spans="1:11" s="520" customFormat="1" ht="15.75">
      <c r="A1465" s="157"/>
      <c r="B1465" s="519"/>
      <c r="J1465" s="524"/>
      <c r="K1465" s="525"/>
    </row>
    <row r="1466" spans="1:11" s="520" customFormat="1" ht="15.75">
      <c r="A1466" s="157"/>
      <c r="B1466" s="519"/>
      <c r="J1466" s="524"/>
      <c r="K1466" s="525"/>
    </row>
    <row r="1467" spans="1:11" s="520" customFormat="1" ht="15.75">
      <c r="A1467" s="157"/>
      <c r="B1467" s="519"/>
      <c r="J1467" s="524"/>
      <c r="K1467" s="525"/>
    </row>
    <row r="1468" spans="1:11" s="520" customFormat="1" ht="15.75">
      <c r="A1468" s="157"/>
      <c r="B1468" s="519"/>
      <c r="J1468" s="524"/>
      <c r="K1468" s="525"/>
    </row>
    <row r="1469" spans="1:11" s="520" customFormat="1" ht="15.75">
      <c r="A1469" s="157"/>
      <c r="B1469" s="519"/>
      <c r="J1469" s="524"/>
      <c r="K1469" s="525"/>
    </row>
    <row r="1470" spans="1:11" s="520" customFormat="1" ht="15.75">
      <c r="A1470" s="157"/>
      <c r="B1470" s="519"/>
      <c r="J1470" s="524"/>
      <c r="K1470" s="525"/>
    </row>
    <row r="1471" spans="1:11" s="520" customFormat="1" ht="15.75">
      <c r="A1471" s="157"/>
      <c r="B1471" s="519"/>
      <c r="J1471" s="524"/>
      <c r="K1471" s="525"/>
    </row>
    <row r="1472" spans="1:11" s="520" customFormat="1" ht="15.75">
      <c r="A1472" s="157"/>
      <c r="B1472" s="519"/>
      <c r="J1472" s="524"/>
      <c r="K1472" s="525"/>
    </row>
    <row r="1473" spans="1:11" s="520" customFormat="1" ht="15.75">
      <c r="A1473" s="157"/>
      <c r="B1473" s="519"/>
      <c r="J1473" s="524"/>
      <c r="K1473" s="525"/>
    </row>
    <row r="1474" spans="1:11" s="520" customFormat="1" ht="15.75">
      <c r="A1474" s="157"/>
      <c r="B1474" s="519"/>
      <c r="J1474" s="524"/>
      <c r="K1474" s="525"/>
    </row>
    <row r="1475" spans="1:11" s="520" customFormat="1" ht="15.75">
      <c r="A1475" s="157"/>
      <c r="B1475" s="519"/>
      <c r="J1475" s="524"/>
      <c r="K1475" s="525"/>
    </row>
    <row r="1476" spans="1:11" s="520" customFormat="1" ht="15.75">
      <c r="A1476" s="157"/>
      <c r="B1476" s="519"/>
      <c r="J1476" s="524"/>
      <c r="K1476" s="525"/>
    </row>
    <row r="1477" spans="1:11" s="520" customFormat="1" ht="15.75">
      <c r="A1477" s="157"/>
      <c r="B1477" s="519"/>
      <c r="J1477" s="524"/>
      <c r="K1477" s="525"/>
    </row>
    <row r="1478" spans="1:11" s="520" customFormat="1" ht="15.75">
      <c r="A1478" s="157"/>
      <c r="B1478" s="519"/>
      <c r="J1478" s="524"/>
      <c r="K1478" s="525"/>
    </row>
    <row r="1479" spans="1:11" s="520" customFormat="1" ht="15.75">
      <c r="A1479" s="157"/>
      <c r="B1479" s="519"/>
      <c r="J1479" s="524"/>
      <c r="K1479" s="525"/>
    </row>
    <row r="1480" spans="1:11" s="520" customFormat="1" ht="15.75">
      <c r="A1480" s="157"/>
      <c r="B1480" s="519"/>
      <c r="J1480" s="524"/>
      <c r="K1480" s="525"/>
    </row>
    <row r="1481" spans="1:11" s="520" customFormat="1" ht="15.75">
      <c r="A1481" s="157"/>
      <c r="B1481" s="519"/>
      <c r="J1481" s="524"/>
      <c r="K1481" s="525"/>
    </row>
    <row r="1482" spans="1:11" s="520" customFormat="1" ht="15.75">
      <c r="A1482" s="157"/>
      <c r="B1482" s="519"/>
      <c r="J1482" s="524"/>
      <c r="K1482" s="525"/>
    </row>
    <row r="1483" spans="1:11" s="520" customFormat="1" ht="15.75">
      <c r="A1483" s="157"/>
      <c r="B1483" s="519"/>
      <c r="J1483" s="524"/>
      <c r="K1483" s="525"/>
    </row>
    <row r="1484" spans="1:11" s="520" customFormat="1" ht="15.75">
      <c r="A1484" s="157"/>
      <c r="B1484" s="519"/>
      <c r="J1484" s="524"/>
      <c r="K1484" s="525"/>
    </row>
    <row r="1485" spans="1:11" s="520" customFormat="1" ht="15.75">
      <c r="A1485" s="157"/>
      <c r="B1485" s="519"/>
      <c r="J1485" s="524"/>
      <c r="K1485" s="525"/>
    </row>
    <row r="1486" spans="1:11" s="520" customFormat="1" ht="15.75">
      <c r="A1486" s="157"/>
      <c r="B1486" s="519"/>
      <c r="J1486" s="524"/>
      <c r="K1486" s="525"/>
    </row>
    <row r="1487" spans="1:11" s="520" customFormat="1" ht="15.75">
      <c r="A1487" s="157"/>
      <c r="B1487" s="519"/>
      <c r="J1487" s="524"/>
      <c r="K1487" s="525"/>
    </row>
    <row r="1488" spans="1:11" s="520" customFormat="1" ht="15.75">
      <c r="A1488" s="157"/>
      <c r="B1488" s="519"/>
      <c r="J1488" s="524"/>
      <c r="K1488" s="525"/>
    </row>
    <row r="1489" spans="1:11" s="520" customFormat="1" ht="15.75">
      <c r="A1489" s="157"/>
      <c r="B1489" s="519"/>
      <c r="J1489" s="524"/>
      <c r="K1489" s="525"/>
    </row>
    <row r="1490" spans="1:11" s="520" customFormat="1" ht="15.75">
      <c r="A1490" s="157"/>
      <c r="B1490" s="519"/>
      <c r="J1490" s="524"/>
      <c r="K1490" s="525"/>
    </row>
    <row r="1491" spans="1:11" s="520" customFormat="1" ht="15.75">
      <c r="A1491" s="157"/>
      <c r="B1491" s="519"/>
      <c r="J1491" s="524"/>
      <c r="K1491" s="525"/>
    </row>
    <row r="1492" spans="1:11" s="520" customFormat="1" ht="15.75">
      <c r="A1492" s="157"/>
      <c r="B1492" s="519"/>
      <c r="J1492" s="524"/>
      <c r="K1492" s="525"/>
    </row>
    <row r="1493" spans="1:11" s="520" customFormat="1" ht="15.75">
      <c r="A1493" s="157"/>
      <c r="B1493" s="519"/>
      <c r="J1493" s="524"/>
      <c r="K1493" s="525"/>
    </row>
    <row r="1494" spans="1:11" s="520" customFormat="1" ht="15.75">
      <c r="A1494" s="157"/>
      <c r="B1494" s="519"/>
      <c r="J1494" s="524"/>
      <c r="K1494" s="525"/>
    </row>
    <row r="1495" spans="1:11" s="520" customFormat="1" ht="15.75">
      <c r="A1495" s="157"/>
      <c r="B1495" s="519"/>
      <c r="J1495" s="524"/>
      <c r="K1495" s="525"/>
    </row>
    <row r="1496" spans="1:11" s="520" customFormat="1" ht="15.75">
      <c r="A1496" s="157"/>
      <c r="B1496" s="519"/>
      <c r="J1496" s="524"/>
      <c r="K1496" s="525"/>
    </row>
    <row r="1497" spans="1:11" s="520" customFormat="1" ht="15.75">
      <c r="A1497" s="157"/>
      <c r="B1497" s="519"/>
      <c r="J1497" s="524"/>
      <c r="K1497" s="525"/>
    </row>
    <row r="1498" spans="1:11" s="520" customFormat="1" ht="15.75">
      <c r="A1498" s="157"/>
      <c r="B1498" s="519"/>
      <c r="J1498" s="524"/>
      <c r="K1498" s="525"/>
    </row>
    <row r="1499" spans="1:11" s="520" customFormat="1" ht="15.75">
      <c r="A1499" s="157"/>
      <c r="B1499" s="519"/>
      <c r="J1499" s="524"/>
      <c r="K1499" s="525"/>
    </row>
    <row r="1500" spans="1:11" s="520" customFormat="1" ht="15.75">
      <c r="A1500" s="157"/>
      <c r="B1500" s="519"/>
      <c r="J1500" s="524"/>
      <c r="K1500" s="525"/>
    </row>
    <row r="1501" spans="1:11" s="520" customFormat="1" ht="15.75">
      <c r="A1501" s="157"/>
      <c r="B1501" s="519"/>
      <c r="J1501" s="524"/>
      <c r="K1501" s="525"/>
    </row>
    <row r="1502" spans="1:11" s="520" customFormat="1" ht="15.75">
      <c r="A1502" s="157"/>
      <c r="B1502" s="519"/>
      <c r="J1502" s="524"/>
      <c r="K1502" s="525"/>
    </row>
    <row r="1503" spans="1:11" s="520" customFormat="1" ht="15.75">
      <c r="A1503" s="157"/>
      <c r="B1503" s="519"/>
      <c r="J1503" s="524"/>
      <c r="K1503" s="525"/>
    </row>
    <row r="1504" spans="1:11" s="520" customFormat="1" ht="15.75">
      <c r="A1504" s="157"/>
      <c r="B1504" s="519"/>
      <c r="J1504" s="524"/>
      <c r="K1504" s="525"/>
    </row>
    <row r="1505" spans="1:11" s="520" customFormat="1" ht="15.75">
      <c r="A1505" s="157"/>
      <c r="B1505" s="519"/>
      <c r="J1505" s="524"/>
      <c r="K1505" s="525"/>
    </row>
    <row r="1506" spans="1:11" s="520" customFormat="1" ht="15.75">
      <c r="A1506" s="157"/>
      <c r="B1506" s="519"/>
      <c r="J1506" s="524"/>
      <c r="K1506" s="525"/>
    </row>
    <row r="1507" spans="1:11" s="520" customFormat="1" ht="15.75">
      <c r="A1507" s="157"/>
      <c r="B1507" s="519"/>
      <c r="J1507" s="524"/>
      <c r="K1507" s="525"/>
    </row>
    <row r="1508" spans="1:11" s="520" customFormat="1" ht="15.75">
      <c r="A1508" s="157"/>
      <c r="B1508" s="519"/>
      <c r="J1508" s="524"/>
      <c r="K1508" s="525"/>
    </row>
    <row r="1509" spans="1:11" s="520" customFormat="1" ht="15.75">
      <c r="A1509" s="157"/>
      <c r="B1509" s="519"/>
      <c r="J1509" s="524"/>
      <c r="K1509" s="525"/>
    </row>
    <row r="1510" spans="1:11" s="520" customFormat="1" ht="15.75">
      <c r="A1510" s="157"/>
      <c r="B1510" s="519"/>
      <c r="J1510" s="524"/>
      <c r="K1510" s="525"/>
    </row>
    <row r="1511" spans="1:11" s="520" customFormat="1" ht="15.75">
      <c r="A1511" s="157"/>
      <c r="B1511" s="519"/>
      <c r="J1511" s="524"/>
      <c r="K1511" s="525"/>
    </row>
    <row r="1512" spans="1:11" s="520" customFormat="1" ht="15.75">
      <c r="A1512" s="157"/>
      <c r="B1512" s="519"/>
      <c r="J1512" s="524"/>
      <c r="K1512" s="525"/>
    </row>
    <row r="1513" spans="1:11" s="520" customFormat="1" ht="15.75">
      <c r="A1513" s="157"/>
      <c r="B1513" s="519"/>
      <c r="J1513" s="524"/>
      <c r="K1513" s="525"/>
    </row>
    <row r="1514" spans="1:11" s="520" customFormat="1" ht="15.75">
      <c r="A1514" s="157"/>
      <c r="B1514" s="519"/>
      <c r="J1514" s="524"/>
      <c r="K1514" s="525"/>
    </row>
    <row r="1515" spans="1:11" s="520" customFormat="1" ht="15.75">
      <c r="A1515" s="157"/>
      <c r="B1515" s="519"/>
      <c r="J1515" s="524"/>
      <c r="K1515" s="525"/>
    </row>
    <row r="1516" spans="1:11" s="520" customFormat="1" ht="15.75">
      <c r="A1516" s="157"/>
      <c r="B1516" s="519"/>
      <c r="J1516" s="524"/>
      <c r="K1516" s="525"/>
    </row>
    <row r="1517" spans="1:11" s="520" customFormat="1" ht="15.75">
      <c r="A1517" s="157"/>
      <c r="B1517" s="519"/>
      <c r="J1517" s="524"/>
      <c r="K1517" s="525"/>
    </row>
    <row r="1518" spans="1:11" s="520" customFormat="1" ht="15.75">
      <c r="A1518" s="157"/>
      <c r="B1518" s="519"/>
      <c r="J1518" s="524"/>
      <c r="K1518" s="525"/>
    </row>
    <row r="1519" spans="1:11" s="520" customFormat="1" ht="15.75">
      <c r="A1519" s="157"/>
      <c r="B1519" s="519"/>
      <c r="J1519" s="524"/>
      <c r="K1519" s="525"/>
    </row>
    <row r="1520" spans="1:11" s="520" customFormat="1" ht="15.75">
      <c r="A1520" s="157"/>
      <c r="B1520" s="519"/>
      <c r="J1520" s="524"/>
      <c r="K1520" s="525"/>
    </row>
    <row r="1521" spans="1:11" s="520" customFormat="1" ht="15.75">
      <c r="A1521" s="157"/>
      <c r="B1521" s="519"/>
      <c r="J1521" s="524"/>
      <c r="K1521" s="525"/>
    </row>
    <row r="1522" spans="1:11" s="520" customFormat="1" ht="15.75">
      <c r="A1522" s="157"/>
      <c r="B1522" s="519"/>
      <c r="J1522" s="524"/>
      <c r="K1522" s="525"/>
    </row>
    <row r="1523" spans="1:11" s="520" customFormat="1" ht="15.75">
      <c r="A1523" s="157"/>
      <c r="B1523" s="519"/>
      <c r="J1523" s="524"/>
      <c r="K1523" s="525"/>
    </row>
    <row r="1524" spans="1:11" s="520" customFormat="1" ht="15.75">
      <c r="A1524" s="157"/>
      <c r="B1524" s="519"/>
      <c r="J1524" s="524"/>
      <c r="K1524" s="525"/>
    </row>
    <row r="1525" spans="1:11" s="520" customFormat="1" ht="15.75">
      <c r="A1525" s="157"/>
      <c r="B1525" s="519"/>
      <c r="J1525" s="524"/>
      <c r="K1525" s="525"/>
    </row>
    <row r="1526" spans="1:11" s="520" customFormat="1" ht="15.75">
      <c r="A1526" s="157"/>
      <c r="B1526" s="519"/>
      <c r="J1526" s="524"/>
      <c r="K1526" s="525"/>
    </row>
    <row r="1527" spans="1:11" s="520" customFormat="1" ht="15.75">
      <c r="A1527" s="157"/>
      <c r="B1527" s="519"/>
      <c r="J1527" s="524"/>
      <c r="K1527" s="525"/>
    </row>
    <row r="1528" spans="1:11" s="520" customFormat="1" ht="15.75">
      <c r="A1528" s="157"/>
      <c r="B1528" s="519"/>
      <c r="J1528" s="524"/>
      <c r="K1528" s="525"/>
    </row>
    <row r="1529" spans="1:11" s="520" customFormat="1" ht="15.75">
      <c r="A1529" s="157"/>
      <c r="B1529" s="519"/>
      <c r="J1529" s="524"/>
      <c r="K1529" s="525"/>
    </row>
    <row r="1530" spans="1:11" s="520" customFormat="1" ht="15.75">
      <c r="A1530" s="157"/>
      <c r="B1530" s="519"/>
      <c r="J1530" s="524"/>
      <c r="K1530" s="525"/>
    </row>
    <row r="1531" spans="1:11" s="520" customFormat="1" ht="15.75">
      <c r="A1531" s="157"/>
      <c r="B1531" s="519"/>
      <c r="J1531" s="524"/>
      <c r="K1531" s="525"/>
    </row>
    <row r="1532" spans="1:11" s="520" customFormat="1" ht="15.75">
      <c r="A1532" s="157"/>
      <c r="B1532" s="519"/>
      <c r="J1532" s="524"/>
      <c r="K1532" s="525"/>
    </row>
    <row r="1533" spans="1:11" s="520" customFormat="1" ht="15.75">
      <c r="A1533" s="157"/>
      <c r="B1533" s="519"/>
      <c r="J1533" s="524"/>
      <c r="K1533" s="525"/>
    </row>
    <row r="1534" spans="1:11" s="520" customFormat="1" ht="15.75">
      <c r="A1534" s="157"/>
      <c r="B1534" s="519"/>
      <c r="J1534" s="524"/>
      <c r="K1534" s="525"/>
    </row>
    <row r="1535" spans="1:11" s="520" customFormat="1" ht="15.75">
      <c r="A1535" s="157"/>
      <c r="B1535" s="519"/>
      <c r="J1535" s="524"/>
      <c r="K1535" s="525"/>
    </row>
    <row r="1536" spans="1:11" s="520" customFormat="1" ht="15.75">
      <c r="A1536" s="157"/>
      <c r="B1536" s="519"/>
      <c r="J1536" s="524"/>
      <c r="K1536" s="525"/>
    </row>
    <row r="1537" spans="1:11" s="520" customFormat="1" ht="15.75">
      <c r="A1537" s="157"/>
      <c r="B1537" s="519"/>
      <c r="J1537" s="524"/>
      <c r="K1537" s="525"/>
    </row>
    <row r="1538" spans="1:11" s="520" customFormat="1" ht="15.75">
      <c r="A1538" s="157"/>
      <c r="B1538" s="519"/>
      <c r="J1538" s="524"/>
      <c r="K1538" s="525"/>
    </row>
    <row r="1539" spans="1:11" s="520" customFormat="1" ht="15.75">
      <c r="A1539" s="157"/>
      <c r="B1539" s="519"/>
      <c r="J1539" s="524"/>
      <c r="K1539" s="525"/>
    </row>
    <row r="1540" spans="1:11" s="520" customFormat="1" ht="15.75">
      <c r="A1540" s="157"/>
      <c r="B1540" s="519"/>
      <c r="J1540" s="524"/>
      <c r="K1540" s="525"/>
    </row>
    <row r="1541" spans="1:11" s="520" customFormat="1" ht="15.75">
      <c r="A1541" s="157"/>
      <c r="B1541" s="519"/>
      <c r="J1541" s="524"/>
      <c r="K1541" s="525"/>
    </row>
    <row r="1542" spans="1:11" s="520" customFormat="1" ht="15.75">
      <c r="A1542" s="157"/>
      <c r="B1542" s="519"/>
      <c r="J1542" s="524"/>
      <c r="K1542" s="525"/>
    </row>
    <row r="1543" spans="1:11" s="520" customFormat="1" ht="15.75">
      <c r="A1543" s="157"/>
      <c r="B1543" s="519"/>
      <c r="J1543" s="524"/>
      <c r="K1543" s="525"/>
    </row>
    <row r="1544" spans="1:11" s="520" customFormat="1" ht="15.75">
      <c r="A1544" s="157"/>
      <c r="B1544" s="519"/>
      <c r="J1544" s="524"/>
      <c r="K1544" s="525"/>
    </row>
    <row r="1545" spans="1:11" s="520" customFormat="1" ht="15.75">
      <c r="A1545" s="157"/>
      <c r="B1545" s="519"/>
      <c r="J1545" s="524"/>
      <c r="K1545" s="525"/>
    </row>
    <row r="1546" spans="1:11" s="520" customFormat="1" ht="15.75">
      <c r="A1546" s="157"/>
      <c r="B1546" s="519"/>
      <c r="J1546" s="524"/>
      <c r="K1546" s="525"/>
    </row>
    <row r="1547" spans="1:11" s="520" customFormat="1" ht="15.75">
      <c r="A1547" s="157"/>
      <c r="B1547" s="519"/>
      <c r="J1547" s="524"/>
      <c r="K1547" s="525"/>
    </row>
    <row r="1548" spans="1:11" s="520" customFormat="1" ht="15.75">
      <c r="A1548" s="157"/>
      <c r="B1548" s="519"/>
      <c r="J1548" s="524"/>
      <c r="K1548" s="525"/>
    </row>
    <row r="1549" spans="1:11" s="520" customFormat="1" ht="15.75">
      <c r="A1549" s="157"/>
      <c r="B1549" s="519"/>
      <c r="J1549" s="524"/>
      <c r="K1549" s="525"/>
    </row>
    <row r="1550" spans="1:11" s="520" customFormat="1" ht="15.75">
      <c r="A1550" s="157"/>
      <c r="B1550" s="519"/>
      <c r="J1550" s="524"/>
      <c r="K1550" s="525"/>
    </row>
    <row r="1551" spans="1:11" s="520" customFormat="1" ht="15.75">
      <c r="A1551" s="157"/>
      <c r="B1551" s="519"/>
      <c r="J1551" s="524"/>
      <c r="K1551" s="525"/>
    </row>
    <row r="1552" spans="1:11" s="520" customFormat="1" ht="15.75">
      <c r="A1552" s="157"/>
      <c r="B1552" s="519"/>
      <c r="J1552" s="524"/>
      <c r="K1552" s="525"/>
    </row>
    <row r="1553" spans="1:11" s="520" customFormat="1" ht="15.75">
      <c r="A1553" s="157"/>
      <c r="B1553" s="519"/>
      <c r="J1553" s="524"/>
      <c r="K1553" s="525"/>
    </row>
    <row r="1554" spans="1:11" s="520" customFormat="1" ht="15.75">
      <c r="A1554" s="157"/>
      <c r="B1554" s="519"/>
      <c r="J1554" s="524"/>
      <c r="K1554" s="525"/>
    </row>
    <row r="1555" spans="1:11" s="520" customFormat="1" ht="15.75">
      <c r="A1555" s="157"/>
      <c r="B1555" s="519"/>
      <c r="J1555" s="524"/>
      <c r="K1555" s="525"/>
    </row>
    <row r="1556" spans="1:11" s="520" customFormat="1" ht="15.75">
      <c r="A1556" s="157"/>
      <c r="B1556" s="519"/>
      <c r="J1556" s="524"/>
      <c r="K1556" s="525"/>
    </row>
    <row r="1557" spans="1:11" s="520" customFormat="1" ht="15.75">
      <c r="A1557" s="157"/>
      <c r="B1557" s="519"/>
      <c r="J1557" s="524"/>
      <c r="K1557" s="525"/>
    </row>
    <row r="1558" spans="1:11" s="520" customFormat="1" ht="15.75">
      <c r="A1558" s="157"/>
      <c r="B1558" s="519"/>
      <c r="J1558" s="524"/>
      <c r="K1558" s="525"/>
    </row>
    <row r="1559" spans="1:11" s="520" customFormat="1" ht="15.75">
      <c r="A1559" s="157"/>
      <c r="B1559" s="519"/>
      <c r="J1559" s="524"/>
      <c r="K1559" s="525"/>
    </row>
    <row r="1560" spans="1:11" s="520" customFormat="1" ht="15.75">
      <c r="A1560" s="157"/>
      <c r="B1560" s="519"/>
      <c r="J1560" s="524"/>
      <c r="K1560" s="525"/>
    </row>
    <row r="1561" spans="1:11" s="520" customFormat="1" ht="15.75">
      <c r="A1561" s="157"/>
      <c r="B1561" s="519"/>
      <c r="J1561" s="524"/>
      <c r="K1561" s="525"/>
    </row>
    <row r="1562" spans="1:11" s="520" customFormat="1" ht="15.75">
      <c r="A1562" s="157"/>
      <c r="B1562" s="519"/>
      <c r="J1562" s="524"/>
      <c r="K1562" s="525"/>
    </row>
    <row r="1563" spans="1:11" s="520" customFormat="1" ht="15.75">
      <c r="A1563" s="157"/>
      <c r="B1563" s="519"/>
      <c r="J1563" s="524"/>
      <c r="K1563" s="525"/>
    </row>
    <row r="1564" spans="1:11" s="520" customFormat="1" ht="15.75">
      <c r="A1564" s="157"/>
      <c r="B1564" s="519"/>
      <c r="J1564" s="524"/>
      <c r="K1564" s="525"/>
    </row>
    <row r="1565" spans="1:11" s="520" customFormat="1" ht="15.75">
      <c r="A1565" s="157"/>
      <c r="B1565" s="519"/>
      <c r="J1565" s="524"/>
      <c r="K1565" s="525"/>
    </row>
    <row r="1566" spans="1:11" s="520" customFormat="1" ht="15.75">
      <c r="A1566" s="157"/>
      <c r="B1566" s="519"/>
      <c r="J1566" s="524"/>
      <c r="K1566" s="525"/>
    </row>
    <row r="1567" spans="1:11" s="520" customFormat="1" ht="15.75">
      <c r="A1567" s="157"/>
      <c r="B1567" s="519"/>
      <c r="J1567" s="524"/>
      <c r="K1567" s="525"/>
    </row>
    <row r="1568" spans="1:11" s="520" customFormat="1" ht="15.75">
      <c r="A1568" s="157"/>
      <c r="B1568" s="519"/>
      <c r="J1568" s="524"/>
      <c r="K1568" s="525"/>
    </row>
    <row r="1569" spans="1:11" s="520" customFormat="1" ht="15.75">
      <c r="A1569" s="157"/>
      <c r="B1569" s="519"/>
      <c r="J1569" s="524"/>
      <c r="K1569" s="525"/>
    </row>
    <row r="1570" spans="1:11" s="520" customFormat="1" ht="15.75">
      <c r="A1570" s="157"/>
      <c r="B1570" s="519"/>
      <c r="J1570" s="524"/>
      <c r="K1570" s="525"/>
    </row>
    <row r="1571" spans="1:11" s="520" customFormat="1" ht="15.75">
      <c r="A1571" s="157"/>
      <c r="B1571" s="519"/>
      <c r="J1571" s="524"/>
      <c r="K1571" s="525"/>
    </row>
    <row r="1572" spans="1:11" s="520" customFormat="1" ht="15.75">
      <c r="A1572" s="157"/>
      <c r="B1572" s="519"/>
      <c r="J1572" s="524"/>
      <c r="K1572" s="525"/>
    </row>
    <row r="1573" spans="1:11" s="520" customFormat="1" ht="15.75">
      <c r="A1573" s="157"/>
      <c r="B1573" s="519"/>
      <c r="J1573" s="524"/>
      <c r="K1573" s="525"/>
    </row>
    <row r="1574" spans="1:11" s="520" customFormat="1" ht="15.75">
      <c r="A1574" s="157"/>
      <c r="B1574" s="519"/>
      <c r="J1574" s="524"/>
      <c r="K1574" s="525"/>
    </row>
    <row r="1575" spans="1:11" s="520" customFormat="1" ht="15.75">
      <c r="A1575" s="157"/>
      <c r="B1575" s="519"/>
      <c r="J1575" s="524"/>
      <c r="K1575" s="525"/>
    </row>
    <row r="1576" spans="1:11" s="520" customFormat="1" ht="15.75">
      <c r="A1576" s="157"/>
      <c r="B1576" s="519"/>
      <c r="J1576" s="524"/>
      <c r="K1576" s="525"/>
    </row>
    <row r="1577" spans="1:11" s="520" customFormat="1" ht="15.75">
      <c r="A1577" s="157"/>
      <c r="B1577" s="519"/>
      <c r="J1577" s="524"/>
      <c r="K1577" s="525"/>
    </row>
    <row r="1578" spans="1:11" s="520" customFormat="1" ht="15.75">
      <c r="A1578" s="157"/>
      <c r="B1578" s="519"/>
      <c r="J1578" s="524"/>
      <c r="K1578" s="525"/>
    </row>
    <row r="1579" spans="1:11" s="520" customFormat="1" ht="15.75">
      <c r="A1579" s="157"/>
      <c r="B1579" s="519"/>
      <c r="J1579" s="524"/>
      <c r="K1579" s="525"/>
    </row>
    <row r="1580" spans="1:11" s="520" customFormat="1" ht="15.75">
      <c r="A1580" s="157"/>
      <c r="B1580" s="519"/>
      <c r="J1580" s="524"/>
      <c r="K1580" s="525"/>
    </row>
    <row r="1581" spans="1:11" s="520" customFormat="1" ht="15.75">
      <c r="A1581" s="157"/>
      <c r="B1581" s="519"/>
      <c r="J1581" s="524"/>
      <c r="K1581" s="525"/>
    </row>
    <row r="1582" spans="1:11" s="520" customFormat="1" ht="15.75">
      <c r="A1582" s="157"/>
      <c r="B1582" s="519"/>
      <c r="J1582" s="524"/>
      <c r="K1582" s="525"/>
    </row>
    <row r="1583" spans="1:11" s="520" customFormat="1" ht="15.75">
      <c r="A1583" s="157"/>
      <c r="B1583" s="519"/>
      <c r="J1583" s="524"/>
      <c r="K1583" s="525"/>
    </row>
    <row r="1584" spans="1:11" s="520" customFormat="1" ht="15.75">
      <c r="A1584" s="157"/>
      <c r="B1584" s="519"/>
      <c r="J1584" s="524"/>
      <c r="K1584" s="525"/>
    </row>
    <row r="1585" spans="1:11" s="520" customFormat="1" ht="15.75">
      <c r="A1585" s="157"/>
      <c r="B1585" s="519"/>
      <c r="J1585" s="524"/>
      <c r="K1585" s="525"/>
    </row>
    <row r="1586" spans="1:11" s="520" customFormat="1" ht="15.75">
      <c r="A1586" s="157"/>
      <c r="B1586" s="519"/>
      <c r="J1586" s="524"/>
      <c r="K1586" s="525"/>
    </row>
    <row r="1587" spans="1:11" s="520" customFormat="1" ht="15.75">
      <c r="A1587" s="157"/>
      <c r="B1587" s="519"/>
      <c r="J1587" s="524"/>
      <c r="K1587" s="525"/>
    </row>
    <row r="1588" spans="1:11" s="520" customFormat="1" ht="15.75">
      <c r="A1588" s="157"/>
      <c r="B1588" s="519"/>
      <c r="J1588" s="524"/>
      <c r="K1588" s="525"/>
    </row>
    <row r="1589" spans="1:11" s="520" customFormat="1" ht="15.75">
      <c r="A1589" s="157"/>
      <c r="B1589" s="519"/>
      <c r="J1589" s="524"/>
      <c r="K1589" s="525"/>
    </row>
    <row r="1590" spans="1:11" s="520" customFormat="1" ht="15.75">
      <c r="A1590" s="157"/>
      <c r="B1590" s="519"/>
      <c r="J1590" s="524"/>
      <c r="K1590" s="525"/>
    </row>
    <row r="1591" spans="1:11" s="520" customFormat="1" ht="15.75">
      <c r="A1591" s="157"/>
      <c r="B1591" s="519"/>
      <c r="J1591" s="524"/>
      <c r="K1591" s="525"/>
    </row>
    <row r="1592" spans="1:11" s="520" customFormat="1" ht="15.75">
      <c r="A1592" s="157"/>
      <c r="B1592" s="519"/>
      <c r="J1592" s="524"/>
      <c r="K1592" s="525"/>
    </row>
    <row r="1593" spans="1:11" s="520" customFormat="1" ht="15.75">
      <c r="A1593" s="157"/>
      <c r="B1593" s="519"/>
      <c r="J1593" s="524"/>
      <c r="K1593" s="525"/>
    </row>
    <row r="1594" spans="1:11" s="520" customFormat="1" ht="15.75">
      <c r="A1594" s="157"/>
      <c r="B1594" s="519"/>
      <c r="J1594" s="524"/>
      <c r="K1594" s="525"/>
    </row>
    <row r="1595" spans="1:11" s="520" customFormat="1" ht="15.75">
      <c r="A1595" s="157"/>
      <c r="B1595" s="519"/>
      <c r="J1595" s="524"/>
      <c r="K1595" s="525"/>
    </row>
    <row r="1596" spans="1:11" s="520" customFormat="1" ht="15.75">
      <c r="A1596" s="157"/>
      <c r="B1596" s="519"/>
      <c r="J1596" s="524"/>
      <c r="K1596" s="525"/>
    </row>
    <row r="1597" spans="1:11" s="520" customFormat="1" ht="15.75">
      <c r="A1597" s="157"/>
      <c r="B1597" s="519"/>
      <c r="J1597" s="524"/>
      <c r="K1597" s="525"/>
    </row>
    <row r="1598" spans="1:11" s="520" customFormat="1" ht="15.75">
      <c r="A1598" s="157"/>
      <c r="B1598" s="519"/>
      <c r="J1598" s="524"/>
      <c r="K1598" s="525"/>
    </row>
    <row r="1599" spans="1:11" s="520" customFormat="1" ht="15.75">
      <c r="A1599" s="157"/>
      <c r="B1599" s="519"/>
      <c r="J1599" s="524"/>
      <c r="K1599" s="525"/>
    </row>
    <row r="1600" spans="1:11" s="520" customFormat="1" ht="15.75">
      <c r="A1600" s="157"/>
      <c r="B1600" s="519"/>
      <c r="J1600" s="524"/>
      <c r="K1600" s="525"/>
    </row>
    <row r="1601" spans="1:11" s="520" customFormat="1" ht="15.75">
      <c r="A1601" s="157"/>
      <c r="B1601" s="519"/>
      <c r="J1601" s="524"/>
      <c r="K1601" s="525"/>
    </row>
    <row r="1602" spans="1:11" s="520" customFormat="1" ht="15.75">
      <c r="A1602" s="157"/>
      <c r="B1602" s="519"/>
      <c r="J1602" s="524"/>
      <c r="K1602" s="525"/>
    </row>
    <row r="1603" spans="1:11" s="520" customFormat="1" ht="15.75">
      <c r="A1603" s="157"/>
      <c r="B1603" s="519"/>
      <c r="J1603" s="524"/>
      <c r="K1603" s="525"/>
    </row>
    <row r="1604" spans="1:11" s="520" customFormat="1" ht="15.75">
      <c r="A1604" s="157"/>
      <c r="B1604" s="519"/>
      <c r="J1604" s="524"/>
      <c r="K1604" s="525"/>
    </row>
    <row r="1605" spans="1:11" s="520" customFormat="1" ht="15.75">
      <c r="A1605" s="157"/>
      <c r="B1605" s="519"/>
      <c r="J1605" s="524"/>
      <c r="K1605" s="525"/>
    </row>
    <row r="1606" spans="1:11" s="520" customFormat="1" ht="15.75">
      <c r="A1606" s="157"/>
      <c r="B1606" s="519"/>
      <c r="J1606" s="524"/>
      <c r="K1606" s="525"/>
    </row>
    <row r="1607" spans="1:11" s="520" customFormat="1" ht="15.75">
      <c r="A1607" s="157"/>
      <c r="B1607" s="519"/>
      <c r="J1607" s="524"/>
      <c r="K1607" s="525"/>
    </row>
    <row r="1608" spans="1:11" s="520" customFormat="1" ht="15.75">
      <c r="A1608" s="157"/>
      <c r="B1608" s="519"/>
      <c r="J1608" s="524"/>
      <c r="K1608" s="525"/>
    </row>
    <row r="1609" spans="1:11" s="520" customFormat="1" ht="15.75">
      <c r="A1609" s="157"/>
      <c r="B1609" s="519"/>
      <c r="J1609" s="524"/>
      <c r="K1609" s="525"/>
    </row>
    <row r="1610" spans="1:11" s="520" customFormat="1" ht="15.75">
      <c r="A1610" s="157"/>
      <c r="B1610" s="519"/>
      <c r="J1610" s="524"/>
      <c r="K1610" s="525"/>
    </row>
    <row r="1611" spans="1:11" s="520" customFormat="1" ht="15.75">
      <c r="A1611" s="157"/>
      <c r="B1611" s="519"/>
      <c r="J1611" s="524"/>
      <c r="K1611" s="525"/>
    </row>
    <row r="1612" spans="1:11" s="520" customFormat="1" ht="15.75">
      <c r="A1612" s="157"/>
      <c r="B1612" s="519"/>
      <c r="J1612" s="524"/>
      <c r="K1612" s="525"/>
    </row>
    <row r="1613" spans="1:11" s="520" customFormat="1" ht="15.75">
      <c r="A1613" s="157"/>
      <c r="B1613" s="519"/>
      <c r="J1613" s="524"/>
      <c r="K1613" s="525"/>
    </row>
    <row r="1614" spans="1:11" s="520" customFormat="1" ht="15.75">
      <c r="A1614" s="157"/>
      <c r="B1614" s="519"/>
      <c r="J1614" s="524"/>
      <c r="K1614" s="525"/>
    </row>
    <row r="1615" spans="1:11" s="520" customFormat="1" ht="15.75">
      <c r="A1615" s="157"/>
      <c r="B1615" s="519"/>
      <c r="J1615" s="524"/>
      <c r="K1615" s="525"/>
    </row>
    <row r="1616" spans="1:11" s="520" customFormat="1" ht="15.75">
      <c r="A1616" s="157"/>
      <c r="B1616" s="519"/>
      <c r="J1616" s="524"/>
      <c r="K1616" s="525"/>
    </row>
    <row r="1617" spans="1:11" s="520" customFormat="1" ht="15.75">
      <c r="A1617" s="157"/>
      <c r="B1617" s="519"/>
      <c r="J1617" s="524"/>
      <c r="K1617" s="525"/>
    </row>
    <row r="1618" spans="1:11" s="520" customFormat="1" ht="15.75">
      <c r="A1618" s="157"/>
      <c r="B1618" s="519"/>
      <c r="J1618" s="524"/>
      <c r="K1618" s="525"/>
    </row>
    <row r="1619" spans="1:11" s="520" customFormat="1" ht="15.75">
      <c r="A1619" s="157"/>
      <c r="B1619" s="519"/>
      <c r="J1619" s="524"/>
      <c r="K1619" s="525"/>
    </row>
    <row r="1620" spans="1:11" s="520" customFormat="1" ht="15.75">
      <c r="A1620" s="157"/>
      <c r="B1620" s="519"/>
      <c r="J1620" s="524"/>
      <c r="K1620" s="525"/>
    </row>
    <row r="1621" spans="1:11" s="520" customFormat="1" ht="15.75">
      <c r="A1621" s="157"/>
      <c r="B1621" s="519"/>
      <c r="J1621" s="524"/>
      <c r="K1621" s="525"/>
    </row>
    <row r="1622" spans="1:11" s="520" customFormat="1" ht="15.75">
      <c r="A1622" s="157"/>
      <c r="B1622" s="519"/>
      <c r="J1622" s="524"/>
      <c r="K1622" s="525"/>
    </row>
    <row r="1623" spans="1:11" s="520" customFormat="1" ht="15.75">
      <c r="A1623" s="157"/>
      <c r="B1623" s="519"/>
      <c r="J1623" s="524"/>
      <c r="K1623" s="525"/>
    </row>
    <row r="1624" spans="1:11" s="520" customFormat="1" ht="15.75">
      <c r="A1624" s="157"/>
      <c r="B1624" s="519"/>
      <c r="J1624" s="524"/>
      <c r="K1624" s="525"/>
    </row>
    <row r="1625" spans="1:11" s="520" customFormat="1" ht="15.75">
      <c r="A1625" s="157"/>
      <c r="B1625" s="519"/>
      <c r="J1625" s="524"/>
      <c r="K1625" s="525"/>
    </row>
    <row r="1626" spans="1:11" s="520" customFormat="1" ht="15.75">
      <c r="A1626" s="157"/>
      <c r="B1626" s="519"/>
      <c r="J1626" s="524"/>
      <c r="K1626" s="525"/>
    </row>
    <row r="1627" spans="1:11" s="520" customFormat="1" ht="15.75">
      <c r="A1627" s="157"/>
      <c r="B1627" s="519"/>
      <c r="J1627" s="524"/>
      <c r="K1627" s="525"/>
    </row>
    <row r="1628" spans="1:11" s="520" customFormat="1" ht="15.75">
      <c r="A1628" s="157"/>
      <c r="B1628" s="519"/>
      <c r="J1628" s="524"/>
      <c r="K1628" s="525"/>
    </row>
    <row r="1629" spans="1:11" s="520" customFormat="1" ht="15.75">
      <c r="A1629" s="157"/>
      <c r="B1629" s="519"/>
      <c r="J1629" s="524"/>
      <c r="K1629" s="525"/>
    </row>
    <row r="1630" spans="1:11" s="520" customFormat="1" ht="15.75">
      <c r="A1630" s="157"/>
      <c r="B1630" s="519"/>
      <c r="J1630" s="524"/>
      <c r="K1630" s="525"/>
    </row>
    <row r="1631" spans="1:11" s="520" customFormat="1" ht="15.75">
      <c r="A1631" s="157"/>
      <c r="B1631" s="519"/>
      <c r="J1631" s="524"/>
      <c r="K1631" s="525"/>
    </row>
    <row r="1632" spans="1:11" s="520" customFormat="1" ht="15.75">
      <c r="A1632" s="157"/>
      <c r="B1632" s="519"/>
      <c r="J1632" s="524"/>
      <c r="K1632" s="525"/>
    </row>
    <row r="1633" spans="1:11" s="520" customFormat="1" ht="15.75">
      <c r="A1633" s="157"/>
      <c r="B1633" s="519"/>
      <c r="J1633" s="524"/>
      <c r="K1633" s="525"/>
    </row>
    <row r="1634" spans="1:11" s="520" customFormat="1" ht="15.75">
      <c r="A1634" s="157"/>
      <c r="B1634" s="519"/>
      <c r="J1634" s="524"/>
      <c r="K1634" s="525"/>
    </row>
    <row r="1635" spans="1:11" s="520" customFormat="1" ht="15.75">
      <c r="A1635" s="157"/>
      <c r="B1635" s="519"/>
      <c r="J1635" s="524"/>
      <c r="K1635" s="525"/>
    </row>
    <row r="1636" spans="1:11" s="520" customFormat="1" ht="15.75">
      <c r="A1636" s="157"/>
      <c r="B1636" s="519"/>
      <c r="J1636" s="524"/>
      <c r="K1636" s="525"/>
    </row>
    <row r="1637" spans="1:11" s="520" customFormat="1" ht="15.75">
      <c r="A1637" s="157"/>
      <c r="B1637" s="519"/>
      <c r="J1637" s="524"/>
      <c r="K1637" s="525"/>
    </row>
    <row r="1638" spans="1:11" s="520" customFormat="1" ht="15.75">
      <c r="A1638" s="157"/>
      <c r="B1638" s="519"/>
      <c r="J1638" s="524"/>
      <c r="K1638" s="525"/>
    </row>
    <row r="1639" spans="1:11" s="520" customFormat="1" ht="15.75">
      <c r="A1639" s="157"/>
      <c r="B1639" s="519"/>
      <c r="J1639" s="524"/>
      <c r="K1639" s="525"/>
    </row>
    <row r="1640" spans="1:11" s="520" customFormat="1" ht="15.75">
      <c r="A1640" s="157"/>
      <c r="B1640" s="519"/>
      <c r="J1640" s="524"/>
      <c r="K1640" s="525"/>
    </row>
    <row r="1641" spans="1:11" s="520" customFormat="1" ht="15.75">
      <c r="A1641" s="157"/>
      <c r="B1641" s="519"/>
      <c r="J1641" s="524"/>
      <c r="K1641" s="525"/>
    </row>
    <row r="1642" spans="1:11" s="520" customFormat="1" ht="15.75">
      <c r="A1642" s="157"/>
      <c r="B1642" s="519"/>
      <c r="J1642" s="524"/>
      <c r="K1642" s="525"/>
    </row>
    <row r="1643" spans="1:11" s="520" customFormat="1" ht="15.75">
      <c r="A1643" s="157"/>
      <c r="B1643" s="519"/>
      <c r="J1643" s="524"/>
      <c r="K1643" s="525"/>
    </row>
    <row r="1644" spans="1:11" s="520" customFormat="1" ht="15.75">
      <c r="A1644" s="157"/>
      <c r="B1644" s="519"/>
      <c r="J1644" s="524"/>
      <c r="K1644" s="525"/>
    </row>
    <row r="1645" spans="1:11" s="520" customFormat="1" ht="15.75">
      <c r="A1645" s="157"/>
      <c r="B1645" s="519"/>
      <c r="J1645" s="524"/>
      <c r="K1645" s="525"/>
    </row>
    <row r="1646" spans="1:11" s="520" customFormat="1" ht="15.75">
      <c r="A1646" s="157"/>
      <c r="B1646" s="519"/>
      <c r="J1646" s="524"/>
      <c r="K1646" s="525"/>
    </row>
    <row r="1647" spans="1:11" s="520" customFormat="1" ht="15.75">
      <c r="A1647" s="157"/>
      <c r="B1647" s="519"/>
      <c r="J1647" s="524"/>
      <c r="K1647" s="525"/>
    </row>
    <row r="1648" spans="1:11" s="520" customFormat="1" ht="15.75">
      <c r="A1648" s="157"/>
      <c r="B1648" s="519"/>
      <c r="J1648" s="524"/>
      <c r="K1648" s="525"/>
    </row>
    <row r="1649" spans="1:11" s="520" customFormat="1" ht="15.75">
      <c r="A1649" s="157"/>
      <c r="B1649" s="519"/>
      <c r="J1649" s="524"/>
      <c r="K1649" s="525"/>
    </row>
    <row r="1650" spans="1:11" s="520" customFormat="1" ht="15.75">
      <c r="A1650" s="157"/>
      <c r="B1650" s="519"/>
      <c r="J1650" s="524"/>
      <c r="K1650" s="525"/>
    </row>
    <row r="1651" spans="1:11" s="520" customFormat="1" ht="15.75">
      <c r="A1651" s="157"/>
      <c r="B1651" s="519"/>
      <c r="J1651" s="524"/>
      <c r="K1651" s="525"/>
    </row>
    <row r="1652" spans="1:11" s="520" customFormat="1" ht="15.75">
      <c r="A1652" s="157"/>
      <c r="B1652" s="519"/>
      <c r="J1652" s="524"/>
      <c r="K1652" s="525"/>
    </row>
    <row r="1653" spans="1:11" s="520" customFormat="1" ht="15.75">
      <c r="A1653" s="157"/>
      <c r="B1653" s="519"/>
      <c r="J1653" s="524"/>
      <c r="K1653" s="525"/>
    </row>
    <row r="1654" spans="1:11" s="520" customFormat="1" ht="15.75">
      <c r="A1654" s="157"/>
      <c r="B1654" s="519"/>
      <c r="J1654" s="524"/>
      <c r="K1654" s="525"/>
    </row>
    <row r="1655" spans="1:11" s="520" customFormat="1" ht="15.75">
      <c r="A1655" s="157"/>
      <c r="B1655" s="519"/>
      <c r="J1655" s="524"/>
      <c r="K1655" s="525"/>
    </row>
    <row r="1656" spans="1:11" s="520" customFormat="1" ht="15.75">
      <c r="A1656" s="157"/>
      <c r="B1656" s="519"/>
      <c r="J1656" s="524"/>
      <c r="K1656" s="525"/>
    </row>
    <row r="1657" spans="1:11" s="520" customFormat="1" ht="15.75">
      <c r="A1657" s="157"/>
      <c r="B1657" s="519"/>
      <c r="J1657" s="524"/>
      <c r="K1657" s="525"/>
    </row>
    <row r="1658" spans="1:11" s="520" customFormat="1" ht="15.75">
      <c r="A1658" s="157"/>
      <c r="B1658" s="519"/>
      <c r="J1658" s="524"/>
      <c r="K1658" s="525"/>
    </row>
    <row r="1659" spans="1:11" s="520" customFormat="1" ht="15.75">
      <c r="A1659" s="157"/>
      <c r="B1659" s="519"/>
      <c r="J1659" s="524"/>
      <c r="K1659" s="525"/>
    </row>
    <row r="1660" spans="1:11" s="520" customFormat="1" ht="15.75">
      <c r="A1660" s="157"/>
      <c r="B1660" s="519"/>
      <c r="J1660" s="524"/>
      <c r="K1660" s="525"/>
    </row>
    <row r="1661" spans="1:11" s="520" customFormat="1" ht="15.75">
      <c r="A1661" s="157"/>
      <c r="B1661" s="519"/>
      <c r="J1661" s="524"/>
      <c r="K1661" s="525"/>
    </row>
    <row r="1662" spans="1:11" s="520" customFormat="1" ht="15.75">
      <c r="A1662" s="157"/>
      <c r="B1662" s="519"/>
      <c r="J1662" s="524"/>
      <c r="K1662" s="525"/>
    </row>
    <row r="1663" spans="1:11" s="520" customFormat="1" ht="15.75">
      <c r="A1663" s="157"/>
      <c r="B1663" s="519"/>
      <c r="J1663" s="524"/>
      <c r="K1663" s="525"/>
    </row>
    <row r="1664" spans="1:11" s="520" customFormat="1" ht="15.75">
      <c r="A1664" s="157"/>
      <c r="B1664" s="519"/>
      <c r="J1664" s="524"/>
      <c r="K1664" s="525"/>
    </row>
    <row r="1665" spans="1:11" s="520" customFormat="1" ht="15.75">
      <c r="A1665" s="157"/>
      <c r="B1665" s="519"/>
      <c r="J1665" s="524"/>
      <c r="K1665" s="525"/>
    </row>
    <row r="1666" spans="1:11" s="520" customFormat="1" ht="15.75">
      <c r="A1666" s="157"/>
      <c r="B1666" s="519"/>
      <c r="J1666" s="524"/>
      <c r="K1666" s="525"/>
    </row>
    <row r="1667" spans="1:11" s="520" customFormat="1" ht="15.75">
      <c r="A1667" s="157"/>
      <c r="B1667" s="519"/>
      <c r="J1667" s="524"/>
      <c r="K1667" s="525"/>
    </row>
    <row r="1668" spans="1:11" s="520" customFormat="1" ht="15.75">
      <c r="A1668" s="157"/>
      <c r="B1668" s="519"/>
      <c r="J1668" s="524"/>
      <c r="K1668" s="525"/>
    </row>
    <row r="1669" spans="1:11" s="520" customFormat="1" ht="15.75">
      <c r="A1669" s="157"/>
      <c r="B1669" s="519"/>
      <c r="J1669" s="524"/>
      <c r="K1669" s="525"/>
    </row>
    <row r="1670" spans="1:11" s="520" customFormat="1" ht="15.75">
      <c r="A1670" s="157"/>
      <c r="B1670" s="519"/>
      <c r="J1670" s="524"/>
      <c r="K1670" s="525"/>
    </row>
    <row r="1671" spans="1:11" s="520" customFormat="1" ht="15.75">
      <c r="A1671" s="157"/>
      <c r="B1671" s="519"/>
      <c r="J1671" s="524"/>
      <c r="K1671" s="525"/>
    </row>
    <row r="1672" spans="1:11" s="520" customFormat="1" ht="15.75">
      <c r="A1672" s="157"/>
      <c r="B1672" s="519"/>
      <c r="J1672" s="524"/>
      <c r="K1672" s="525"/>
    </row>
    <row r="1673" spans="1:11" s="520" customFormat="1" ht="15.75">
      <c r="A1673" s="157"/>
      <c r="B1673" s="519"/>
      <c r="J1673" s="524"/>
      <c r="K1673" s="525"/>
    </row>
    <row r="1674" spans="1:11" s="520" customFormat="1" ht="15.75">
      <c r="A1674" s="157"/>
      <c r="B1674" s="519"/>
      <c r="J1674" s="524"/>
      <c r="K1674" s="525"/>
    </row>
    <row r="1675" spans="1:11" s="520" customFormat="1" ht="15.75">
      <c r="A1675" s="157"/>
      <c r="B1675" s="519"/>
      <c r="J1675" s="524"/>
      <c r="K1675" s="525"/>
    </row>
    <row r="1676" spans="1:11" s="520" customFormat="1" ht="15.75">
      <c r="A1676" s="157"/>
      <c r="B1676" s="519"/>
      <c r="J1676" s="524"/>
      <c r="K1676" s="525"/>
    </row>
    <row r="1677" spans="1:11" s="520" customFormat="1" ht="15.75">
      <c r="A1677" s="157"/>
      <c r="B1677" s="519"/>
      <c r="J1677" s="524"/>
      <c r="K1677" s="525"/>
    </row>
    <row r="1678" spans="1:11" s="520" customFormat="1" ht="15.75">
      <c r="A1678" s="157"/>
      <c r="B1678" s="519"/>
      <c r="J1678" s="524"/>
      <c r="K1678" s="525"/>
    </row>
    <row r="1679" spans="1:11" s="520" customFormat="1" ht="15.75">
      <c r="A1679" s="157"/>
      <c r="B1679" s="519"/>
      <c r="J1679" s="524"/>
      <c r="K1679" s="525"/>
    </row>
    <row r="1680" spans="1:11" s="520" customFormat="1" ht="15.75">
      <c r="A1680" s="157"/>
      <c r="B1680" s="519"/>
      <c r="J1680" s="524"/>
      <c r="K1680" s="525"/>
    </row>
    <row r="1681" spans="1:11" s="520" customFormat="1" ht="15.75">
      <c r="A1681" s="157"/>
      <c r="B1681" s="519"/>
      <c r="J1681" s="524"/>
      <c r="K1681" s="525"/>
    </row>
    <row r="1682" spans="1:11" s="520" customFormat="1" ht="15.75">
      <c r="A1682" s="157"/>
      <c r="B1682" s="519"/>
      <c r="J1682" s="524"/>
      <c r="K1682" s="525"/>
    </row>
    <row r="1683" spans="1:11" s="520" customFormat="1" ht="15.75">
      <c r="A1683" s="157"/>
      <c r="B1683" s="519"/>
      <c r="J1683" s="524"/>
      <c r="K1683" s="525"/>
    </row>
    <row r="1684" spans="1:11" s="520" customFormat="1" ht="15.75">
      <c r="A1684" s="157"/>
      <c r="B1684" s="519"/>
      <c r="J1684" s="524"/>
      <c r="K1684" s="525"/>
    </row>
    <row r="1685" spans="1:11" s="520" customFormat="1" ht="15.75">
      <c r="A1685" s="157"/>
      <c r="B1685" s="519"/>
      <c r="J1685" s="524"/>
      <c r="K1685" s="525"/>
    </row>
    <row r="1686" spans="1:11" s="520" customFormat="1" ht="15.75">
      <c r="A1686" s="157"/>
      <c r="B1686" s="519"/>
      <c r="J1686" s="524"/>
      <c r="K1686" s="525"/>
    </row>
    <row r="1687" spans="1:11" s="520" customFormat="1" ht="15.75">
      <c r="A1687" s="157"/>
      <c r="B1687" s="519"/>
      <c r="J1687" s="524"/>
      <c r="K1687" s="525"/>
    </row>
    <row r="1688" spans="1:11" s="520" customFormat="1" ht="15.75">
      <c r="A1688" s="157"/>
      <c r="B1688" s="519"/>
      <c r="J1688" s="524"/>
      <c r="K1688" s="525"/>
    </row>
    <row r="1689" spans="1:11" s="520" customFormat="1" ht="15.75">
      <c r="A1689" s="157"/>
      <c r="B1689" s="519"/>
      <c r="J1689" s="524"/>
      <c r="K1689" s="525"/>
    </row>
    <row r="1690" spans="1:11" s="520" customFormat="1" ht="15.75">
      <c r="A1690" s="157"/>
      <c r="B1690" s="519"/>
      <c r="J1690" s="524"/>
      <c r="K1690" s="525"/>
    </row>
    <row r="1691" spans="1:11" s="520" customFormat="1" ht="15.75">
      <c r="A1691" s="157"/>
      <c r="B1691" s="519"/>
      <c r="J1691" s="524"/>
      <c r="K1691" s="525"/>
    </row>
    <row r="1692" spans="1:11" s="520" customFormat="1" ht="15.75">
      <c r="A1692" s="157"/>
      <c r="B1692" s="519"/>
      <c r="J1692" s="524"/>
      <c r="K1692" s="525"/>
    </row>
    <row r="1693" spans="1:11" s="520" customFormat="1" ht="15.75">
      <c r="A1693" s="157"/>
      <c r="B1693" s="519"/>
      <c r="J1693" s="524"/>
      <c r="K1693" s="525"/>
    </row>
    <row r="1694" spans="1:11" s="520" customFormat="1" ht="15.75">
      <c r="A1694" s="157"/>
      <c r="B1694" s="519"/>
      <c r="J1694" s="524"/>
      <c r="K1694" s="525"/>
    </row>
    <row r="1695" spans="1:11" s="520" customFormat="1" ht="15.75">
      <c r="A1695" s="157"/>
      <c r="B1695" s="519"/>
      <c r="J1695" s="524"/>
      <c r="K1695" s="525"/>
    </row>
    <row r="1696" spans="1:11" s="520" customFormat="1" ht="15.75">
      <c r="A1696" s="157"/>
      <c r="B1696" s="519"/>
      <c r="J1696" s="524"/>
      <c r="K1696" s="525"/>
    </row>
    <row r="1697" spans="1:11" s="520" customFormat="1" ht="15.75">
      <c r="A1697" s="157"/>
      <c r="B1697" s="519"/>
      <c r="J1697" s="524"/>
      <c r="K1697" s="525"/>
    </row>
    <row r="1698" spans="1:11" s="520" customFormat="1" ht="15.75">
      <c r="A1698" s="157"/>
      <c r="B1698" s="519"/>
      <c r="J1698" s="524"/>
      <c r="K1698" s="525"/>
    </row>
    <row r="1699" spans="1:11" s="520" customFormat="1" ht="15.75">
      <c r="A1699" s="157"/>
      <c r="B1699" s="519"/>
      <c r="J1699" s="524"/>
      <c r="K1699" s="525"/>
    </row>
    <row r="1700" spans="1:11" s="520" customFormat="1" ht="15.75">
      <c r="A1700" s="157"/>
      <c r="B1700" s="519"/>
      <c r="J1700" s="524"/>
      <c r="K1700" s="525"/>
    </row>
    <row r="1701" spans="1:11" s="520" customFormat="1" ht="15.75">
      <c r="A1701" s="157"/>
      <c r="B1701" s="519"/>
      <c r="J1701" s="524"/>
      <c r="K1701" s="525"/>
    </row>
    <row r="1702" spans="1:11" s="520" customFormat="1" ht="15.75">
      <c r="A1702" s="157"/>
      <c r="B1702" s="519"/>
      <c r="J1702" s="524"/>
      <c r="K1702" s="525"/>
    </row>
    <row r="1703" spans="1:11" s="520" customFormat="1" ht="15.75">
      <c r="A1703" s="157"/>
      <c r="B1703" s="519"/>
      <c r="J1703" s="524"/>
      <c r="K1703" s="525"/>
    </row>
    <row r="1704" spans="1:11" s="520" customFormat="1" ht="15.75">
      <c r="A1704" s="157"/>
      <c r="B1704" s="519"/>
      <c r="J1704" s="524"/>
      <c r="K1704" s="525"/>
    </row>
    <row r="1705" spans="1:11" s="520" customFormat="1" ht="15.75">
      <c r="A1705" s="157"/>
      <c r="B1705" s="519"/>
      <c r="J1705" s="524"/>
      <c r="K1705" s="525"/>
    </row>
    <row r="1706" spans="1:11" s="520" customFormat="1" ht="15.75">
      <c r="A1706" s="157"/>
      <c r="B1706" s="519"/>
      <c r="J1706" s="524"/>
      <c r="K1706" s="525"/>
    </row>
    <row r="1707" spans="1:11" s="520" customFormat="1" ht="15.75">
      <c r="A1707" s="157"/>
      <c r="B1707" s="519"/>
      <c r="J1707" s="524"/>
      <c r="K1707" s="525"/>
    </row>
    <row r="1708" spans="1:11" s="520" customFormat="1" ht="15.75">
      <c r="A1708" s="157"/>
      <c r="B1708" s="519"/>
      <c r="J1708" s="524"/>
      <c r="K1708" s="525"/>
    </row>
    <row r="1709" spans="1:11" s="520" customFormat="1" ht="15.75">
      <c r="A1709" s="157"/>
      <c r="B1709" s="519"/>
      <c r="J1709" s="524"/>
      <c r="K1709" s="525"/>
    </row>
    <row r="1710" spans="1:11" s="520" customFormat="1" ht="15.75">
      <c r="A1710" s="157"/>
      <c r="B1710" s="519"/>
      <c r="J1710" s="524"/>
      <c r="K1710" s="525"/>
    </row>
    <row r="1711" spans="1:11" s="520" customFormat="1" ht="15.75">
      <c r="A1711" s="157"/>
      <c r="B1711" s="519"/>
      <c r="J1711" s="524"/>
      <c r="K1711" s="525"/>
    </row>
    <row r="1712" spans="1:11" s="520" customFormat="1" ht="15.75">
      <c r="A1712" s="157"/>
      <c r="B1712" s="519"/>
      <c r="J1712" s="524"/>
      <c r="K1712" s="525"/>
    </row>
    <row r="1713" spans="1:11" s="520" customFormat="1" ht="15.75">
      <c r="A1713" s="157"/>
      <c r="B1713" s="519"/>
      <c r="J1713" s="524"/>
      <c r="K1713" s="525"/>
    </row>
    <row r="1714" spans="1:11" s="520" customFormat="1" ht="15.75">
      <c r="A1714" s="157"/>
      <c r="B1714" s="519"/>
      <c r="J1714" s="524"/>
      <c r="K1714" s="525"/>
    </row>
    <row r="1715" spans="1:11" s="520" customFormat="1" ht="15.75">
      <c r="A1715" s="157"/>
      <c r="B1715" s="519"/>
      <c r="J1715" s="524"/>
      <c r="K1715" s="525"/>
    </row>
    <row r="1716" spans="1:11" s="520" customFormat="1" ht="15.75">
      <c r="A1716" s="157"/>
      <c r="B1716" s="519"/>
      <c r="J1716" s="524"/>
      <c r="K1716" s="525"/>
    </row>
    <row r="1717" spans="1:11" s="520" customFormat="1" ht="15.75">
      <c r="A1717" s="157"/>
      <c r="B1717" s="519"/>
      <c r="J1717" s="524"/>
      <c r="K1717" s="525"/>
    </row>
    <row r="1718" spans="1:11" s="520" customFormat="1" ht="15.75">
      <c r="A1718" s="157"/>
      <c r="B1718" s="519"/>
      <c r="J1718" s="524"/>
      <c r="K1718" s="525"/>
    </row>
    <row r="1719" spans="1:11" s="520" customFormat="1" ht="15.75">
      <c r="A1719" s="157"/>
      <c r="B1719" s="519"/>
      <c r="J1719" s="524"/>
      <c r="K1719" s="525"/>
    </row>
    <row r="1720" spans="1:11" s="520" customFormat="1" ht="15.75">
      <c r="A1720" s="157"/>
      <c r="B1720" s="519"/>
      <c r="J1720" s="524"/>
      <c r="K1720" s="525"/>
    </row>
    <row r="1721" spans="1:11" s="520" customFormat="1" ht="15.75">
      <c r="A1721" s="157"/>
      <c r="B1721" s="519"/>
      <c r="J1721" s="524"/>
      <c r="K1721" s="525"/>
    </row>
    <row r="1722" spans="1:11" s="520" customFormat="1" ht="15.75">
      <c r="A1722" s="157"/>
      <c r="B1722" s="519"/>
      <c r="J1722" s="524"/>
      <c r="K1722" s="525"/>
    </row>
    <row r="1723" spans="1:11" s="520" customFormat="1" ht="15.75">
      <c r="A1723" s="157"/>
      <c r="B1723" s="519"/>
      <c r="J1723" s="524"/>
      <c r="K1723" s="525"/>
    </row>
    <row r="1724" spans="1:11" s="520" customFormat="1" ht="15.75">
      <c r="A1724" s="157"/>
      <c r="B1724" s="519"/>
      <c r="J1724" s="524"/>
      <c r="K1724" s="525"/>
    </row>
    <row r="1725" spans="1:11" s="520" customFormat="1" ht="15.75">
      <c r="A1725" s="157"/>
      <c r="B1725" s="519"/>
      <c r="J1725" s="524"/>
      <c r="K1725" s="525"/>
    </row>
    <row r="1726" spans="1:11" s="520" customFormat="1" ht="15.75">
      <c r="A1726" s="157"/>
      <c r="B1726" s="519"/>
      <c r="J1726" s="524"/>
      <c r="K1726" s="525"/>
    </row>
    <row r="1727" spans="1:11" s="520" customFormat="1" ht="15.75">
      <c r="A1727" s="157"/>
      <c r="B1727" s="519"/>
      <c r="J1727" s="524"/>
      <c r="K1727" s="525"/>
    </row>
    <row r="1728" spans="1:11" s="520" customFormat="1" ht="15.75">
      <c r="A1728" s="157"/>
      <c r="B1728" s="519"/>
      <c r="J1728" s="524"/>
      <c r="K1728" s="525"/>
    </row>
    <row r="1729" spans="1:11" s="520" customFormat="1" ht="15.75">
      <c r="A1729" s="157"/>
      <c r="B1729" s="519"/>
      <c r="J1729" s="524"/>
      <c r="K1729" s="525"/>
    </row>
    <row r="1730" spans="1:11" s="520" customFormat="1" ht="15.75">
      <c r="A1730" s="157"/>
      <c r="B1730" s="519"/>
      <c r="J1730" s="524"/>
      <c r="K1730" s="525"/>
    </row>
    <row r="1731" spans="1:11" s="520" customFormat="1" ht="15.75">
      <c r="A1731" s="157"/>
      <c r="B1731" s="519"/>
      <c r="J1731" s="524"/>
      <c r="K1731" s="525"/>
    </row>
    <row r="1732" spans="1:11" s="520" customFormat="1" ht="15.75">
      <c r="A1732" s="157"/>
      <c r="B1732" s="519"/>
      <c r="J1732" s="524"/>
      <c r="K1732" s="525"/>
    </row>
    <row r="1733" spans="1:11" s="520" customFormat="1" ht="15.75">
      <c r="A1733" s="157"/>
      <c r="B1733" s="519"/>
      <c r="J1733" s="524"/>
      <c r="K1733" s="525"/>
    </row>
    <row r="1734" spans="1:11" s="520" customFormat="1" ht="15.75">
      <c r="A1734" s="157"/>
      <c r="B1734" s="519"/>
      <c r="J1734" s="524"/>
      <c r="K1734" s="525"/>
    </row>
    <row r="1735" spans="1:11" s="520" customFormat="1" ht="15.75">
      <c r="A1735" s="157"/>
      <c r="B1735" s="519"/>
      <c r="J1735" s="524"/>
      <c r="K1735" s="525"/>
    </row>
    <row r="1736" spans="1:11" s="520" customFormat="1" ht="15.75">
      <c r="A1736" s="157"/>
      <c r="B1736" s="519"/>
      <c r="J1736" s="524"/>
      <c r="K1736" s="525"/>
    </row>
    <row r="1737" spans="1:11" s="520" customFormat="1" ht="15.75">
      <c r="A1737" s="157"/>
      <c r="B1737" s="519"/>
      <c r="J1737" s="524"/>
      <c r="K1737" s="525"/>
    </row>
    <row r="1738" spans="1:11" s="520" customFormat="1" ht="15.75">
      <c r="A1738" s="157"/>
      <c r="B1738" s="519"/>
      <c r="J1738" s="524"/>
      <c r="K1738" s="525"/>
    </row>
    <row r="1739" spans="1:11" s="520" customFormat="1" ht="15.75">
      <c r="A1739" s="157"/>
      <c r="B1739" s="519"/>
      <c r="J1739" s="524"/>
      <c r="K1739" s="525"/>
    </row>
    <row r="1740" spans="1:11" s="520" customFormat="1" ht="15.75">
      <c r="A1740" s="157"/>
      <c r="B1740" s="519"/>
      <c r="J1740" s="524"/>
      <c r="K1740" s="525"/>
    </row>
    <row r="1741" spans="1:11" s="520" customFormat="1" ht="15.75">
      <c r="A1741" s="157"/>
      <c r="B1741" s="519"/>
      <c r="J1741" s="524"/>
      <c r="K1741" s="525"/>
    </row>
    <row r="1742" spans="1:11" s="520" customFormat="1" ht="15.75">
      <c r="A1742" s="157"/>
      <c r="B1742" s="519"/>
      <c r="J1742" s="524"/>
      <c r="K1742" s="525"/>
    </row>
    <row r="1743" spans="1:11" s="520" customFormat="1" ht="15.75">
      <c r="A1743" s="157"/>
      <c r="B1743" s="519"/>
      <c r="J1743" s="524"/>
      <c r="K1743" s="525"/>
    </row>
    <row r="1744" spans="1:11" s="520" customFormat="1" ht="15.75">
      <c r="A1744" s="157"/>
      <c r="B1744" s="519"/>
      <c r="J1744" s="524"/>
      <c r="K1744" s="525"/>
    </row>
    <row r="1745" spans="1:11" s="520" customFormat="1" ht="15.75">
      <c r="A1745" s="157"/>
      <c r="B1745" s="519"/>
      <c r="J1745" s="524"/>
      <c r="K1745" s="525"/>
    </row>
    <row r="1746" spans="1:11" s="520" customFormat="1" ht="15.75">
      <c r="A1746" s="157"/>
      <c r="B1746" s="519"/>
      <c r="J1746" s="524"/>
      <c r="K1746" s="525"/>
    </row>
    <row r="1747" spans="1:11" s="520" customFormat="1" ht="15.75">
      <c r="A1747" s="157"/>
      <c r="B1747" s="519"/>
      <c r="J1747" s="524"/>
      <c r="K1747" s="525"/>
    </row>
    <row r="1748" spans="1:11" s="520" customFormat="1" ht="15.75">
      <c r="A1748" s="157"/>
      <c r="B1748" s="519"/>
      <c r="J1748" s="524"/>
      <c r="K1748" s="525"/>
    </row>
    <row r="1749" spans="1:11" s="520" customFormat="1" ht="15.75">
      <c r="A1749" s="157"/>
      <c r="B1749" s="519"/>
      <c r="J1749" s="524"/>
      <c r="K1749" s="525"/>
    </row>
    <row r="1750" spans="1:11" s="520" customFormat="1" ht="15.75">
      <c r="A1750" s="157"/>
      <c r="B1750" s="519"/>
      <c r="J1750" s="524"/>
      <c r="K1750" s="525"/>
    </row>
    <row r="1751" spans="1:11" s="520" customFormat="1" ht="15.75">
      <c r="A1751" s="157"/>
      <c r="B1751" s="519"/>
      <c r="J1751" s="524"/>
      <c r="K1751" s="525"/>
    </row>
    <row r="1752" spans="1:11" s="520" customFormat="1" ht="15.75">
      <c r="A1752" s="157"/>
      <c r="B1752" s="519"/>
      <c r="J1752" s="524"/>
      <c r="K1752" s="525"/>
    </row>
    <row r="1753" spans="1:11" s="520" customFormat="1" ht="15.75">
      <c r="A1753" s="157"/>
      <c r="B1753" s="519"/>
      <c r="J1753" s="524"/>
      <c r="K1753" s="525"/>
    </row>
    <row r="1754" spans="1:11" s="520" customFormat="1" ht="15.75">
      <c r="A1754" s="157"/>
      <c r="B1754" s="519"/>
      <c r="J1754" s="524"/>
      <c r="K1754" s="525"/>
    </row>
    <row r="1755" spans="1:11" s="520" customFormat="1" ht="15.75">
      <c r="A1755" s="157"/>
      <c r="B1755" s="519"/>
      <c r="J1755" s="524"/>
      <c r="K1755" s="525"/>
    </row>
    <row r="1756" spans="1:11" s="520" customFormat="1" ht="15.75">
      <c r="A1756" s="157"/>
      <c r="B1756" s="519"/>
      <c r="J1756" s="524"/>
      <c r="K1756" s="525"/>
    </row>
    <row r="1757" spans="1:11" s="520" customFormat="1" ht="15.75">
      <c r="A1757" s="157"/>
      <c r="B1757" s="519"/>
      <c r="J1757" s="524"/>
      <c r="K1757" s="525"/>
    </row>
    <row r="1758" spans="1:11" s="520" customFormat="1" ht="15.75">
      <c r="A1758" s="157"/>
      <c r="B1758" s="519"/>
      <c r="J1758" s="524"/>
      <c r="K1758" s="525"/>
    </row>
    <row r="1759" spans="1:11" s="520" customFormat="1" ht="15.75">
      <c r="A1759" s="157"/>
      <c r="B1759" s="519"/>
      <c r="J1759" s="524"/>
      <c r="K1759" s="525"/>
    </row>
    <row r="1760" spans="1:11" s="520" customFormat="1" ht="15.75">
      <c r="A1760" s="157"/>
      <c r="B1760" s="519"/>
      <c r="J1760" s="524"/>
      <c r="K1760" s="525"/>
    </row>
    <row r="1761" spans="1:11" s="520" customFormat="1" ht="15.75">
      <c r="A1761" s="157"/>
      <c r="B1761" s="519"/>
      <c r="J1761" s="524"/>
      <c r="K1761" s="525"/>
    </row>
    <row r="1762" spans="1:11" s="520" customFormat="1" ht="15.75">
      <c r="A1762" s="157"/>
      <c r="B1762" s="519"/>
      <c r="J1762" s="524"/>
      <c r="K1762" s="525"/>
    </row>
    <row r="1763" spans="1:11" s="520" customFormat="1" ht="15.75">
      <c r="A1763" s="157"/>
      <c r="B1763" s="519"/>
      <c r="J1763" s="524"/>
      <c r="K1763" s="525"/>
    </row>
    <row r="1764" spans="1:11" s="520" customFormat="1" ht="15.75">
      <c r="A1764" s="157"/>
      <c r="B1764" s="519"/>
      <c r="J1764" s="524"/>
      <c r="K1764" s="525"/>
    </row>
    <row r="1765" spans="1:11" s="520" customFormat="1" ht="15.75">
      <c r="A1765" s="157"/>
      <c r="B1765" s="519"/>
      <c r="J1765" s="524"/>
      <c r="K1765" s="525"/>
    </row>
    <row r="1766" spans="1:11" s="520" customFormat="1" ht="15.75">
      <c r="A1766" s="157"/>
      <c r="B1766" s="519"/>
      <c r="J1766" s="524"/>
      <c r="K1766" s="525"/>
    </row>
    <row r="1767" spans="1:11" s="520" customFormat="1" ht="15.75">
      <c r="A1767" s="157"/>
      <c r="B1767" s="519"/>
      <c r="J1767" s="524"/>
      <c r="K1767" s="525"/>
    </row>
    <row r="1768" spans="1:11" s="520" customFormat="1" ht="15.75">
      <c r="A1768" s="157"/>
      <c r="B1768" s="519"/>
      <c r="J1768" s="524"/>
      <c r="K1768" s="525"/>
    </row>
    <row r="1769" spans="1:11" s="520" customFormat="1" ht="15.75">
      <c r="A1769" s="157"/>
      <c r="B1769" s="519"/>
      <c r="J1769" s="524"/>
      <c r="K1769" s="525"/>
    </row>
    <row r="1770" spans="1:11" s="520" customFormat="1" ht="15.75">
      <c r="A1770" s="157"/>
      <c r="B1770" s="519"/>
      <c r="J1770" s="524"/>
      <c r="K1770" s="525"/>
    </row>
    <row r="1771" spans="1:11" s="520" customFormat="1" ht="15.75">
      <c r="A1771" s="157"/>
      <c r="B1771" s="519"/>
      <c r="J1771" s="524"/>
      <c r="K1771" s="525"/>
    </row>
    <row r="1772" spans="1:11" s="520" customFormat="1" ht="15.75">
      <c r="A1772" s="157"/>
      <c r="B1772" s="519"/>
      <c r="J1772" s="524"/>
      <c r="K1772" s="525"/>
    </row>
    <row r="1773" spans="1:11" s="520" customFormat="1" ht="15.75">
      <c r="A1773" s="157"/>
      <c r="B1773" s="519"/>
      <c r="J1773" s="524"/>
      <c r="K1773" s="525"/>
    </row>
    <row r="1774" spans="1:11" s="520" customFormat="1" ht="15.75">
      <c r="A1774" s="157"/>
      <c r="B1774" s="519"/>
      <c r="J1774" s="524"/>
      <c r="K1774" s="525"/>
    </row>
    <row r="1775" spans="1:11" s="520" customFormat="1" ht="15.75">
      <c r="A1775" s="157"/>
      <c r="B1775" s="519"/>
      <c r="J1775" s="524"/>
      <c r="K1775" s="525"/>
    </row>
    <row r="1776" spans="1:11" s="520" customFormat="1" ht="15.75">
      <c r="A1776" s="157"/>
      <c r="B1776" s="519"/>
      <c r="J1776" s="524"/>
      <c r="K1776" s="525"/>
    </row>
    <row r="1777" spans="1:11" s="520" customFormat="1" ht="15.75">
      <c r="A1777" s="157"/>
      <c r="B1777" s="519"/>
      <c r="J1777" s="524"/>
      <c r="K1777" s="525"/>
    </row>
    <row r="1778" spans="1:11" s="520" customFormat="1" ht="15.75">
      <c r="A1778" s="157"/>
      <c r="B1778" s="519"/>
      <c r="J1778" s="524"/>
      <c r="K1778" s="525"/>
    </row>
    <row r="1779" spans="1:11" s="520" customFormat="1" ht="15.75">
      <c r="A1779" s="157"/>
      <c r="B1779" s="519"/>
      <c r="J1779" s="524"/>
      <c r="K1779" s="525"/>
    </row>
    <row r="1780" spans="1:11" s="520" customFormat="1" ht="15.75">
      <c r="A1780" s="157"/>
      <c r="B1780" s="519"/>
      <c r="J1780" s="524"/>
      <c r="K1780" s="525"/>
    </row>
    <row r="1781" spans="1:11" s="520" customFormat="1" ht="15.75">
      <c r="A1781" s="157"/>
      <c r="B1781" s="519"/>
      <c r="J1781" s="524"/>
      <c r="K1781" s="525"/>
    </row>
    <row r="1782" spans="1:11" s="520" customFormat="1" ht="15.75">
      <c r="A1782" s="157"/>
      <c r="B1782" s="519"/>
      <c r="J1782" s="524"/>
      <c r="K1782" s="525"/>
    </row>
    <row r="1783" spans="1:11" s="520" customFormat="1" ht="15.75">
      <c r="A1783" s="157"/>
      <c r="B1783" s="519"/>
      <c r="J1783" s="524"/>
      <c r="K1783" s="525"/>
    </row>
    <row r="1784" spans="1:11" s="520" customFormat="1" ht="15.75">
      <c r="A1784" s="157"/>
      <c r="B1784" s="519"/>
      <c r="J1784" s="524"/>
      <c r="K1784" s="525"/>
    </row>
    <row r="1785" spans="1:11" s="520" customFormat="1" ht="15.75">
      <c r="A1785" s="157"/>
      <c r="B1785" s="519"/>
      <c r="J1785" s="524"/>
      <c r="K1785" s="525"/>
    </row>
    <row r="1786" spans="1:11" s="520" customFormat="1" ht="15.75">
      <c r="A1786" s="157"/>
      <c r="B1786" s="519"/>
      <c r="J1786" s="524"/>
      <c r="K1786" s="525"/>
    </row>
    <row r="1787" spans="1:11" s="520" customFormat="1" ht="15.75">
      <c r="A1787" s="157"/>
      <c r="B1787" s="519"/>
      <c r="J1787" s="524"/>
      <c r="K1787" s="525"/>
    </row>
    <row r="1788" spans="1:11" s="520" customFormat="1" ht="15.75">
      <c r="A1788" s="157"/>
      <c r="B1788" s="519"/>
      <c r="J1788" s="524"/>
      <c r="K1788" s="525"/>
    </row>
    <row r="1789" spans="1:11" s="520" customFormat="1" ht="15.75">
      <c r="A1789" s="157"/>
      <c r="B1789" s="519"/>
      <c r="J1789" s="524"/>
      <c r="K1789" s="525"/>
    </row>
    <row r="1790" spans="1:11" s="520" customFormat="1" ht="15.75">
      <c r="A1790" s="157"/>
      <c r="B1790" s="519"/>
      <c r="J1790" s="524"/>
      <c r="K1790" s="525"/>
    </row>
    <row r="1791" spans="1:11" s="520" customFormat="1" ht="15.75">
      <c r="A1791" s="157"/>
      <c r="B1791" s="519"/>
      <c r="J1791" s="524"/>
      <c r="K1791" s="525"/>
    </row>
    <row r="1792" spans="1:11" s="520" customFormat="1" ht="15.75">
      <c r="A1792" s="157"/>
      <c r="B1792" s="519"/>
      <c r="J1792" s="524"/>
      <c r="K1792" s="525"/>
    </row>
    <row r="1793" spans="1:11" s="520" customFormat="1" ht="15.75">
      <c r="A1793" s="157"/>
      <c r="B1793" s="519"/>
      <c r="J1793" s="524"/>
      <c r="K1793" s="525"/>
    </row>
    <row r="1794" spans="1:11" s="520" customFormat="1" ht="15.75">
      <c r="A1794" s="157"/>
      <c r="B1794" s="519"/>
      <c r="J1794" s="524"/>
      <c r="K1794" s="525"/>
    </row>
    <row r="1795" spans="1:11" s="520" customFormat="1" ht="15.75">
      <c r="A1795" s="157"/>
      <c r="B1795" s="519"/>
      <c r="J1795" s="524"/>
      <c r="K1795" s="525"/>
    </row>
    <row r="1796" spans="1:11" s="520" customFormat="1" ht="15.75">
      <c r="A1796" s="157"/>
      <c r="B1796" s="519"/>
      <c r="J1796" s="524"/>
      <c r="K1796" s="525"/>
    </row>
    <row r="1797" spans="1:11" s="520" customFormat="1" ht="15.75">
      <c r="A1797" s="157"/>
      <c r="B1797" s="519"/>
      <c r="J1797" s="524"/>
      <c r="K1797" s="525"/>
    </row>
    <row r="1798" spans="1:11" s="520" customFormat="1" ht="15.75">
      <c r="A1798" s="157"/>
      <c r="B1798" s="519"/>
      <c r="J1798" s="524"/>
      <c r="K1798" s="525"/>
    </row>
    <row r="1799" spans="1:11" s="520" customFormat="1" ht="15.75">
      <c r="A1799" s="157"/>
      <c r="B1799" s="519"/>
      <c r="J1799" s="524"/>
      <c r="K1799" s="525"/>
    </row>
    <row r="1800" spans="1:11" s="520" customFormat="1" ht="15.75">
      <c r="A1800" s="157"/>
      <c r="B1800" s="519"/>
      <c r="J1800" s="524"/>
      <c r="K1800" s="525"/>
    </row>
    <row r="1801" spans="1:11" s="520" customFormat="1" ht="15.75">
      <c r="A1801" s="157"/>
      <c r="B1801" s="519"/>
      <c r="J1801" s="524"/>
      <c r="K1801" s="525"/>
    </row>
    <row r="1802" spans="1:11" s="520" customFormat="1" ht="15.75">
      <c r="A1802" s="157"/>
      <c r="B1802" s="519"/>
      <c r="J1802" s="524"/>
      <c r="K1802" s="525"/>
    </row>
    <row r="1803" spans="1:11" s="520" customFormat="1" ht="15.75">
      <c r="A1803" s="157"/>
      <c r="B1803" s="519"/>
      <c r="J1803" s="524"/>
      <c r="K1803" s="525"/>
    </row>
    <row r="1804" spans="1:11" s="520" customFormat="1" ht="15.75">
      <c r="A1804" s="157"/>
      <c r="B1804" s="519"/>
      <c r="J1804" s="524"/>
      <c r="K1804" s="525"/>
    </row>
    <row r="1805" spans="1:11" s="520" customFormat="1" ht="15.75">
      <c r="A1805" s="157"/>
      <c r="B1805" s="519"/>
      <c r="J1805" s="524"/>
      <c r="K1805" s="525"/>
    </row>
    <row r="1806" spans="1:11" s="520" customFormat="1" ht="15.75">
      <c r="A1806" s="157"/>
      <c r="B1806" s="519"/>
      <c r="J1806" s="524"/>
      <c r="K1806" s="525"/>
    </row>
    <row r="1807" spans="1:11" s="520" customFormat="1" ht="15.75">
      <c r="A1807" s="157"/>
      <c r="B1807" s="519"/>
      <c r="J1807" s="524"/>
      <c r="K1807" s="525"/>
    </row>
    <row r="1808" spans="1:11" s="520" customFormat="1" ht="15.75">
      <c r="A1808" s="157"/>
      <c r="B1808" s="519"/>
      <c r="J1808" s="524"/>
      <c r="K1808" s="525"/>
    </row>
    <row r="1809" spans="1:11" s="520" customFormat="1" ht="15.75">
      <c r="A1809" s="157"/>
      <c r="B1809" s="519"/>
      <c r="J1809" s="524"/>
      <c r="K1809" s="525"/>
    </row>
    <row r="1810" spans="1:11" s="520" customFormat="1" ht="15.75">
      <c r="A1810" s="157"/>
      <c r="B1810" s="519"/>
      <c r="J1810" s="524"/>
      <c r="K1810" s="525"/>
    </row>
    <row r="1811" spans="1:11" s="520" customFormat="1" ht="15.75">
      <c r="A1811" s="157"/>
      <c r="B1811" s="519"/>
      <c r="J1811" s="524"/>
      <c r="K1811" s="525"/>
    </row>
    <row r="1812" spans="1:11" s="520" customFormat="1" ht="15.75">
      <c r="A1812" s="157"/>
      <c r="B1812" s="519"/>
      <c r="J1812" s="524"/>
      <c r="K1812" s="525"/>
    </row>
    <row r="1813" spans="1:11" s="520" customFormat="1" ht="15.75">
      <c r="A1813" s="157"/>
      <c r="B1813" s="519"/>
      <c r="J1813" s="524"/>
      <c r="K1813" s="525"/>
    </row>
    <row r="1814" spans="1:11" s="520" customFormat="1" ht="15.75">
      <c r="A1814" s="157"/>
      <c r="B1814" s="519"/>
      <c r="J1814" s="524"/>
      <c r="K1814" s="525"/>
    </row>
    <row r="1815" spans="1:11" s="520" customFormat="1" ht="15.75">
      <c r="A1815" s="157"/>
      <c r="B1815" s="519"/>
      <c r="J1815" s="524"/>
      <c r="K1815" s="525"/>
    </row>
    <row r="1816" spans="1:11" s="520" customFormat="1" ht="15.75">
      <c r="A1816" s="157"/>
      <c r="B1816" s="519"/>
      <c r="J1816" s="524"/>
      <c r="K1816" s="525"/>
    </row>
    <row r="1817" spans="1:11" s="520" customFormat="1" ht="15.75">
      <c r="A1817" s="157"/>
      <c r="B1817" s="519"/>
      <c r="J1817" s="524"/>
      <c r="K1817" s="525"/>
    </row>
    <row r="1818" spans="1:11" s="520" customFormat="1" ht="15.75">
      <c r="A1818" s="157"/>
      <c r="B1818" s="519"/>
      <c r="J1818" s="524"/>
      <c r="K1818" s="525"/>
    </row>
    <row r="1819" spans="1:11" s="520" customFormat="1" ht="15.75">
      <c r="A1819" s="157"/>
      <c r="B1819" s="519"/>
      <c r="J1819" s="524"/>
      <c r="K1819" s="525"/>
    </row>
    <row r="1820" spans="1:11" s="520" customFormat="1" ht="15.75">
      <c r="A1820" s="157"/>
      <c r="B1820" s="519"/>
      <c r="J1820" s="524"/>
      <c r="K1820" s="525"/>
    </row>
    <row r="1821" spans="1:11" s="520" customFormat="1" ht="15.75">
      <c r="A1821" s="157"/>
      <c r="B1821" s="519"/>
      <c r="J1821" s="524"/>
      <c r="K1821" s="525"/>
    </row>
    <row r="1822" spans="1:11" s="520" customFormat="1" ht="15.75">
      <c r="A1822" s="157"/>
      <c r="B1822" s="519"/>
      <c r="J1822" s="524"/>
      <c r="K1822" s="525"/>
    </row>
    <row r="1823" spans="1:11" s="520" customFormat="1" ht="15.75">
      <c r="A1823" s="157"/>
      <c r="B1823" s="519"/>
      <c r="J1823" s="524"/>
      <c r="K1823" s="525"/>
    </row>
    <row r="1824" spans="1:11" s="520" customFormat="1" ht="15.75">
      <c r="A1824" s="157"/>
      <c r="B1824" s="519"/>
      <c r="J1824" s="524"/>
      <c r="K1824" s="525"/>
    </row>
    <row r="1825" spans="1:11" s="520" customFormat="1" ht="15.75">
      <c r="A1825" s="157"/>
      <c r="B1825" s="519"/>
      <c r="J1825" s="524"/>
      <c r="K1825" s="525"/>
    </row>
    <row r="1826" spans="1:11" s="520" customFormat="1" ht="15.75">
      <c r="A1826" s="157"/>
      <c r="B1826" s="519"/>
      <c r="J1826" s="524"/>
      <c r="K1826" s="525"/>
    </row>
    <row r="1827" spans="1:11" s="520" customFormat="1" ht="15.75">
      <c r="A1827" s="157"/>
      <c r="B1827" s="519"/>
      <c r="J1827" s="524"/>
      <c r="K1827" s="525"/>
    </row>
    <row r="1828" spans="1:11" s="520" customFormat="1" ht="15.75">
      <c r="A1828" s="157"/>
      <c r="B1828" s="519"/>
      <c r="J1828" s="524"/>
      <c r="K1828" s="525"/>
    </row>
    <row r="1829" spans="1:11" s="520" customFormat="1" ht="15.75">
      <c r="A1829" s="157"/>
      <c r="B1829" s="519"/>
      <c r="J1829" s="524"/>
      <c r="K1829" s="525"/>
    </row>
    <row r="1830" spans="1:11" s="520" customFormat="1" ht="15.75">
      <c r="A1830" s="157"/>
      <c r="B1830" s="519"/>
      <c r="J1830" s="524"/>
      <c r="K1830" s="525"/>
    </row>
    <row r="1831" spans="1:11" s="520" customFormat="1" ht="15.75">
      <c r="A1831" s="157"/>
      <c r="B1831" s="519"/>
      <c r="J1831" s="524"/>
      <c r="K1831" s="525"/>
    </row>
    <row r="1832" spans="1:11" s="520" customFormat="1" ht="15.75">
      <c r="A1832" s="157"/>
      <c r="B1832" s="519"/>
      <c r="J1832" s="524"/>
      <c r="K1832" s="525"/>
    </row>
    <row r="1833" spans="1:11" s="520" customFormat="1" ht="15.75">
      <c r="A1833" s="157"/>
      <c r="B1833" s="519"/>
      <c r="J1833" s="524"/>
      <c r="K1833" s="525"/>
    </row>
    <row r="1834" spans="1:11" s="520" customFormat="1" ht="15.75">
      <c r="A1834" s="157"/>
      <c r="B1834" s="519"/>
      <c r="J1834" s="524"/>
      <c r="K1834" s="525"/>
    </row>
    <row r="1835" spans="1:11" s="520" customFormat="1" ht="15.75">
      <c r="A1835" s="157"/>
      <c r="B1835" s="519"/>
      <c r="J1835" s="524"/>
      <c r="K1835" s="525"/>
    </row>
    <row r="1836" spans="1:11" s="520" customFormat="1" ht="15.75">
      <c r="A1836" s="157"/>
      <c r="B1836" s="519"/>
      <c r="J1836" s="524"/>
      <c r="K1836" s="525"/>
    </row>
    <row r="1837" spans="1:11" s="520" customFormat="1" ht="15.75">
      <c r="A1837" s="157"/>
      <c r="B1837" s="519"/>
      <c r="J1837" s="524"/>
      <c r="K1837" s="525"/>
    </row>
    <row r="1838" spans="1:11" s="520" customFormat="1" ht="15.75">
      <c r="A1838" s="157"/>
      <c r="B1838" s="519"/>
      <c r="J1838" s="524"/>
      <c r="K1838" s="525"/>
    </row>
    <row r="1839" spans="1:11" s="520" customFormat="1" ht="15.75">
      <c r="A1839" s="157"/>
      <c r="B1839" s="519"/>
      <c r="J1839" s="524"/>
      <c r="K1839" s="525"/>
    </row>
    <row r="1840" spans="1:11" s="520" customFormat="1" ht="15.75">
      <c r="A1840" s="157"/>
      <c r="B1840" s="519"/>
      <c r="J1840" s="524"/>
      <c r="K1840" s="525"/>
    </row>
    <row r="1841" spans="1:11" s="520" customFormat="1" ht="15.75">
      <c r="A1841" s="157"/>
      <c r="B1841" s="519"/>
      <c r="J1841" s="524"/>
      <c r="K1841" s="525"/>
    </row>
    <row r="1842" spans="1:11" s="520" customFormat="1" ht="15.75">
      <c r="A1842" s="157"/>
      <c r="B1842" s="519"/>
      <c r="J1842" s="524"/>
      <c r="K1842" s="525"/>
    </row>
    <row r="1843" spans="1:11" s="520" customFormat="1" ht="15.75">
      <c r="A1843" s="157"/>
      <c r="B1843" s="519"/>
      <c r="J1843" s="524"/>
      <c r="K1843" s="525"/>
    </row>
    <row r="1844" spans="1:11" s="520" customFormat="1" ht="15.75">
      <c r="A1844" s="157"/>
      <c r="B1844" s="519"/>
      <c r="J1844" s="524"/>
      <c r="K1844" s="525"/>
    </row>
    <row r="1845" spans="1:11" s="520" customFormat="1" ht="15.75">
      <c r="A1845" s="157"/>
      <c r="B1845" s="519"/>
      <c r="J1845" s="524"/>
      <c r="K1845" s="525"/>
    </row>
    <row r="1846" spans="1:11" s="520" customFormat="1" ht="15.75">
      <c r="A1846" s="157"/>
      <c r="B1846" s="519"/>
      <c r="J1846" s="524"/>
      <c r="K1846" s="525"/>
    </row>
    <row r="1847" spans="1:11" s="520" customFormat="1" ht="15.75">
      <c r="A1847" s="157"/>
      <c r="B1847" s="519"/>
      <c r="J1847" s="524"/>
      <c r="K1847" s="525"/>
    </row>
    <row r="1848" spans="1:11" s="520" customFormat="1" ht="15.75">
      <c r="A1848" s="157"/>
      <c r="B1848" s="519"/>
      <c r="J1848" s="524"/>
      <c r="K1848" s="525"/>
    </row>
    <row r="1849" spans="1:11" s="520" customFormat="1" ht="15.75">
      <c r="A1849" s="157"/>
      <c r="B1849" s="519"/>
      <c r="J1849" s="524"/>
      <c r="K1849" s="525"/>
    </row>
    <row r="1850" spans="1:11" s="520" customFormat="1" ht="15.75">
      <c r="A1850" s="157"/>
      <c r="B1850" s="519"/>
      <c r="J1850" s="524"/>
      <c r="K1850" s="525"/>
    </row>
    <row r="1851" spans="1:11" s="520" customFormat="1" ht="15.75">
      <c r="A1851" s="157"/>
      <c r="B1851" s="519"/>
      <c r="J1851" s="524"/>
      <c r="K1851" s="525"/>
    </row>
    <row r="1852" spans="1:11" s="520" customFormat="1" ht="15.75">
      <c r="A1852" s="157"/>
      <c r="B1852" s="519"/>
      <c r="J1852" s="524"/>
      <c r="K1852" s="525"/>
    </row>
    <row r="1853" spans="1:11" s="520" customFormat="1" ht="15.75">
      <c r="A1853" s="157"/>
      <c r="B1853" s="519"/>
      <c r="J1853" s="524"/>
      <c r="K1853" s="525"/>
    </row>
    <row r="1854" spans="1:11" s="520" customFormat="1" ht="15.75">
      <c r="A1854" s="157"/>
      <c r="B1854" s="519"/>
      <c r="J1854" s="524"/>
      <c r="K1854" s="525"/>
    </row>
    <row r="1855" spans="1:11" s="520" customFormat="1" ht="15.75">
      <c r="A1855" s="157"/>
      <c r="B1855" s="519"/>
      <c r="J1855" s="524"/>
      <c r="K1855" s="525"/>
    </row>
    <row r="1856" spans="1:11" s="520" customFormat="1" ht="15.75">
      <c r="A1856" s="157"/>
      <c r="B1856" s="519"/>
      <c r="J1856" s="524"/>
      <c r="K1856" s="525"/>
    </row>
    <row r="1857" spans="1:11" s="520" customFormat="1" ht="15.75">
      <c r="A1857" s="157"/>
      <c r="B1857" s="519"/>
      <c r="J1857" s="524"/>
      <c r="K1857" s="525"/>
    </row>
    <row r="1858" spans="1:11" s="520" customFormat="1" ht="15.75">
      <c r="A1858" s="157"/>
      <c r="B1858" s="519"/>
      <c r="J1858" s="524"/>
      <c r="K1858" s="525"/>
    </row>
    <row r="1859" spans="1:11" s="520" customFormat="1" ht="15.75">
      <c r="A1859" s="157"/>
      <c r="B1859" s="519"/>
      <c r="J1859" s="524"/>
      <c r="K1859" s="525"/>
    </row>
    <row r="1860" spans="1:11" s="520" customFormat="1" ht="15.75">
      <c r="A1860" s="157"/>
      <c r="B1860" s="519"/>
      <c r="J1860" s="524"/>
      <c r="K1860" s="525"/>
    </row>
    <row r="1861" spans="1:11" s="520" customFormat="1" ht="15.75">
      <c r="A1861" s="157"/>
      <c r="B1861" s="519"/>
      <c r="J1861" s="524"/>
      <c r="K1861" s="525"/>
    </row>
    <row r="1862" spans="1:11" s="520" customFormat="1" ht="15.75">
      <c r="A1862" s="157"/>
      <c r="B1862" s="519"/>
      <c r="J1862" s="524"/>
      <c r="K1862" s="525"/>
    </row>
    <row r="1863" spans="1:11" s="520" customFormat="1" ht="15.75">
      <c r="A1863" s="157"/>
      <c r="B1863" s="519"/>
      <c r="J1863" s="524"/>
      <c r="K1863" s="525"/>
    </row>
    <row r="1864" spans="1:11" s="520" customFormat="1" ht="15.75">
      <c r="A1864" s="157"/>
      <c r="B1864" s="519"/>
      <c r="J1864" s="524"/>
      <c r="K1864" s="525"/>
    </row>
    <row r="1865" spans="1:11" s="520" customFormat="1" ht="15.75">
      <c r="A1865" s="157"/>
      <c r="B1865" s="519"/>
      <c r="J1865" s="524"/>
      <c r="K1865" s="525"/>
    </row>
    <row r="1866" spans="1:11" s="520" customFormat="1" ht="15.75">
      <c r="A1866" s="157"/>
      <c r="B1866" s="519"/>
      <c r="J1866" s="524"/>
      <c r="K1866" s="525"/>
    </row>
    <row r="1867" spans="1:11" s="520" customFormat="1" ht="15.75">
      <c r="A1867" s="157"/>
      <c r="B1867" s="519"/>
      <c r="J1867" s="524"/>
      <c r="K1867" s="525"/>
    </row>
    <row r="1868" spans="1:11" s="520" customFormat="1" ht="15.75">
      <c r="A1868" s="157"/>
      <c r="B1868" s="519"/>
      <c r="J1868" s="524"/>
      <c r="K1868" s="525"/>
    </row>
    <row r="1869" spans="1:11" s="520" customFormat="1" ht="15.75">
      <c r="A1869" s="157"/>
      <c r="B1869" s="519"/>
      <c r="J1869" s="524"/>
      <c r="K1869" s="525"/>
    </row>
    <row r="1870" spans="1:11" s="520" customFormat="1" ht="15.75">
      <c r="A1870" s="157"/>
      <c r="B1870" s="519"/>
      <c r="J1870" s="524"/>
      <c r="K1870" s="525"/>
    </row>
    <row r="1871" spans="1:11" s="520" customFormat="1" ht="15.75">
      <c r="A1871" s="157"/>
      <c r="B1871" s="519"/>
      <c r="J1871" s="524"/>
      <c r="K1871" s="525"/>
    </row>
    <row r="1872" spans="1:11" s="520" customFormat="1" ht="15.75">
      <c r="A1872" s="157"/>
      <c r="B1872" s="519"/>
      <c r="J1872" s="524"/>
      <c r="K1872" s="525"/>
    </row>
    <row r="1873" spans="1:11" s="520" customFormat="1" ht="15.75">
      <c r="A1873" s="157"/>
      <c r="B1873" s="519"/>
      <c r="J1873" s="524"/>
      <c r="K1873" s="525"/>
    </row>
    <row r="1874" spans="1:11" s="520" customFormat="1" ht="15.75">
      <c r="A1874" s="157"/>
      <c r="B1874" s="519"/>
      <c r="J1874" s="524"/>
      <c r="K1874" s="525"/>
    </row>
    <row r="1875" spans="1:11" s="520" customFormat="1" ht="15.75">
      <c r="A1875" s="157"/>
      <c r="B1875" s="519"/>
      <c r="J1875" s="524"/>
      <c r="K1875" s="525"/>
    </row>
    <row r="1876" spans="1:11" s="520" customFormat="1" ht="15.75">
      <c r="A1876" s="157"/>
      <c r="B1876" s="519"/>
      <c r="J1876" s="524"/>
      <c r="K1876" s="525"/>
    </row>
    <row r="1877" spans="1:11" s="520" customFormat="1" ht="15.75">
      <c r="A1877" s="157"/>
      <c r="B1877" s="519"/>
      <c r="J1877" s="524"/>
      <c r="K1877" s="525"/>
    </row>
    <row r="1878" spans="1:11" s="520" customFormat="1" ht="15.75">
      <c r="A1878" s="157"/>
      <c r="B1878" s="519"/>
      <c r="J1878" s="524"/>
      <c r="K1878" s="525"/>
    </row>
    <row r="1879" spans="1:11" s="520" customFormat="1" ht="15.75">
      <c r="A1879" s="157"/>
      <c r="B1879" s="519"/>
      <c r="J1879" s="524"/>
      <c r="K1879" s="525"/>
    </row>
    <row r="1880" spans="1:11" s="520" customFormat="1" ht="15.75">
      <c r="A1880" s="157"/>
      <c r="B1880" s="519"/>
      <c r="J1880" s="524"/>
      <c r="K1880" s="525"/>
    </row>
    <row r="1881" spans="1:11" s="520" customFormat="1" ht="15.75">
      <c r="A1881" s="157"/>
      <c r="B1881" s="519"/>
      <c r="J1881" s="524"/>
      <c r="K1881" s="525"/>
    </row>
    <row r="1882" spans="1:11" s="520" customFormat="1" ht="15.75">
      <c r="A1882" s="157"/>
      <c r="B1882" s="519"/>
      <c r="J1882" s="524"/>
      <c r="K1882" s="525"/>
    </row>
    <row r="1883" spans="1:11" s="520" customFormat="1" ht="15.75">
      <c r="A1883" s="157"/>
      <c r="B1883" s="519"/>
      <c r="J1883" s="524"/>
      <c r="K1883" s="525"/>
    </row>
    <row r="1884" spans="1:11" s="520" customFormat="1" ht="15.75">
      <c r="A1884" s="157"/>
      <c r="B1884" s="519"/>
      <c r="J1884" s="524"/>
      <c r="K1884" s="525"/>
    </row>
    <row r="1885" spans="1:11" s="520" customFormat="1" ht="15.75">
      <c r="A1885" s="157"/>
      <c r="B1885" s="519"/>
      <c r="J1885" s="524"/>
      <c r="K1885" s="525"/>
    </row>
    <row r="1886" spans="1:11" s="520" customFormat="1" ht="15.75">
      <c r="A1886" s="157"/>
      <c r="B1886" s="519"/>
      <c r="J1886" s="524"/>
      <c r="K1886" s="525"/>
    </row>
    <row r="1887" spans="1:11" s="520" customFormat="1" ht="15.75">
      <c r="A1887" s="157"/>
      <c r="B1887" s="519"/>
      <c r="J1887" s="524"/>
      <c r="K1887" s="525"/>
    </row>
    <row r="1888" spans="1:11" s="520" customFormat="1" ht="15.75">
      <c r="A1888" s="157"/>
      <c r="B1888" s="519"/>
      <c r="J1888" s="524"/>
      <c r="K1888" s="525"/>
    </row>
    <row r="1889" spans="1:11" s="520" customFormat="1" ht="15.75">
      <c r="A1889" s="157"/>
      <c r="B1889" s="519"/>
      <c r="J1889" s="524"/>
      <c r="K1889" s="525"/>
    </row>
    <row r="1890" spans="1:11" s="520" customFormat="1" ht="15.75">
      <c r="A1890" s="157"/>
      <c r="B1890" s="519"/>
      <c r="J1890" s="524"/>
      <c r="K1890" s="525"/>
    </row>
    <row r="1891" spans="1:11" s="520" customFormat="1" ht="15.75">
      <c r="A1891" s="157"/>
      <c r="B1891" s="519"/>
      <c r="J1891" s="524"/>
      <c r="K1891" s="525"/>
    </row>
    <row r="1892" spans="1:11" s="520" customFormat="1" ht="15.75">
      <c r="A1892" s="157"/>
      <c r="B1892" s="519"/>
      <c r="J1892" s="524"/>
      <c r="K1892" s="525"/>
    </row>
    <row r="1893" spans="1:11" s="520" customFormat="1" ht="15.75">
      <c r="A1893" s="157"/>
      <c r="B1893" s="519"/>
      <c r="J1893" s="524"/>
      <c r="K1893" s="525"/>
    </row>
    <row r="1894" spans="1:11" s="520" customFormat="1" ht="15.75">
      <c r="A1894" s="157"/>
      <c r="B1894" s="519"/>
      <c r="J1894" s="524"/>
      <c r="K1894" s="525"/>
    </row>
    <row r="1895" spans="1:11" s="520" customFormat="1" ht="15.75">
      <c r="A1895" s="157"/>
      <c r="B1895" s="519"/>
      <c r="J1895" s="524"/>
      <c r="K1895" s="525"/>
    </row>
    <row r="1896" spans="1:11" s="520" customFormat="1" ht="15.75">
      <c r="A1896" s="157"/>
      <c r="B1896" s="519"/>
      <c r="J1896" s="524"/>
      <c r="K1896" s="525"/>
    </row>
    <row r="1897" spans="1:11" s="520" customFormat="1" ht="15.75">
      <c r="A1897" s="157"/>
      <c r="B1897" s="519"/>
      <c r="J1897" s="524"/>
      <c r="K1897" s="525"/>
    </row>
    <row r="1898" spans="1:11" s="520" customFormat="1" ht="15.75">
      <c r="A1898" s="157"/>
      <c r="B1898" s="519"/>
      <c r="J1898" s="524"/>
      <c r="K1898" s="525"/>
    </row>
    <row r="1899" spans="1:11" s="520" customFormat="1" ht="15.75">
      <c r="A1899" s="157"/>
      <c r="B1899" s="519"/>
      <c r="J1899" s="524"/>
      <c r="K1899" s="525"/>
    </row>
    <row r="1900" spans="1:11" s="520" customFormat="1" ht="15.75">
      <c r="A1900" s="157"/>
      <c r="B1900" s="519"/>
      <c r="J1900" s="524"/>
      <c r="K1900" s="525"/>
    </row>
    <row r="1901" spans="1:11" s="520" customFormat="1" ht="15.75">
      <c r="A1901" s="157"/>
      <c r="B1901" s="519"/>
      <c r="J1901" s="524"/>
      <c r="K1901" s="525"/>
    </row>
    <row r="1902" spans="1:11" s="520" customFormat="1" ht="15.75">
      <c r="A1902" s="157"/>
      <c r="B1902" s="519"/>
      <c r="J1902" s="524"/>
      <c r="K1902" s="525"/>
    </row>
    <row r="1903" spans="1:11" s="520" customFormat="1" ht="15.75">
      <c r="A1903" s="157"/>
      <c r="B1903" s="519"/>
      <c r="J1903" s="524"/>
      <c r="K1903" s="525"/>
    </row>
    <row r="1904" spans="1:11" s="520" customFormat="1" ht="15.75">
      <c r="A1904" s="157"/>
      <c r="B1904" s="519"/>
      <c r="J1904" s="524"/>
      <c r="K1904" s="525"/>
    </row>
    <row r="1905" spans="1:11" s="520" customFormat="1" ht="15.75">
      <c r="A1905" s="157"/>
      <c r="B1905" s="519"/>
      <c r="J1905" s="524"/>
      <c r="K1905" s="525"/>
    </row>
    <row r="1906" spans="1:11" s="520" customFormat="1" ht="15.75">
      <c r="A1906" s="157"/>
      <c r="B1906" s="519"/>
      <c r="J1906" s="524"/>
      <c r="K1906" s="525"/>
    </row>
    <row r="1907" spans="1:11" s="520" customFormat="1" ht="15.75">
      <c r="A1907" s="157"/>
      <c r="B1907" s="519"/>
      <c r="J1907" s="524"/>
      <c r="K1907" s="525"/>
    </row>
    <row r="1908" spans="1:11" s="520" customFormat="1" ht="15.75">
      <c r="A1908" s="157"/>
      <c r="B1908" s="519"/>
      <c r="J1908" s="524"/>
      <c r="K1908" s="525"/>
    </row>
    <row r="1909" spans="1:11" s="520" customFormat="1" ht="15.75">
      <c r="A1909" s="157"/>
      <c r="B1909" s="519"/>
      <c r="J1909" s="524"/>
      <c r="K1909" s="525"/>
    </row>
    <row r="1910" spans="1:11" s="520" customFormat="1" ht="15.75">
      <c r="A1910" s="157"/>
      <c r="B1910" s="519"/>
      <c r="J1910" s="524"/>
      <c r="K1910" s="525"/>
    </row>
    <row r="1911" spans="1:11" s="520" customFormat="1" ht="15.75">
      <c r="A1911" s="157"/>
      <c r="B1911" s="519"/>
      <c r="J1911" s="524"/>
      <c r="K1911" s="525"/>
    </row>
    <row r="1912" spans="1:11" s="520" customFormat="1" ht="15.75">
      <c r="A1912" s="157"/>
      <c r="B1912" s="519"/>
      <c r="J1912" s="524"/>
      <c r="K1912" s="525"/>
    </row>
    <row r="1913" spans="1:11" s="520" customFormat="1" ht="15.75">
      <c r="A1913" s="157"/>
      <c r="B1913" s="519"/>
      <c r="J1913" s="524"/>
      <c r="K1913" s="525"/>
    </row>
    <row r="1914" spans="1:11" s="520" customFormat="1" ht="15.75">
      <c r="A1914" s="157"/>
      <c r="B1914" s="519"/>
      <c r="J1914" s="524"/>
      <c r="K1914" s="525"/>
    </row>
    <row r="1915" spans="1:11" s="520" customFormat="1" ht="15.75">
      <c r="A1915" s="157"/>
      <c r="B1915" s="519"/>
      <c r="J1915" s="524"/>
      <c r="K1915" s="525"/>
    </row>
    <row r="1916" spans="1:11" s="520" customFormat="1" ht="15.75">
      <c r="A1916" s="157"/>
      <c r="B1916" s="519"/>
      <c r="J1916" s="524"/>
      <c r="K1916" s="525"/>
    </row>
    <row r="1917" spans="1:11" s="520" customFormat="1" ht="15.75">
      <c r="A1917" s="157"/>
      <c r="B1917" s="519"/>
      <c r="J1917" s="524"/>
      <c r="K1917" s="525"/>
    </row>
    <row r="1918" spans="1:11" s="520" customFormat="1" ht="15.75">
      <c r="A1918" s="157"/>
      <c r="B1918" s="519"/>
      <c r="J1918" s="524"/>
      <c r="K1918" s="525"/>
    </row>
    <row r="1919" spans="1:11" s="520" customFormat="1" ht="15.75">
      <c r="A1919" s="157"/>
      <c r="B1919" s="519"/>
      <c r="J1919" s="524"/>
      <c r="K1919" s="525"/>
    </row>
    <row r="1920" spans="1:11" s="520" customFormat="1" ht="15.75">
      <c r="A1920" s="157"/>
      <c r="B1920" s="519"/>
      <c r="J1920" s="524"/>
      <c r="K1920" s="525"/>
    </row>
    <row r="1921" spans="1:11" s="520" customFormat="1" ht="15.75">
      <c r="A1921" s="157"/>
      <c r="B1921" s="519"/>
      <c r="J1921" s="524"/>
      <c r="K1921" s="525"/>
    </row>
    <row r="1922" spans="1:11" s="520" customFormat="1" ht="15.75">
      <c r="A1922" s="157"/>
      <c r="B1922" s="519"/>
      <c r="J1922" s="524"/>
      <c r="K1922" s="525"/>
    </row>
    <row r="1923" spans="1:11" s="520" customFormat="1" ht="15.75">
      <c r="A1923" s="157"/>
      <c r="B1923" s="519"/>
      <c r="J1923" s="524"/>
      <c r="K1923" s="525"/>
    </row>
    <row r="1924" spans="1:11" s="520" customFormat="1" ht="15.75">
      <c r="A1924" s="157"/>
      <c r="B1924" s="519"/>
      <c r="J1924" s="524"/>
      <c r="K1924" s="525"/>
    </row>
    <row r="1925" spans="1:11" s="520" customFormat="1" ht="15.75">
      <c r="A1925" s="157"/>
      <c r="B1925" s="519"/>
      <c r="J1925" s="524"/>
      <c r="K1925" s="525"/>
    </row>
    <row r="1926" spans="1:11" s="520" customFormat="1" ht="15.75">
      <c r="A1926" s="157"/>
      <c r="B1926" s="519"/>
      <c r="J1926" s="524"/>
      <c r="K1926" s="525"/>
    </row>
    <row r="1927" spans="1:11" s="520" customFormat="1" ht="15.75">
      <c r="A1927" s="157"/>
      <c r="B1927" s="519"/>
      <c r="J1927" s="524"/>
      <c r="K1927" s="525"/>
    </row>
    <row r="1928" spans="1:11" s="520" customFormat="1" ht="15.75">
      <c r="A1928" s="157"/>
      <c r="B1928" s="519"/>
      <c r="J1928" s="524"/>
      <c r="K1928" s="525"/>
    </row>
    <row r="1929" spans="1:11" s="520" customFormat="1" ht="15.75">
      <c r="A1929" s="157"/>
      <c r="B1929" s="519"/>
      <c r="J1929" s="524"/>
      <c r="K1929" s="525"/>
    </row>
    <row r="1930" spans="1:11" s="520" customFormat="1" ht="15.75">
      <c r="A1930" s="157"/>
      <c r="B1930" s="519"/>
      <c r="J1930" s="524"/>
      <c r="K1930" s="525"/>
    </row>
    <row r="1931" spans="1:11" s="520" customFormat="1" ht="15.75">
      <c r="A1931" s="157"/>
      <c r="B1931" s="519"/>
      <c r="J1931" s="524"/>
      <c r="K1931" s="525"/>
    </row>
    <row r="1932" spans="1:11" s="520" customFormat="1" ht="15.75">
      <c r="A1932" s="157"/>
      <c r="B1932" s="519"/>
      <c r="J1932" s="524"/>
      <c r="K1932" s="525"/>
    </row>
    <row r="1933" spans="1:11" s="520" customFormat="1" ht="15.75">
      <c r="A1933" s="157"/>
      <c r="B1933" s="519"/>
      <c r="J1933" s="524"/>
      <c r="K1933" s="525"/>
    </row>
    <row r="1934" spans="1:11" s="520" customFormat="1" ht="15.75">
      <c r="A1934" s="157"/>
      <c r="B1934" s="519"/>
      <c r="J1934" s="524"/>
      <c r="K1934" s="525"/>
    </row>
    <row r="1935" spans="1:11" s="520" customFormat="1" ht="15.75">
      <c r="A1935" s="157"/>
      <c r="B1935" s="519"/>
      <c r="J1935" s="524"/>
      <c r="K1935" s="525"/>
    </row>
    <row r="1936" spans="1:11" s="520" customFormat="1" ht="15.75">
      <c r="A1936" s="157"/>
      <c r="B1936" s="519"/>
      <c r="J1936" s="524"/>
      <c r="K1936" s="525"/>
    </row>
    <row r="1937" spans="1:11" s="520" customFormat="1" ht="15.75">
      <c r="A1937" s="157"/>
      <c r="B1937" s="519"/>
      <c r="J1937" s="524"/>
      <c r="K1937" s="525"/>
    </row>
    <row r="1938" spans="1:11" s="520" customFormat="1" ht="15.75">
      <c r="A1938" s="157"/>
      <c r="B1938" s="519"/>
      <c r="J1938" s="524"/>
      <c r="K1938" s="525"/>
    </row>
    <row r="1939" spans="1:11" s="520" customFormat="1" ht="15.75">
      <c r="A1939" s="157"/>
      <c r="B1939" s="519"/>
      <c r="J1939" s="524"/>
      <c r="K1939" s="525"/>
    </row>
    <row r="1940" spans="1:11" s="520" customFormat="1" ht="15.75">
      <c r="A1940" s="157"/>
      <c r="B1940" s="519"/>
      <c r="J1940" s="524"/>
      <c r="K1940" s="525"/>
    </row>
    <row r="1941" spans="1:11" s="520" customFormat="1" ht="15.75">
      <c r="A1941" s="157"/>
      <c r="B1941" s="519"/>
      <c r="J1941" s="524"/>
      <c r="K1941" s="525"/>
    </row>
    <row r="1942" spans="1:11" s="520" customFormat="1" ht="15.75">
      <c r="A1942" s="157"/>
      <c r="B1942" s="519"/>
      <c r="J1942" s="524"/>
      <c r="K1942" s="525"/>
    </row>
    <row r="1943" spans="1:11" s="520" customFormat="1" ht="15.75">
      <c r="A1943" s="157"/>
      <c r="B1943" s="519"/>
      <c r="J1943" s="524"/>
      <c r="K1943" s="525"/>
    </row>
    <row r="1944" spans="1:11" s="520" customFormat="1" ht="15.75">
      <c r="A1944" s="157"/>
      <c r="B1944" s="519"/>
      <c r="J1944" s="524"/>
      <c r="K1944" s="525"/>
    </row>
    <row r="1945" spans="1:11" s="520" customFormat="1" ht="15.75">
      <c r="A1945" s="157"/>
      <c r="B1945" s="519"/>
      <c r="J1945" s="524"/>
      <c r="K1945" s="525"/>
    </row>
    <row r="1946" spans="1:11" s="520" customFormat="1" ht="15.75">
      <c r="A1946" s="157"/>
      <c r="B1946" s="519"/>
      <c r="J1946" s="524"/>
      <c r="K1946" s="525"/>
    </row>
    <row r="1947" spans="1:11" s="520" customFormat="1" ht="15.75">
      <c r="A1947" s="157"/>
      <c r="B1947" s="519"/>
      <c r="J1947" s="524"/>
      <c r="K1947" s="525"/>
    </row>
    <row r="1948" spans="1:11" s="520" customFormat="1" ht="15.75">
      <c r="A1948" s="157"/>
      <c r="B1948" s="519"/>
      <c r="J1948" s="524"/>
      <c r="K1948" s="525"/>
    </row>
    <row r="1949" spans="1:11" s="520" customFormat="1" ht="15.75">
      <c r="A1949" s="157"/>
      <c r="B1949" s="519"/>
      <c r="J1949" s="524"/>
      <c r="K1949" s="525"/>
    </row>
    <row r="1950" spans="1:11" s="520" customFormat="1" ht="15.75">
      <c r="A1950" s="157"/>
      <c r="B1950" s="519"/>
      <c r="J1950" s="524"/>
      <c r="K1950" s="525"/>
    </row>
    <row r="1951" spans="1:11" s="520" customFormat="1" ht="15.75">
      <c r="A1951" s="157"/>
      <c r="B1951" s="519"/>
      <c r="J1951" s="524"/>
      <c r="K1951" s="525"/>
    </row>
    <row r="1952" spans="1:11" s="520" customFormat="1" ht="15.75">
      <c r="A1952" s="157"/>
      <c r="B1952" s="519"/>
      <c r="J1952" s="524"/>
      <c r="K1952" s="525"/>
    </row>
    <row r="1953" spans="1:11" s="520" customFormat="1" ht="15.75">
      <c r="A1953" s="157"/>
      <c r="B1953" s="519"/>
      <c r="J1953" s="524"/>
      <c r="K1953" s="525"/>
    </row>
    <row r="1954" spans="1:11" s="520" customFormat="1" ht="15.75">
      <c r="A1954" s="157"/>
      <c r="B1954" s="519"/>
      <c r="J1954" s="524"/>
      <c r="K1954" s="525"/>
    </row>
    <row r="1955" spans="1:11" s="520" customFormat="1" ht="15.75">
      <c r="A1955" s="157"/>
      <c r="B1955" s="519"/>
      <c r="J1955" s="524"/>
      <c r="K1955" s="525"/>
    </row>
    <row r="1956" spans="1:11" s="520" customFormat="1" ht="15.75">
      <c r="A1956" s="157"/>
      <c r="B1956" s="519"/>
      <c r="J1956" s="524"/>
      <c r="K1956" s="525"/>
    </row>
    <row r="1957" spans="1:11" s="520" customFormat="1" ht="15.75">
      <c r="A1957" s="157"/>
      <c r="B1957" s="519"/>
      <c r="J1957" s="524"/>
      <c r="K1957" s="525"/>
    </row>
    <row r="1958" spans="1:11" s="520" customFormat="1" ht="15.75">
      <c r="A1958" s="157"/>
      <c r="B1958" s="519"/>
      <c r="J1958" s="524"/>
      <c r="K1958" s="525"/>
    </row>
    <row r="1959" spans="1:11" s="520" customFormat="1" ht="15.75">
      <c r="A1959" s="157"/>
      <c r="B1959" s="519"/>
      <c r="J1959" s="524"/>
      <c r="K1959" s="525"/>
    </row>
    <row r="1960" spans="1:11" s="520" customFormat="1" ht="15.75">
      <c r="A1960" s="157"/>
      <c r="B1960" s="519"/>
      <c r="J1960" s="524"/>
      <c r="K1960" s="525"/>
    </row>
    <row r="1961" spans="1:11" s="520" customFormat="1" ht="15.75">
      <c r="A1961" s="157"/>
      <c r="B1961" s="519"/>
      <c r="J1961" s="524"/>
      <c r="K1961" s="525"/>
    </row>
    <row r="1962" spans="1:11" s="520" customFormat="1" ht="15.75">
      <c r="A1962" s="157"/>
      <c r="B1962" s="519"/>
      <c r="J1962" s="524"/>
      <c r="K1962" s="525"/>
    </row>
    <row r="1963" spans="1:11" s="520" customFormat="1" ht="15.75">
      <c r="A1963" s="157"/>
      <c r="B1963" s="519"/>
      <c r="J1963" s="524"/>
      <c r="K1963" s="525"/>
    </row>
    <row r="1964" spans="1:11" s="520" customFormat="1" ht="15.75">
      <c r="A1964" s="157"/>
      <c r="B1964" s="519"/>
      <c r="J1964" s="524"/>
      <c r="K1964" s="525"/>
    </row>
    <row r="1965" spans="1:11" s="520" customFormat="1" ht="15.75">
      <c r="A1965" s="157"/>
      <c r="B1965" s="519"/>
      <c r="J1965" s="524"/>
      <c r="K1965" s="525"/>
    </row>
    <row r="1966" spans="1:11" s="520" customFormat="1" ht="15.75">
      <c r="A1966" s="157"/>
      <c r="B1966" s="519"/>
      <c r="J1966" s="524"/>
      <c r="K1966" s="525"/>
    </row>
    <row r="1967" spans="1:11" s="520" customFormat="1" ht="15.75">
      <c r="A1967" s="157"/>
      <c r="B1967" s="519"/>
      <c r="J1967" s="524"/>
      <c r="K1967" s="525"/>
    </row>
    <row r="1968" spans="1:11" s="520" customFormat="1" ht="15.75">
      <c r="A1968" s="157"/>
      <c r="B1968" s="519"/>
      <c r="J1968" s="524"/>
      <c r="K1968" s="525"/>
    </row>
    <row r="1969" spans="1:11" s="520" customFormat="1" ht="15.75">
      <c r="A1969" s="157"/>
      <c r="B1969" s="519"/>
      <c r="J1969" s="524"/>
      <c r="K1969" s="525"/>
    </row>
    <row r="1970" spans="1:11" s="520" customFormat="1" ht="15.75">
      <c r="A1970" s="157"/>
      <c r="B1970" s="519"/>
      <c r="J1970" s="524"/>
      <c r="K1970" s="525"/>
    </row>
    <row r="1971" spans="1:11" s="520" customFormat="1" ht="15.75">
      <c r="A1971" s="157"/>
      <c r="B1971" s="519"/>
      <c r="J1971" s="524"/>
      <c r="K1971" s="525"/>
    </row>
    <row r="1972" spans="1:11" s="520" customFormat="1" ht="15.75">
      <c r="A1972" s="157"/>
      <c r="B1972" s="519"/>
      <c r="J1972" s="524"/>
      <c r="K1972" s="525"/>
    </row>
    <row r="1973" spans="1:11" s="520" customFormat="1" ht="15.75">
      <c r="A1973" s="157"/>
      <c r="B1973" s="519"/>
      <c r="J1973" s="524"/>
      <c r="K1973" s="525"/>
    </row>
    <row r="1974" spans="1:11" s="520" customFormat="1" ht="15.75">
      <c r="A1974" s="157"/>
      <c r="B1974" s="519"/>
      <c r="J1974" s="524"/>
      <c r="K1974" s="525"/>
    </row>
    <row r="1975" spans="1:11" s="520" customFormat="1" ht="15.75">
      <c r="A1975" s="157"/>
      <c r="B1975" s="519"/>
      <c r="J1975" s="524"/>
      <c r="K1975" s="525"/>
    </row>
    <row r="1976" spans="1:11" s="520" customFormat="1" ht="15.75">
      <c r="A1976" s="157"/>
      <c r="B1976" s="519"/>
      <c r="J1976" s="524"/>
      <c r="K1976" s="525"/>
    </row>
    <row r="1977" spans="1:11" s="520" customFormat="1" ht="15.75">
      <c r="A1977" s="157"/>
      <c r="B1977" s="519"/>
      <c r="J1977" s="524"/>
      <c r="K1977" s="525"/>
    </row>
    <row r="1978" spans="1:11" s="520" customFormat="1" ht="15.75">
      <c r="A1978" s="157"/>
      <c r="B1978" s="519"/>
      <c r="J1978" s="524"/>
      <c r="K1978" s="525"/>
    </row>
    <row r="1979" spans="1:11" s="520" customFormat="1" ht="15.75">
      <c r="A1979" s="157"/>
      <c r="B1979" s="519"/>
      <c r="J1979" s="524"/>
      <c r="K1979" s="525"/>
    </row>
    <row r="1980" spans="1:11" s="520" customFormat="1" ht="15.75">
      <c r="A1980" s="157"/>
      <c r="B1980" s="519"/>
      <c r="J1980" s="524"/>
      <c r="K1980" s="525"/>
    </row>
    <row r="1981" spans="1:11" s="520" customFormat="1" ht="15.75">
      <c r="A1981" s="157"/>
      <c r="B1981" s="519"/>
      <c r="J1981" s="524"/>
      <c r="K1981" s="525"/>
    </row>
    <row r="1982" spans="1:11" s="520" customFormat="1" ht="15.75">
      <c r="A1982" s="157"/>
      <c r="B1982" s="519"/>
      <c r="J1982" s="524"/>
      <c r="K1982" s="525"/>
    </row>
    <row r="1983" spans="1:11" s="520" customFormat="1" ht="15.75">
      <c r="A1983" s="157"/>
      <c r="B1983" s="519"/>
      <c r="J1983" s="524"/>
      <c r="K1983" s="525"/>
    </row>
    <row r="1984" spans="1:11" s="520" customFormat="1" ht="15.75">
      <c r="A1984" s="157"/>
      <c r="B1984" s="519"/>
      <c r="J1984" s="524"/>
      <c r="K1984" s="525"/>
    </row>
    <row r="1985" spans="1:11" s="520" customFormat="1" ht="15.75">
      <c r="A1985" s="157"/>
      <c r="B1985" s="519"/>
      <c r="J1985" s="524"/>
      <c r="K1985" s="525"/>
    </row>
    <row r="1986" spans="1:11" s="520" customFormat="1" ht="15.75">
      <c r="A1986" s="157"/>
      <c r="B1986" s="519"/>
      <c r="J1986" s="524"/>
      <c r="K1986" s="525"/>
    </row>
    <row r="1987" spans="1:11" s="520" customFormat="1" ht="15.75">
      <c r="A1987" s="157"/>
      <c r="B1987" s="519"/>
      <c r="J1987" s="524"/>
      <c r="K1987" s="525"/>
    </row>
    <row r="1988" spans="1:11" s="520" customFormat="1" ht="15.75">
      <c r="A1988" s="157"/>
      <c r="B1988" s="519"/>
      <c r="J1988" s="524"/>
      <c r="K1988" s="525"/>
    </row>
    <row r="1989" spans="1:11" s="520" customFormat="1" ht="15.75">
      <c r="A1989" s="157"/>
      <c r="B1989" s="519"/>
      <c r="J1989" s="524"/>
      <c r="K1989" s="525"/>
    </row>
    <row r="1990" spans="1:11" s="520" customFormat="1" ht="15.75">
      <c r="A1990" s="157"/>
      <c r="B1990" s="519"/>
      <c r="J1990" s="524"/>
      <c r="K1990" s="525"/>
    </row>
    <row r="1991" spans="1:11" s="520" customFormat="1" ht="15.75">
      <c r="A1991" s="157"/>
      <c r="B1991" s="519"/>
      <c r="J1991" s="524"/>
      <c r="K1991" s="525"/>
    </row>
    <row r="1992" spans="1:11" s="520" customFormat="1" ht="15.75">
      <c r="A1992" s="157"/>
      <c r="B1992" s="519"/>
      <c r="J1992" s="524"/>
      <c r="K1992" s="525"/>
    </row>
    <row r="1993" spans="1:11" s="520" customFormat="1" ht="15.75">
      <c r="A1993" s="157"/>
      <c r="B1993" s="519"/>
      <c r="J1993" s="524"/>
      <c r="K1993" s="525"/>
    </row>
    <row r="1994" spans="1:11" s="520" customFormat="1" ht="15.75">
      <c r="A1994" s="157"/>
      <c r="B1994" s="519"/>
      <c r="J1994" s="524"/>
      <c r="K1994" s="525"/>
    </row>
    <row r="1995" spans="1:11" s="520" customFormat="1" ht="15.75">
      <c r="A1995" s="157"/>
      <c r="B1995" s="519"/>
      <c r="J1995" s="524"/>
      <c r="K1995" s="525"/>
    </row>
    <row r="1996" spans="1:11" s="520" customFormat="1" ht="15.75">
      <c r="A1996" s="157"/>
      <c r="B1996" s="519"/>
      <c r="J1996" s="524"/>
      <c r="K1996" s="525"/>
    </row>
    <row r="1997" spans="1:11" s="520" customFormat="1" ht="15.75">
      <c r="A1997" s="157"/>
      <c r="B1997" s="519"/>
      <c r="J1997" s="524"/>
      <c r="K1997" s="525"/>
    </row>
    <row r="1998" spans="1:11" s="520" customFormat="1" ht="15.75">
      <c r="A1998" s="157"/>
      <c r="B1998" s="519"/>
      <c r="J1998" s="524"/>
      <c r="K1998" s="525"/>
    </row>
    <row r="1999" spans="1:11" s="520" customFormat="1" ht="15.75">
      <c r="A1999" s="157"/>
      <c r="B1999" s="519"/>
      <c r="J1999" s="524"/>
      <c r="K1999" s="525"/>
    </row>
    <row r="2000" spans="1:11" s="520" customFormat="1" ht="15.75">
      <c r="A2000" s="157"/>
      <c r="B2000" s="519"/>
      <c r="J2000" s="524"/>
      <c r="K2000" s="525"/>
    </row>
    <row r="2001" spans="1:11" s="520" customFormat="1" ht="15.75">
      <c r="A2001" s="157"/>
      <c r="B2001" s="519"/>
      <c r="J2001" s="524"/>
      <c r="K2001" s="525"/>
    </row>
    <row r="2002" spans="1:11" s="520" customFormat="1" ht="15.75">
      <c r="A2002" s="157"/>
      <c r="B2002" s="519"/>
      <c r="J2002" s="524"/>
      <c r="K2002" s="525"/>
    </row>
    <row r="2003" spans="1:11" s="520" customFormat="1" ht="15.75">
      <c r="A2003" s="157"/>
      <c r="B2003" s="519"/>
      <c r="J2003" s="524"/>
      <c r="K2003" s="525"/>
    </row>
    <row r="2004" spans="1:11" s="520" customFormat="1" ht="15.75">
      <c r="A2004" s="157"/>
      <c r="B2004" s="519"/>
      <c r="J2004" s="524"/>
      <c r="K2004" s="525"/>
    </row>
    <row r="2005" spans="1:11" s="520" customFormat="1" ht="15.75">
      <c r="A2005" s="157"/>
      <c r="B2005" s="519"/>
      <c r="J2005" s="524"/>
      <c r="K2005" s="525"/>
    </row>
    <row r="2006" spans="1:11" s="520" customFormat="1" ht="15.75">
      <c r="A2006" s="157"/>
      <c r="B2006" s="519"/>
      <c r="J2006" s="524"/>
      <c r="K2006" s="525"/>
    </row>
    <row r="2007" spans="1:11" s="520" customFormat="1" ht="15.75">
      <c r="A2007" s="157"/>
      <c r="B2007" s="519"/>
      <c r="J2007" s="524"/>
      <c r="K2007" s="525"/>
    </row>
    <row r="2008" spans="1:11" s="520" customFormat="1" ht="15.75">
      <c r="A2008" s="157"/>
      <c r="B2008" s="519"/>
      <c r="J2008" s="524"/>
      <c r="K2008" s="525"/>
    </row>
    <row r="2009" spans="1:11" s="520" customFormat="1" ht="15.75">
      <c r="A2009" s="157"/>
      <c r="B2009" s="519"/>
      <c r="J2009" s="524"/>
      <c r="K2009" s="525"/>
    </row>
    <row r="2010" spans="1:11" s="520" customFormat="1" ht="15.75">
      <c r="A2010" s="157"/>
      <c r="B2010" s="519"/>
      <c r="J2010" s="524"/>
      <c r="K2010" s="525"/>
    </row>
    <row r="2011" spans="1:11" s="520" customFormat="1" ht="15.75">
      <c r="A2011" s="157"/>
      <c r="B2011" s="519"/>
      <c r="J2011" s="524"/>
      <c r="K2011" s="525"/>
    </row>
    <row r="2012" spans="1:11" s="520" customFormat="1" ht="15.75">
      <c r="A2012" s="157"/>
      <c r="B2012" s="519"/>
      <c r="J2012" s="524"/>
      <c r="K2012" s="525"/>
    </row>
    <row r="2013" spans="1:11" s="520" customFormat="1" ht="15.75">
      <c r="A2013" s="157"/>
      <c r="B2013" s="519"/>
      <c r="J2013" s="524"/>
      <c r="K2013" s="525"/>
    </row>
    <row r="2014" spans="1:11" s="520" customFormat="1" ht="15.75">
      <c r="A2014" s="157"/>
      <c r="B2014" s="519"/>
      <c r="J2014" s="524"/>
      <c r="K2014" s="525"/>
    </row>
    <row r="2015" spans="1:11" s="520" customFormat="1" ht="15.75">
      <c r="A2015" s="157"/>
      <c r="B2015" s="519"/>
      <c r="J2015" s="524"/>
      <c r="K2015" s="525"/>
    </row>
    <row r="2016" spans="1:11" s="520" customFormat="1" ht="15.75">
      <c r="A2016" s="157"/>
      <c r="B2016" s="519"/>
      <c r="J2016" s="524"/>
      <c r="K2016" s="525"/>
    </row>
    <row r="2017" spans="1:11" s="520" customFormat="1" ht="15.75">
      <c r="A2017" s="157"/>
      <c r="B2017" s="519"/>
      <c r="J2017" s="524"/>
      <c r="K2017" s="525"/>
    </row>
    <row r="2018" spans="1:11" s="520" customFormat="1" ht="15.75">
      <c r="A2018" s="157"/>
      <c r="B2018" s="519"/>
      <c r="J2018" s="524"/>
      <c r="K2018" s="525"/>
    </row>
    <row r="2019" spans="1:11" s="520" customFormat="1" ht="15.75">
      <c r="A2019" s="157"/>
      <c r="B2019" s="519"/>
      <c r="J2019" s="524"/>
      <c r="K2019" s="525"/>
    </row>
    <row r="2020" spans="1:11" s="520" customFormat="1" ht="15.75">
      <c r="A2020" s="157"/>
      <c r="B2020" s="519"/>
      <c r="J2020" s="524"/>
      <c r="K2020" s="525"/>
    </row>
    <row r="2021" spans="1:11" s="520" customFormat="1" ht="15.75">
      <c r="A2021" s="157"/>
      <c r="B2021" s="519"/>
      <c r="J2021" s="524"/>
      <c r="K2021" s="525"/>
    </row>
    <row r="2022" spans="1:11" s="520" customFormat="1" ht="15.75">
      <c r="A2022" s="157"/>
      <c r="B2022" s="519"/>
      <c r="J2022" s="524"/>
      <c r="K2022" s="525"/>
    </row>
    <row r="2023" spans="1:11" s="520" customFormat="1" ht="15.75">
      <c r="A2023" s="157"/>
      <c r="B2023" s="519"/>
      <c r="J2023" s="524"/>
      <c r="K2023" s="525"/>
    </row>
    <row r="2024" spans="1:11" s="520" customFormat="1" ht="15.75">
      <c r="A2024" s="157"/>
      <c r="B2024" s="519"/>
      <c r="J2024" s="524"/>
      <c r="K2024" s="525"/>
    </row>
    <row r="2025" spans="1:11" s="520" customFormat="1" ht="15.75">
      <c r="A2025" s="157"/>
      <c r="B2025" s="519"/>
      <c r="J2025" s="524"/>
      <c r="K2025" s="525"/>
    </row>
    <row r="2026" spans="1:11" s="520" customFormat="1" ht="15.75">
      <c r="A2026" s="157"/>
      <c r="B2026" s="519"/>
      <c r="J2026" s="524"/>
      <c r="K2026" s="525"/>
    </row>
    <row r="2027" spans="1:11" s="520" customFormat="1" ht="15.75">
      <c r="A2027" s="157"/>
      <c r="B2027" s="519"/>
      <c r="J2027" s="524"/>
      <c r="K2027" s="525"/>
    </row>
    <row r="2028" spans="1:11" s="520" customFormat="1" ht="15.75">
      <c r="A2028" s="157"/>
      <c r="B2028" s="519"/>
      <c r="J2028" s="524"/>
      <c r="K2028" s="525"/>
    </row>
    <row r="2029" spans="1:11" s="520" customFormat="1" ht="15.75">
      <c r="A2029" s="157"/>
      <c r="B2029" s="519"/>
      <c r="J2029" s="524"/>
      <c r="K2029" s="525"/>
    </row>
    <row r="2030" spans="1:11" s="520" customFormat="1" ht="15.75">
      <c r="A2030" s="157"/>
      <c r="B2030" s="519"/>
      <c r="J2030" s="524"/>
      <c r="K2030" s="525"/>
    </row>
    <row r="2031" spans="1:11" s="520" customFormat="1" ht="15.75">
      <c r="A2031" s="157"/>
      <c r="B2031" s="519"/>
      <c r="J2031" s="524"/>
      <c r="K2031" s="525"/>
    </row>
    <row r="2032" spans="1:11" s="520" customFormat="1" ht="15.75">
      <c r="A2032" s="157"/>
      <c r="B2032" s="519"/>
      <c r="J2032" s="524"/>
      <c r="K2032" s="525"/>
    </row>
    <row r="2033" spans="1:11" s="520" customFormat="1" ht="15.75">
      <c r="A2033" s="157"/>
      <c r="B2033" s="519"/>
      <c r="J2033" s="524"/>
      <c r="K2033" s="525"/>
    </row>
    <row r="2034" spans="1:11" s="520" customFormat="1" ht="15.75">
      <c r="A2034" s="157"/>
      <c r="B2034" s="519"/>
      <c r="J2034" s="524"/>
      <c r="K2034" s="525"/>
    </row>
    <row r="2035" spans="1:11" s="520" customFormat="1" ht="15.75">
      <c r="A2035" s="157"/>
      <c r="B2035" s="519"/>
      <c r="J2035" s="524"/>
      <c r="K2035" s="525"/>
    </row>
    <row r="2036" spans="1:11" s="520" customFormat="1" ht="15.75">
      <c r="A2036" s="157"/>
      <c r="B2036" s="519"/>
      <c r="J2036" s="524"/>
      <c r="K2036" s="525"/>
    </row>
    <row r="2037" spans="1:11" s="520" customFormat="1" ht="15.75">
      <c r="A2037" s="157"/>
      <c r="B2037" s="519"/>
      <c r="J2037" s="524"/>
      <c r="K2037" s="525"/>
    </row>
    <row r="2038" spans="1:11" s="520" customFormat="1" ht="15.75">
      <c r="A2038" s="157"/>
      <c r="B2038" s="519"/>
      <c r="J2038" s="524"/>
      <c r="K2038" s="525"/>
    </row>
    <row r="2039" spans="1:11" s="520" customFormat="1" ht="15.75">
      <c r="A2039" s="157"/>
      <c r="B2039" s="519"/>
      <c r="J2039" s="524"/>
      <c r="K2039" s="525"/>
    </row>
    <row r="2040" spans="1:11" s="520" customFormat="1" ht="15.75">
      <c r="A2040" s="157"/>
      <c r="B2040" s="519"/>
      <c r="J2040" s="524"/>
      <c r="K2040" s="525"/>
    </row>
    <row r="2041" spans="1:11" s="520" customFormat="1" ht="15.75">
      <c r="A2041" s="157"/>
      <c r="B2041" s="519"/>
      <c r="J2041" s="524"/>
      <c r="K2041" s="525"/>
    </row>
    <row r="2042" spans="1:11" s="520" customFormat="1" ht="15.75">
      <c r="A2042" s="157"/>
      <c r="B2042" s="519"/>
      <c r="J2042" s="524"/>
      <c r="K2042" s="525"/>
    </row>
    <row r="2043" spans="1:11" s="520" customFormat="1" ht="15.75">
      <c r="A2043" s="157"/>
      <c r="B2043" s="519"/>
      <c r="J2043" s="524"/>
      <c r="K2043" s="525"/>
    </row>
    <row r="2044" spans="1:11" s="520" customFormat="1" ht="15.75">
      <c r="A2044" s="157"/>
      <c r="B2044" s="519"/>
      <c r="J2044" s="524"/>
      <c r="K2044" s="525"/>
    </row>
    <row r="2045" spans="1:11" s="520" customFormat="1" ht="15.75">
      <c r="A2045" s="157"/>
      <c r="B2045" s="519"/>
      <c r="J2045" s="524"/>
      <c r="K2045" s="525"/>
    </row>
    <row r="2046" spans="1:11" s="520" customFormat="1" ht="15.75">
      <c r="A2046" s="157"/>
      <c r="B2046" s="519"/>
      <c r="J2046" s="524"/>
      <c r="K2046" s="525"/>
    </row>
    <row r="2047" spans="1:11" s="520" customFormat="1" ht="15.75">
      <c r="A2047" s="157"/>
      <c r="B2047" s="519"/>
      <c r="J2047" s="524"/>
      <c r="K2047" s="525"/>
    </row>
    <row r="2048" spans="1:11" s="520" customFormat="1" ht="15.75">
      <c r="A2048" s="157"/>
      <c r="B2048" s="519"/>
      <c r="J2048" s="524"/>
      <c r="K2048" s="525"/>
    </row>
    <row r="2049" spans="1:11" s="520" customFormat="1" ht="15.75">
      <c r="A2049" s="157"/>
      <c r="B2049" s="519"/>
      <c r="J2049" s="524"/>
      <c r="K2049" s="525"/>
    </row>
    <row r="2050" spans="1:11" s="520" customFormat="1" ht="15.75">
      <c r="A2050" s="157"/>
      <c r="B2050" s="519"/>
      <c r="J2050" s="524"/>
      <c r="K2050" s="525"/>
    </row>
    <row r="2051" spans="1:11" s="520" customFormat="1" ht="15.75">
      <c r="A2051" s="157"/>
      <c r="B2051" s="519"/>
      <c r="J2051" s="524"/>
      <c r="K2051" s="525"/>
    </row>
    <row r="2052" spans="1:11" s="520" customFormat="1" ht="15.75">
      <c r="A2052" s="157"/>
      <c r="B2052" s="519"/>
      <c r="J2052" s="524"/>
      <c r="K2052" s="525"/>
    </row>
    <row r="2053" spans="1:11" s="520" customFormat="1" ht="15.75">
      <c r="A2053" s="157"/>
      <c r="B2053" s="519"/>
      <c r="J2053" s="524"/>
      <c r="K2053" s="525"/>
    </row>
    <row r="2054" spans="1:11" s="520" customFormat="1" ht="15.75">
      <c r="A2054" s="157"/>
      <c r="B2054" s="519"/>
      <c r="J2054" s="524"/>
      <c r="K2054" s="525"/>
    </row>
    <row r="2055" spans="1:11" s="520" customFormat="1" ht="15.75">
      <c r="A2055" s="157"/>
      <c r="B2055" s="519"/>
      <c r="J2055" s="524"/>
      <c r="K2055" s="525"/>
    </row>
    <row r="2056" spans="1:11" s="520" customFormat="1" ht="15.75">
      <c r="A2056" s="157"/>
      <c r="B2056" s="519"/>
      <c r="J2056" s="524"/>
      <c r="K2056" s="525"/>
    </row>
    <row r="2057" spans="1:11" s="520" customFormat="1" ht="15.75">
      <c r="A2057" s="157"/>
      <c r="B2057" s="519"/>
      <c r="J2057" s="524"/>
      <c r="K2057" s="525"/>
    </row>
    <row r="2058" spans="1:11" s="520" customFormat="1" ht="15.75">
      <c r="A2058" s="157"/>
      <c r="B2058" s="519"/>
      <c r="J2058" s="524"/>
      <c r="K2058" s="525"/>
    </row>
    <row r="2059" spans="1:11" s="520" customFormat="1" ht="15.75">
      <c r="A2059" s="157"/>
      <c r="B2059" s="519"/>
      <c r="J2059" s="524"/>
      <c r="K2059" s="525"/>
    </row>
    <row r="2060" spans="1:11" s="520" customFormat="1" ht="15.75">
      <c r="A2060" s="157"/>
      <c r="B2060" s="519"/>
      <c r="J2060" s="524"/>
      <c r="K2060" s="525"/>
    </row>
    <row r="2061" spans="1:11" s="520" customFormat="1" ht="15.75">
      <c r="A2061" s="157"/>
      <c r="B2061" s="519"/>
      <c r="J2061" s="524"/>
      <c r="K2061" s="525"/>
    </row>
    <row r="2062" spans="1:11" s="520" customFormat="1" ht="15.75">
      <c r="A2062" s="157"/>
      <c r="B2062" s="519"/>
      <c r="J2062" s="524"/>
      <c r="K2062" s="525"/>
    </row>
    <row r="2063" spans="1:11" s="520" customFormat="1" ht="15.75">
      <c r="A2063" s="157"/>
      <c r="B2063" s="519"/>
      <c r="J2063" s="524"/>
      <c r="K2063" s="525"/>
    </row>
    <row r="2064" spans="1:11" s="520" customFormat="1" ht="15.75">
      <c r="A2064" s="157"/>
      <c r="B2064" s="519"/>
      <c r="J2064" s="524"/>
      <c r="K2064" s="525"/>
    </row>
    <row r="2065" spans="1:11" s="520" customFormat="1" ht="15.75">
      <c r="A2065" s="157"/>
      <c r="B2065" s="519"/>
      <c r="J2065" s="524"/>
      <c r="K2065" s="525"/>
    </row>
    <row r="2066" spans="1:11" s="520" customFormat="1" ht="15.75">
      <c r="A2066" s="157"/>
      <c r="B2066" s="519"/>
      <c r="J2066" s="524"/>
      <c r="K2066" s="525"/>
    </row>
    <row r="2067" spans="1:11" s="520" customFormat="1" ht="15.75">
      <c r="A2067" s="157"/>
      <c r="B2067" s="519"/>
      <c r="J2067" s="524"/>
      <c r="K2067" s="525"/>
    </row>
    <row r="2068" spans="1:11" s="520" customFormat="1" ht="15.75">
      <c r="A2068" s="157"/>
      <c r="B2068" s="519"/>
      <c r="J2068" s="524"/>
      <c r="K2068" s="525"/>
    </row>
    <row r="2069" spans="1:11" s="520" customFormat="1" ht="15.75">
      <c r="A2069" s="157"/>
      <c r="B2069" s="519"/>
      <c r="J2069" s="524"/>
      <c r="K2069" s="525"/>
    </row>
    <row r="2070" spans="1:11" s="520" customFormat="1" ht="15.75">
      <c r="A2070" s="157"/>
      <c r="B2070" s="519"/>
      <c r="J2070" s="524"/>
      <c r="K2070" s="525"/>
    </row>
    <row r="2071" spans="1:11" s="520" customFormat="1" ht="15.75">
      <c r="A2071" s="157"/>
      <c r="B2071" s="519"/>
      <c r="J2071" s="524"/>
      <c r="K2071" s="525"/>
    </row>
    <row r="2072" spans="1:11" s="520" customFormat="1" ht="15.75">
      <c r="A2072" s="157"/>
      <c r="B2072" s="519"/>
      <c r="J2072" s="524"/>
      <c r="K2072" s="525"/>
    </row>
    <row r="2073" spans="1:11" s="520" customFormat="1" ht="15.75">
      <c r="A2073" s="157"/>
      <c r="B2073" s="519"/>
      <c r="J2073" s="524"/>
      <c r="K2073" s="525"/>
    </row>
    <row r="2074" spans="1:11" s="520" customFormat="1" ht="15.75">
      <c r="A2074" s="157"/>
      <c r="B2074" s="519"/>
      <c r="J2074" s="524"/>
      <c r="K2074" s="525"/>
    </row>
    <row r="2075" spans="1:11" s="520" customFormat="1" ht="15.75">
      <c r="A2075" s="157"/>
      <c r="B2075" s="519"/>
      <c r="J2075" s="524"/>
      <c r="K2075" s="525"/>
    </row>
    <row r="2076" spans="1:11" s="520" customFormat="1" ht="15.75">
      <c r="A2076" s="157"/>
      <c r="B2076" s="519"/>
      <c r="J2076" s="524"/>
      <c r="K2076" s="525"/>
    </row>
    <row r="2077" spans="1:11" s="520" customFormat="1" ht="15.75">
      <c r="A2077" s="157"/>
      <c r="B2077" s="519"/>
      <c r="J2077" s="524"/>
      <c r="K2077" s="525"/>
    </row>
    <row r="2078" spans="1:11" s="520" customFormat="1" ht="15.75">
      <c r="A2078" s="157"/>
      <c r="B2078" s="519"/>
      <c r="J2078" s="524"/>
      <c r="K2078" s="525"/>
    </row>
    <row r="2079" spans="1:11" s="520" customFormat="1" ht="15.75">
      <c r="A2079" s="157"/>
      <c r="B2079" s="519"/>
      <c r="J2079" s="524"/>
      <c r="K2079" s="525"/>
    </row>
    <row r="2080" spans="1:11" s="520" customFormat="1" ht="15.75">
      <c r="A2080" s="157"/>
      <c r="B2080" s="519"/>
      <c r="J2080" s="524"/>
      <c r="K2080" s="525"/>
    </row>
    <row r="2081" spans="1:11" s="520" customFormat="1" ht="15.75">
      <c r="A2081" s="157"/>
      <c r="B2081" s="519"/>
      <c r="J2081" s="524"/>
      <c r="K2081" s="525"/>
    </row>
    <row r="2082" spans="1:11" s="520" customFormat="1" ht="15.75">
      <c r="A2082" s="157"/>
      <c r="B2082" s="519"/>
      <c r="J2082" s="524"/>
      <c r="K2082" s="525"/>
    </row>
    <row r="2083" spans="1:11" s="520" customFormat="1" ht="15.75">
      <c r="A2083" s="157"/>
      <c r="B2083" s="519"/>
      <c r="J2083" s="524"/>
      <c r="K2083" s="525"/>
    </row>
    <row r="2084" spans="1:11" s="520" customFormat="1" ht="15.75">
      <c r="A2084" s="157"/>
      <c r="B2084" s="519"/>
      <c r="J2084" s="524"/>
      <c r="K2084" s="525"/>
    </row>
    <row r="2085" spans="1:11" s="520" customFormat="1" ht="15.75">
      <c r="A2085" s="157"/>
      <c r="B2085" s="519"/>
      <c r="J2085" s="524"/>
      <c r="K2085" s="525"/>
    </row>
    <row r="2086" spans="1:11" s="520" customFormat="1" ht="15.75">
      <c r="A2086" s="157"/>
      <c r="B2086" s="519"/>
      <c r="J2086" s="524"/>
      <c r="K2086" s="525"/>
    </row>
    <row r="2087" spans="1:11" s="520" customFormat="1" ht="15.75">
      <c r="A2087" s="157"/>
      <c r="B2087" s="519"/>
      <c r="J2087" s="524"/>
      <c r="K2087" s="525"/>
    </row>
    <row r="2088" spans="1:11" s="520" customFormat="1" ht="15.75">
      <c r="A2088" s="157"/>
      <c r="B2088" s="519"/>
      <c r="J2088" s="524"/>
      <c r="K2088" s="525"/>
    </row>
    <row r="2089" spans="1:11" s="520" customFormat="1" ht="15.75">
      <c r="A2089" s="157"/>
      <c r="B2089" s="519"/>
      <c r="J2089" s="524"/>
      <c r="K2089" s="525"/>
    </row>
    <row r="2090" spans="1:11" s="520" customFormat="1" ht="15.75">
      <c r="A2090" s="157"/>
      <c r="B2090" s="519"/>
      <c r="J2090" s="524"/>
      <c r="K2090" s="525"/>
    </row>
    <row r="2091" spans="1:11" s="520" customFormat="1" ht="15.75">
      <c r="A2091" s="157"/>
      <c r="B2091" s="519"/>
      <c r="J2091" s="524"/>
      <c r="K2091" s="525"/>
    </row>
    <row r="2092" spans="1:11" s="520" customFormat="1" ht="15.75">
      <c r="A2092" s="157"/>
      <c r="B2092" s="519"/>
      <c r="J2092" s="524"/>
      <c r="K2092" s="525"/>
    </row>
    <row r="2093" spans="1:11" s="520" customFormat="1" ht="15.75">
      <c r="A2093" s="157"/>
      <c r="B2093" s="519"/>
      <c r="J2093" s="524"/>
      <c r="K2093" s="525"/>
    </row>
    <row r="2094" spans="1:11" s="520" customFormat="1" ht="15.75">
      <c r="A2094" s="157"/>
      <c r="B2094" s="519"/>
      <c r="J2094" s="524"/>
      <c r="K2094" s="525"/>
    </row>
    <row r="2095" spans="1:11" s="520" customFormat="1" ht="15.75">
      <c r="A2095" s="157"/>
      <c r="B2095" s="519"/>
      <c r="J2095" s="524"/>
      <c r="K2095" s="525"/>
    </row>
    <row r="2096" spans="1:11" s="520" customFormat="1" ht="15.75">
      <c r="A2096" s="157"/>
      <c r="B2096" s="519"/>
      <c r="J2096" s="524"/>
      <c r="K2096" s="525"/>
    </row>
    <row r="2097" spans="1:11" s="520" customFormat="1" ht="15.75">
      <c r="A2097" s="157"/>
      <c r="B2097" s="519"/>
      <c r="J2097" s="524"/>
      <c r="K2097" s="525"/>
    </row>
    <row r="2098" spans="1:11" s="520" customFormat="1" ht="15.75">
      <c r="A2098" s="157"/>
      <c r="B2098" s="519"/>
      <c r="J2098" s="524"/>
      <c r="K2098" s="525"/>
    </row>
    <row r="2099" spans="1:11" s="520" customFormat="1" ht="15.75">
      <c r="A2099" s="157"/>
      <c r="B2099" s="519"/>
      <c r="J2099" s="524"/>
      <c r="K2099" s="525"/>
    </row>
    <row r="2100" spans="1:11" s="520" customFormat="1" ht="15.75">
      <c r="A2100" s="157"/>
      <c r="B2100" s="519"/>
      <c r="J2100" s="524"/>
      <c r="K2100" s="525"/>
    </row>
    <row r="2101" spans="1:11" s="520" customFormat="1" ht="15.75">
      <c r="A2101" s="157"/>
      <c r="B2101" s="519"/>
      <c r="J2101" s="524"/>
      <c r="K2101" s="525"/>
    </row>
    <row r="2102" spans="1:11" s="520" customFormat="1" ht="15.75">
      <c r="A2102" s="157"/>
      <c r="B2102" s="519"/>
      <c r="J2102" s="524"/>
      <c r="K2102" s="525"/>
    </row>
    <row r="2103" spans="1:11" s="520" customFormat="1" ht="15.75">
      <c r="A2103" s="157"/>
      <c r="B2103" s="519"/>
      <c r="J2103" s="524"/>
      <c r="K2103" s="525"/>
    </row>
    <row r="2104" spans="1:11" s="520" customFormat="1" ht="15.75">
      <c r="A2104" s="157"/>
      <c r="B2104" s="519"/>
      <c r="J2104" s="524"/>
      <c r="K2104" s="525"/>
    </row>
    <row r="2105" spans="1:11" s="520" customFormat="1" ht="15.75">
      <c r="A2105" s="157"/>
      <c r="B2105" s="519"/>
      <c r="J2105" s="524"/>
      <c r="K2105" s="525"/>
    </row>
    <row r="2106" spans="1:11" s="520" customFormat="1" ht="15.75">
      <c r="A2106" s="157"/>
      <c r="B2106" s="519"/>
      <c r="J2106" s="524"/>
      <c r="K2106" s="525"/>
    </row>
    <row r="2107" spans="1:11" s="520" customFormat="1" ht="15.75">
      <c r="A2107" s="157"/>
      <c r="B2107" s="519"/>
      <c r="J2107" s="524"/>
      <c r="K2107" s="525"/>
    </row>
    <row r="2108" spans="1:11" s="520" customFormat="1" ht="15.75">
      <c r="A2108" s="157"/>
      <c r="B2108" s="519"/>
      <c r="J2108" s="524"/>
      <c r="K2108" s="525"/>
    </row>
    <row r="2109" spans="1:11" s="520" customFormat="1" ht="15.75">
      <c r="A2109" s="157"/>
      <c r="B2109" s="519"/>
      <c r="J2109" s="524"/>
      <c r="K2109" s="525"/>
    </row>
    <row r="2110" spans="1:11" s="520" customFormat="1" ht="15.75">
      <c r="A2110" s="157"/>
      <c r="B2110" s="519"/>
      <c r="J2110" s="524"/>
      <c r="K2110" s="525"/>
    </row>
    <row r="2111" spans="1:11" s="520" customFormat="1" ht="15.75">
      <c r="A2111" s="157"/>
      <c r="B2111" s="519"/>
      <c r="J2111" s="524"/>
      <c r="K2111" s="525"/>
    </row>
    <row r="2112" spans="1:11" s="520" customFormat="1" ht="15.75">
      <c r="A2112" s="157"/>
      <c r="B2112" s="519"/>
      <c r="J2112" s="524"/>
      <c r="K2112" s="525"/>
    </row>
    <row r="2113" spans="1:11" s="520" customFormat="1" ht="15.75">
      <c r="A2113" s="157"/>
      <c r="B2113" s="519"/>
      <c r="J2113" s="524"/>
      <c r="K2113" s="525"/>
    </row>
    <row r="2114" spans="1:11" s="520" customFormat="1" ht="15.75">
      <c r="A2114" s="157"/>
      <c r="B2114" s="519"/>
      <c r="J2114" s="524"/>
      <c r="K2114" s="525"/>
    </row>
    <row r="2115" spans="1:11" s="520" customFormat="1" ht="15.75">
      <c r="A2115" s="157"/>
      <c r="B2115" s="519"/>
      <c r="J2115" s="524"/>
      <c r="K2115" s="525"/>
    </row>
    <row r="2116" spans="1:11" s="520" customFormat="1" ht="15.75">
      <c r="A2116" s="157"/>
      <c r="B2116" s="519"/>
      <c r="J2116" s="524"/>
      <c r="K2116" s="525"/>
    </row>
    <row r="2117" spans="1:11" s="520" customFormat="1" ht="15.75">
      <c r="A2117" s="157"/>
      <c r="B2117" s="519"/>
      <c r="J2117" s="524"/>
      <c r="K2117" s="525"/>
    </row>
    <row r="2118" spans="1:11" s="520" customFormat="1" ht="15.75">
      <c r="A2118" s="157"/>
      <c r="B2118" s="519"/>
      <c r="J2118" s="524"/>
      <c r="K2118" s="525"/>
    </row>
    <row r="2119" spans="1:11" s="520" customFormat="1" ht="15.75">
      <c r="A2119" s="157"/>
      <c r="B2119" s="519"/>
      <c r="J2119" s="524"/>
      <c r="K2119" s="525"/>
    </row>
    <row r="2120" spans="1:11" s="520" customFormat="1" ht="15.75">
      <c r="A2120" s="157"/>
      <c r="B2120" s="519"/>
      <c r="J2120" s="524"/>
      <c r="K2120" s="525"/>
    </row>
    <row r="2121" spans="1:11" s="520" customFormat="1" ht="15.75">
      <c r="A2121" s="157"/>
      <c r="B2121" s="519"/>
      <c r="J2121" s="524"/>
      <c r="K2121" s="525"/>
    </row>
    <row r="2122" spans="1:11" s="520" customFormat="1" ht="15.75">
      <c r="A2122" s="157"/>
      <c r="B2122" s="519"/>
      <c r="J2122" s="524"/>
      <c r="K2122" s="525"/>
    </row>
    <row r="2123" spans="1:11" s="520" customFormat="1" ht="15.75">
      <c r="A2123" s="157"/>
      <c r="B2123" s="519"/>
      <c r="J2123" s="524"/>
      <c r="K2123" s="525"/>
    </row>
    <row r="2124" spans="1:11" s="520" customFormat="1" ht="15.75">
      <c r="A2124" s="157"/>
      <c r="B2124" s="519"/>
      <c r="J2124" s="524"/>
      <c r="K2124" s="525"/>
    </row>
    <row r="2125" spans="1:11" s="520" customFormat="1" ht="15.75">
      <c r="A2125" s="157"/>
      <c r="B2125" s="519"/>
      <c r="J2125" s="524"/>
      <c r="K2125" s="525"/>
    </row>
    <row r="2126" spans="1:11" s="520" customFormat="1" ht="15.75">
      <c r="A2126" s="157"/>
      <c r="B2126" s="519"/>
      <c r="J2126" s="524"/>
      <c r="K2126" s="525"/>
    </row>
    <row r="2127" spans="1:11" s="520" customFormat="1" ht="15.75">
      <c r="A2127" s="157"/>
      <c r="B2127" s="519"/>
      <c r="J2127" s="524"/>
      <c r="K2127" s="525"/>
    </row>
    <row r="2128" spans="1:11" s="520" customFormat="1" ht="15.75">
      <c r="A2128" s="157"/>
      <c r="B2128" s="519"/>
      <c r="J2128" s="524"/>
      <c r="K2128" s="525"/>
    </row>
    <row r="2129" spans="1:11" s="520" customFormat="1" ht="15.75">
      <c r="A2129" s="157"/>
      <c r="B2129" s="519"/>
      <c r="J2129" s="524"/>
      <c r="K2129" s="525"/>
    </row>
    <row r="2130" spans="1:11" s="520" customFormat="1" ht="15.75">
      <c r="A2130" s="157"/>
      <c r="B2130" s="519"/>
      <c r="J2130" s="524"/>
      <c r="K2130" s="525"/>
    </row>
    <row r="2131" spans="1:11" s="520" customFormat="1" ht="15.75">
      <c r="A2131" s="157"/>
      <c r="B2131" s="519"/>
      <c r="J2131" s="524"/>
      <c r="K2131" s="525"/>
    </row>
    <row r="2132" spans="1:11" s="520" customFormat="1" ht="15.75">
      <c r="A2132" s="157"/>
      <c r="B2132" s="519"/>
      <c r="J2132" s="524"/>
      <c r="K2132" s="525"/>
    </row>
    <row r="2133" spans="1:11" s="520" customFormat="1" ht="15.75">
      <c r="A2133" s="157"/>
      <c r="B2133" s="519"/>
      <c r="J2133" s="524"/>
      <c r="K2133" s="525"/>
    </row>
    <row r="2134" spans="1:11" s="520" customFormat="1" ht="15.75">
      <c r="A2134" s="157"/>
      <c r="B2134" s="519"/>
      <c r="J2134" s="524"/>
      <c r="K2134" s="525"/>
    </row>
    <row r="2135" spans="1:11" s="520" customFormat="1" ht="15.75">
      <c r="A2135" s="157"/>
      <c r="B2135" s="519"/>
      <c r="J2135" s="524"/>
      <c r="K2135" s="525"/>
    </row>
    <row r="2136" spans="1:11" s="520" customFormat="1" ht="15.75">
      <c r="A2136" s="157"/>
      <c r="B2136" s="519"/>
      <c r="J2136" s="524"/>
      <c r="K2136" s="525"/>
    </row>
    <row r="2137" spans="1:11" s="520" customFormat="1" ht="15.75">
      <c r="A2137" s="157"/>
      <c r="B2137" s="519"/>
      <c r="J2137" s="524"/>
      <c r="K2137" s="525"/>
    </row>
    <row r="2138" spans="1:11" s="520" customFormat="1" ht="15.75">
      <c r="A2138" s="157"/>
      <c r="B2138" s="519"/>
      <c r="J2138" s="524"/>
      <c r="K2138" s="525"/>
    </row>
    <row r="2139" spans="1:11" s="520" customFormat="1" ht="15.75">
      <c r="A2139" s="157"/>
      <c r="B2139" s="519"/>
      <c r="J2139" s="524"/>
      <c r="K2139" s="525"/>
    </row>
    <row r="2140" spans="1:11" s="520" customFormat="1" ht="15.75">
      <c r="A2140" s="157"/>
      <c r="B2140" s="519"/>
      <c r="J2140" s="524"/>
      <c r="K2140" s="525"/>
    </row>
    <row r="2141" spans="1:11" s="520" customFormat="1" ht="15.75">
      <c r="A2141" s="157"/>
      <c r="B2141" s="519"/>
      <c r="J2141" s="524"/>
      <c r="K2141" s="525"/>
    </row>
    <row r="2142" spans="1:11" s="520" customFormat="1" ht="15.75">
      <c r="A2142" s="157"/>
      <c r="B2142" s="519"/>
      <c r="J2142" s="524"/>
      <c r="K2142" s="525"/>
    </row>
    <row r="2143" spans="1:11" s="520" customFormat="1" ht="15.75">
      <c r="A2143" s="157"/>
      <c r="B2143" s="519"/>
      <c r="J2143" s="524"/>
      <c r="K2143" s="525"/>
    </row>
    <row r="2144" spans="1:11" s="520" customFormat="1" ht="15.75">
      <c r="A2144" s="157"/>
      <c r="B2144" s="519"/>
      <c r="J2144" s="524"/>
      <c r="K2144" s="525"/>
    </row>
    <row r="2145" spans="1:11" s="520" customFormat="1" ht="15.75">
      <c r="A2145" s="157"/>
      <c r="B2145" s="519"/>
      <c r="J2145" s="524"/>
      <c r="K2145" s="525"/>
    </row>
    <row r="2146" spans="1:11" s="520" customFormat="1" ht="15.75">
      <c r="A2146" s="157"/>
      <c r="B2146" s="519"/>
      <c r="J2146" s="524"/>
      <c r="K2146" s="525"/>
    </row>
    <row r="2147" spans="1:11" s="520" customFormat="1" ht="15.75">
      <c r="A2147" s="157"/>
      <c r="B2147" s="519"/>
      <c r="J2147" s="524"/>
      <c r="K2147" s="525"/>
    </row>
    <row r="2148" spans="1:11" s="520" customFormat="1" ht="15.75">
      <c r="A2148" s="157"/>
      <c r="B2148" s="519"/>
      <c r="J2148" s="524"/>
      <c r="K2148" s="525"/>
    </row>
    <row r="2149" spans="1:11" s="520" customFormat="1" ht="15.75">
      <c r="A2149" s="157"/>
      <c r="B2149" s="519"/>
      <c r="J2149" s="524"/>
      <c r="K2149" s="525"/>
    </row>
    <row r="2150" spans="1:11" s="520" customFormat="1" ht="15.75">
      <c r="A2150" s="157"/>
      <c r="B2150" s="519"/>
      <c r="J2150" s="524"/>
      <c r="K2150" s="525"/>
    </row>
    <row r="2151" spans="1:11" s="520" customFormat="1" ht="15.75">
      <c r="A2151" s="157"/>
      <c r="B2151" s="519"/>
      <c r="J2151" s="524"/>
      <c r="K2151" s="525"/>
    </row>
    <row r="2152" spans="1:11" s="520" customFormat="1" ht="15.75">
      <c r="A2152" s="157"/>
      <c r="B2152" s="519"/>
      <c r="J2152" s="524"/>
      <c r="K2152" s="525"/>
    </row>
    <row r="2153" spans="1:11" s="520" customFormat="1" ht="15.75">
      <c r="A2153" s="157"/>
      <c r="B2153" s="519"/>
      <c r="J2153" s="524"/>
      <c r="K2153" s="525"/>
    </row>
    <row r="2154" spans="1:11" s="520" customFormat="1" ht="15.75">
      <c r="A2154" s="157"/>
      <c r="B2154" s="519"/>
      <c r="J2154" s="524"/>
      <c r="K2154" s="525"/>
    </row>
    <row r="2155" spans="1:11" s="520" customFormat="1" ht="15.75">
      <c r="A2155" s="157"/>
      <c r="B2155" s="519"/>
      <c r="J2155" s="524"/>
      <c r="K2155" s="525"/>
    </row>
    <row r="2156" spans="1:11" s="520" customFormat="1" ht="15.75">
      <c r="A2156" s="157"/>
      <c r="B2156" s="519"/>
      <c r="J2156" s="524"/>
      <c r="K2156" s="525"/>
    </row>
    <row r="2157" spans="1:11" s="520" customFormat="1" ht="15.75">
      <c r="A2157" s="157"/>
      <c r="B2157" s="519"/>
      <c r="J2157" s="524"/>
      <c r="K2157" s="525"/>
    </row>
    <row r="2158" spans="1:11" s="520" customFormat="1" ht="15.75">
      <c r="A2158" s="157"/>
      <c r="B2158" s="519"/>
      <c r="J2158" s="524"/>
      <c r="K2158" s="525"/>
    </row>
    <row r="2159" spans="1:11" s="520" customFormat="1" ht="15.75">
      <c r="A2159" s="157"/>
      <c r="B2159" s="519"/>
      <c r="J2159" s="524"/>
      <c r="K2159" s="525"/>
    </row>
    <row r="2160" spans="1:11" s="520" customFormat="1" ht="15.75">
      <c r="A2160" s="157"/>
      <c r="B2160" s="519"/>
      <c r="J2160" s="524"/>
      <c r="K2160" s="525"/>
    </row>
    <row r="2161" spans="1:11" s="520" customFormat="1" ht="15.75">
      <c r="A2161" s="157"/>
      <c r="B2161" s="519"/>
      <c r="J2161" s="524"/>
      <c r="K2161" s="525"/>
    </row>
    <row r="2162" spans="1:11" s="520" customFormat="1" ht="15.75">
      <c r="A2162" s="157"/>
      <c r="B2162" s="519"/>
      <c r="J2162" s="524"/>
      <c r="K2162" s="525"/>
    </row>
    <row r="2163" spans="1:11" s="520" customFormat="1" ht="15.75">
      <c r="A2163" s="157"/>
      <c r="B2163" s="519"/>
      <c r="J2163" s="524"/>
      <c r="K2163" s="525"/>
    </row>
    <row r="2164" spans="1:11" s="520" customFormat="1" ht="15.75">
      <c r="A2164" s="157"/>
      <c r="B2164" s="519"/>
      <c r="J2164" s="524"/>
      <c r="K2164" s="525"/>
    </row>
    <row r="2165" spans="1:11" s="520" customFormat="1" ht="15.75">
      <c r="A2165" s="157"/>
      <c r="B2165" s="519"/>
      <c r="J2165" s="524"/>
      <c r="K2165" s="525"/>
    </row>
    <row r="2166" spans="1:11" s="520" customFormat="1" ht="15.75">
      <c r="A2166" s="157"/>
      <c r="B2166" s="519"/>
      <c r="J2166" s="524"/>
      <c r="K2166" s="525"/>
    </row>
    <row r="2167" spans="1:11" s="520" customFormat="1" ht="15.75">
      <c r="A2167" s="157"/>
      <c r="B2167" s="519"/>
      <c r="J2167" s="524"/>
      <c r="K2167" s="525"/>
    </row>
    <row r="2168" spans="1:11" s="520" customFormat="1" ht="15.75">
      <c r="A2168" s="157"/>
      <c r="B2168" s="519"/>
      <c r="J2168" s="524"/>
      <c r="K2168" s="525"/>
    </row>
    <row r="2169" spans="1:11" s="520" customFormat="1" ht="15.75">
      <c r="A2169" s="157"/>
      <c r="B2169" s="519"/>
      <c r="J2169" s="524"/>
      <c r="K2169" s="525"/>
    </row>
    <row r="2170" spans="1:11" s="520" customFormat="1" ht="15.75">
      <c r="A2170" s="157"/>
      <c r="B2170" s="519"/>
      <c r="J2170" s="524"/>
      <c r="K2170" s="525"/>
    </row>
    <row r="2171" spans="1:11" s="520" customFormat="1" ht="15.75">
      <c r="A2171" s="157"/>
      <c r="B2171" s="519"/>
      <c r="J2171" s="524"/>
      <c r="K2171" s="525"/>
    </row>
    <row r="2172" spans="1:11" s="520" customFormat="1" ht="15.75">
      <c r="A2172" s="157"/>
      <c r="B2172" s="519"/>
      <c r="J2172" s="524"/>
      <c r="K2172" s="525"/>
    </row>
    <row r="2173" spans="1:11" s="520" customFormat="1" ht="15.75">
      <c r="A2173" s="157"/>
      <c r="B2173" s="519"/>
      <c r="J2173" s="524"/>
      <c r="K2173" s="525"/>
    </row>
    <row r="2174" spans="1:11" s="520" customFormat="1" ht="15.75">
      <c r="A2174" s="157"/>
      <c r="B2174" s="519"/>
      <c r="J2174" s="524"/>
      <c r="K2174" s="525"/>
    </row>
    <row r="2175" spans="1:11" s="520" customFormat="1" ht="15.75">
      <c r="A2175" s="157"/>
      <c r="B2175" s="519"/>
      <c r="J2175" s="524"/>
      <c r="K2175" s="525"/>
    </row>
    <row r="2176" spans="1:11" s="520" customFormat="1" ht="15.75">
      <c r="A2176" s="157"/>
      <c r="B2176" s="519"/>
      <c r="J2176" s="524"/>
      <c r="K2176" s="525"/>
    </row>
    <row r="2177" spans="1:11" s="520" customFormat="1" ht="15.75">
      <c r="A2177" s="157"/>
      <c r="B2177" s="519"/>
      <c r="J2177" s="524"/>
      <c r="K2177" s="525"/>
    </row>
    <row r="2178" spans="1:11" s="520" customFormat="1" ht="15.75">
      <c r="A2178" s="157"/>
      <c r="B2178" s="519"/>
      <c r="J2178" s="524"/>
      <c r="K2178" s="525"/>
    </row>
    <row r="2179" spans="1:11" s="520" customFormat="1" ht="15.75">
      <c r="A2179" s="157"/>
      <c r="B2179" s="519"/>
      <c r="J2179" s="524"/>
      <c r="K2179" s="525"/>
    </row>
    <row r="2180" spans="1:11" s="520" customFormat="1" ht="15.75">
      <c r="A2180" s="157"/>
      <c r="B2180" s="519"/>
      <c r="J2180" s="524"/>
      <c r="K2180" s="525"/>
    </row>
    <row r="2181" spans="1:11" s="520" customFormat="1" ht="15.75">
      <c r="A2181" s="157"/>
      <c r="B2181" s="519"/>
      <c r="J2181" s="524"/>
      <c r="K2181" s="525"/>
    </row>
    <row r="2182" spans="1:11" s="520" customFormat="1" ht="15.75">
      <c r="A2182" s="157"/>
      <c r="B2182" s="519"/>
      <c r="J2182" s="524"/>
      <c r="K2182" s="525"/>
    </row>
    <row r="2183" spans="1:11" s="520" customFormat="1" ht="15.75">
      <c r="A2183" s="157"/>
      <c r="B2183" s="519"/>
      <c r="J2183" s="524"/>
      <c r="K2183" s="525"/>
    </row>
    <row r="2184" spans="1:11" s="520" customFormat="1" ht="15.75">
      <c r="A2184" s="157"/>
      <c r="B2184" s="519"/>
      <c r="J2184" s="524"/>
      <c r="K2184" s="525"/>
    </row>
    <row r="2185" spans="1:11" s="520" customFormat="1" ht="15.75">
      <c r="A2185" s="157"/>
      <c r="B2185" s="519"/>
      <c r="J2185" s="524"/>
      <c r="K2185" s="525"/>
    </row>
    <row r="2186" spans="1:11" s="520" customFormat="1" ht="15.75">
      <c r="A2186" s="157"/>
      <c r="B2186" s="519"/>
      <c r="J2186" s="524"/>
      <c r="K2186" s="525"/>
    </row>
    <row r="2187" spans="1:11" s="520" customFormat="1" ht="15.75">
      <c r="A2187" s="157"/>
      <c r="B2187" s="519"/>
      <c r="J2187" s="524"/>
      <c r="K2187" s="525"/>
    </row>
    <row r="2188" spans="1:11" s="520" customFormat="1" ht="15.75">
      <c r="A2188" s="157"/>
      <c r="B2188" s="519"/>
      <c r="J2188" s="524"/>
      <c r="K2188" s="525"/>
    </row>
    <row r="2189" spans="1:11" s="520" customFormat="1" ht="15.75">
      <c r="A2189" s="157"/>
      <c r="B2189" s="519"/>
      <c r="J2189" s="524"/>
      <c r="K2189" s="525"/>
    </row>
    <row r="2190" spans="1:11" s="520" customFormat="1" ht="15.75">
      <c r="A2190" s="157"/>
      <c r="B2190" s="519"/>
      <c r="J2190" s="524"/>
      <c r="K2190" s="525"/>
    </row>
    <row r="2191" spans="1:11" s="520" customFormat="1" ht="15.75">
      <c r="A2191" s="157"/>
      <c r="B2191" s="519"/>
      <c r="J2191" s="524"/>
      <c r="K2191" s="525"/>
    </row>
    <row r="2192" spans="1:11" s="520" customFormat="1" ht="15.75">
      <c r="A2192" s="157"/>
      <c r="B2192" s="519"/>
      <c r="J2192" s="524"/>
      <c r="K2192" s="525"/>
    </row>
    <row r="2193" spans="1:11" s="520" customFormat="1" ht="15.75">
      <c r="A2193" s="157"/>
      <c r="B2193" s="519"/>
      <c r="J2193" s="524"/>
      <c r="K2193" s="525"/>
    </row>
    <row r="2194" spans="1:11" s="520" customFormat="1" ht="15.75">
      <c r="A2194" s="157"/>
      <c r="B2194" s="519"/>
      <c r="J2194" s="524"/>
      <c r="K2194" s="525"/>
    </row>
    <row r="2195" spans="1:11" s="520" customFormat="1" ht="15.75">
      <c r="A2195" s="157"/>
      <c r="B2195" s="519"/>
      <c r="J2195" s="524"/>
      <c r="K2195" s="525"/>
    </row>
    <row r="2196" spans="1:11" s="520" customFormat="1" ht="15.75">
      <c r="A2196" s="157"/>
      <c r="B2196" s="519"/>
      <c r="J2196" s="524"/>
      <c r="K2196" s="525"/>
    </row>
    <row r="2197" spans="1:11" s="520" customFormat="1" ht="15.75">
      <c r="A2197" s="157"/>
      <c r="B2197" s="519"/>
      <c r="J2197" s="524"/>
      <c r="K2197" s="525"/>
    </row>
    <row r="2198" spans="1:11" s="520" customFormat="1" ht="15.75">
      <c r="A2198" s="157"/>
      <c r="B2198" s="519"/>
      <c r="J2198" s="524"/>
      <c r="K2198" s="525"/>
    </row>
    <row r="2199" spans="1:11" s="520" customFormat="1" ht="15.75">
      <c r="A2199" s="157"/>
      <c r="B2199" s="519"/>
      <c r="J2199" s="524"/>
      <c r="K2199" s="525"/>
    </row>
    <row r="2200" spans="1:11" s="520" customFormat="1" ht="15.75">
      <c r="A2200" s="157"/>
      <c r="B2200" s="519"/>
      <c r="J2200" s="524"/>
      <c r="K2200" s="525"/>
    </row>
    <row r="2201" spans="1:11" s="520" customFormat="1" ht="15.75">
      <c r="A2201" s="157"/>
      <c r="B2201" s="519"/>
      <c r="J2201" s="524"/>
      <c r="K2201" s="525"/>
    </row>
    <row r="2202" spans="1:11" s="520" customFormat="1" ht="15.75">
      <c r="A2202" s="157"/>
      <c r="B2202" s="519"/>
      <c r="J2202" s="524"/>
      <c r="K2202" s="525"/>
    </row>
    <row r="2203" spans="1:11" s="520" customFormat="1" ht="15.75">
      <c r="A2203" s="157"/>
      <c r="B2203" s="519"/>
      <c r="J2203" s="524"/>
      <c r="K2203" s="525"/>
    </row>
    <row r="2204" spans="1:11" s="520" customFormat="1" ht="15.75">
      <c r="A2204" s="157"/>
      <c r="B2204" s="519"/>
      <c r="J2204" s="524"/>
      <c r="K2204" s="525"/>
    </row>
    <row r="2205" spans="1:11" s="520" customFormat="1" ht="15.75">
      <c r="A2205" s="157"/>
      <c r="B2205" s="519"/>
      <c r="J2205" s="524"/>
      <c r="K2205" s="525"/>
    </row>
    <row r="2206" spans="1:11" s="520" customFormat="1" ht="15.75">
      <c r="A2206" s="157"/>
      <c r="B2206" s="519"/>
      <c r="J2206" s="524"/>
      <c r="K2206" s="525"/>
    </row>
    <row r="2207" spans="1:11" s="520" customFormat="1" ht="15.75">
      <c r="A2207" s="157"/>
      <c r="B2207" s="519"/>
      <c r="J2207" s="524"/>
      <c r="K2207" s="525"/>
    </row>
    <row r="2208" spans="1:11" s="520" customFormat="1" ht="15.75">
      <c r="A2208" s="157"/>
      <c r="B2208" s="519"/>
      <c r="J2208" s="524"/>
      <c r="K2208" s="525"/>
    </row>
    <row r="2209" spans="1:11" s="520" customFormat="1" ht="15.75">
      <c r="A2209" s="157"/>
      <c r="B2209" s="519"/>
      <c r="J2209" s="524"/>
      <c r="K2209" s="525"/>
    </row>
    <row r="2210" spans="1:11" s="520" customFormat="1" ht="15.75">
      <c r="A2210" s="157"/>
      <c r="B2210" s="519"/>
      <c r="J2210" s="524"/>
      <c r="K2210" s="525"/>
    </row>
    <row r="2211" spans="1:11" s="520" customFormat="1" ht="15.75">
      <c r="A2211" s="157"/>
      <c r="B2211" s="519"/>
      <c r="J2211" s="524"/>
      <c r="K2211" s="525"/>
    </row>
    <row r="2212" spans="1:11" s="520" customFormat="1" ht="15.75">
      <c r="A2212" s="157"/>
      <c r="B2212" s="519"/>
      <c r="J2212" s="524"/>
      <c r="K2212" s="525"/>
    </row>
    <row r="2213" spans="1:11" s="520" customFormat="1" ht="15.75">
      <c r="A2213" s="157"/>
      <c r="B2213" s="519"/>
      <c r="J2213" s="524"/>
      <c r="K2213" s="525"/>
    </row>
    <row r="2214" spans="1:11" s="520" customFormat="1" ht="15.75">
      <c r="A2214" s="157"/>
      <c r="B2214" s="519"/>
      <c r="J2214" s="524"/>
      <c r="K2214" s="525"/>
    </row>
    <row r="2215" spans="1:11" s="520" customFormat="1" ht="15.75">
      <c r="A2215" s="157"/>
      <c r="B2215" s="519"/>
      <c r="J2215" s="524"/>
      <c r="K2215" s="525"/>
    </row>
    <row r="2216" spans="1:11" s="520" customFormat="1" ht="15.75">
      <c r="A2216" s="157"/>
      <c r="B2216" s="519"/>
      <c r="J2216" s="524"/>
      <c r="K2216" s="525"/>
    </row>
    <row r="2217" spans="1:11" s="520" customFormat="1" ht="15.75">
      <c r="A2217" s="157"/>
      <c r="B2217" s="519"/>
      <c r="J2217" s="524"/>
      <c r="K2217" s="525"/>
    </row>
    <row r="2218" spans="1:11" s="520" customFormat="1" ht="15.75">
      <c r="A2218" s="157"/>
      <c r="B2218" s="519"/>
      <c r="J2218" s="524"/>
      <c r="K2218" s="525"/>
    </row>
    <row r="2219" spans="1:11" s="520" customFormat="1" ht="15.75">
      <c r="A2219" s="157"/>
      <c r="B2219" s="519"/>
      <c r="J2219" s="524"/>
      <c r="K2219" s="525"/>
    </row>
    <row r="2220" spans="1:11" s="520" customFormat="1" ht="15.75">
      <c r="A2220" s="157"/>
      <c r="B2220" s="519"/>
      <c r="J2220" s="524"/>
      <c r="K2220" s="525"/>
    </row>
    <row r="2221" spans="1:11" s="520" customFormat="1" ht="15.75">
      <c r="A2221" s="157"/>
      <c r="B2221" s="519"/>
      <c r="J2221" s="524"/>
      <c r="K2221" s="525"/>
    </row>
    <row r="2222" spans="1:11" s="520" customFormat="1" ht="15.75">
      <c r="A2222" s="157"/>
      <c r="B2222" s="519"/>
      <c r="J2222" s="524"/>
      <c r="K2222" s="525"/>
    </row>
    <row r="2223" spans="1:11" s="520" customFormat="1" ht="15.75">
      <c r="A2223" s="157"/>
      <c r="B2223" s="519"/>
      <c r="J2223" s="524"/>
      <c r="K2223" s="525"/>
    </row>
    <row r="2224" spans="1:11" s="520" customFormat="1" ht="15.75">
      <c r="A2224" s="157"/>
      <c r="B2224" s="519"/>
      <c r="J2224" s="524"/>
      <c r="K2224" s="525"/>
    </row>
    <row r="2225" spans="1:11" s="520" customFormat="1" ht="15.75">
      <c r="A2225" s="157"/>
      <c r="B2225" s="519"/>
      <c r="J2225" s="524"/>
      <c r="K2225" s="525"/>
    </row>
    <row r="2226" spans="1:11" s="520" customFormat="1" ht="15.75">
      <c r="A2226" s="157"/>
      <c r="B2226" s="519"/>
      <c r="J2226" s="524"/>
      <c r="K2226" s="525"/>
    </row>
    <row r="2227" spans="1:11" s="520" customFormat="1" ht="15.75">
      <c r="A2227" s="157"/>
      <c r="B2227" s="519"/>
      <c r="J2227" s="524"/>
      <c r="K2227" s="525"/>
    </row>
    <row r="2228" spans="1:11" s="520" customFormat="1" ht="15.75">
      <c r="A2228" s="157"/>
      <c r="B2228" s="519"/>
      <c r="J2228" s="524"/>
      <c r="K2228" s="525"/>
    </row>
    <row r="2229" spans="1:11" s="520" customFormat="1" ht="15.75">
      <c r="A2229" s="157"/>
      <c r="B2229" s="519"/>
      <c r="J2229" s="524"/>
      <c r="K2229" s="525"/>
    </row>
    <row r="2230" spans="1:11" s="520" customFormat="1" ht="15.75">
      <c r="A2230" s="157"/>
      <c r="B2230" s="519"/>
      <c r="J2230" s="524"/>
      <c r="K2230" s="525"/>
    </row>
    <row r="2231" spans="1:11" s="520" customFormat="1" ht="15.75">
      <c r="A2231" s="157"/>
      <c r="B2231" s="519"/>
      <c r="J2231" s="524"/>
      <c r="K2231" s="525"/>
    </row>
    <row r="2232" spans="1:11" s="520" customFormat="1" ht="15.75">
      <c r="A2232" s="157"/>
      <c r="B2232" s="519"/>
      <c r="J2232" s="524"/>
      <c r="K2232" s="525"/>
    </row>
    <row r="2233" spans="1:11" s="520" customFormat="1" ht="15.75">
      <c r="A2233" s="157"/>
      <c r="B2233" s="519"/>
      <c r="J2233" s="524"/>
      <c r="K2233" s="525"/>
    </row>
    <row r="2234" spans="1:11" s="520" customFormat="1" ht="15.75">
      <c r="A2234" s="157"/>
      <c r="B2234" s="519"/>
      <c r="J2234" s="524"/>
      <c r="K2234" s="525"/>
    </row>
    <row r="2235" spans="1:11" s="520" customFormat="1" ht="15.75">
      <c r="A2235" s="157"/>
      <c r="B2235" s="519"/>
      <c r="J2235" s="524"/>
      <c r="K2235" s="525"/>
    </row>
    <row r="2236" spans="1:11" s="520" customFormat="1" ht="15.75">
      <c r="A2236" s="157"/>
      <c r="B2236" s="519"/>
      <c r="J2236" s="524"/>
      <c r="K2236" s="525"/>
    </row>
    <row r="2237" spans="1:11" s="520" customFormat="1" ht="15.75">
      <c r="A2237" s="157"/>
      <c r="B2237" s="519"/>
      <c r="J2237" s="524"/>
      <c r="K2237" s="525"/>
    </row>
    <row r="2238" spans="1:11" s="520" customFormat="1" ht="15.75">
      <c r="A2238" s="157"/>
      <c r="B2238" s="519"/>
      <c r="J2238" s="524"/>
      <c r="K2238" s="525"/>
    </row>
    <row r="2239" spans="1:11" s="520" customFormat="1" ht="15.75">
      <c r="A2239" s="157"/>
      <c r="B2239" s="519"/>
      <c r="J2239" s="524"/>
      <c r="K2239" s="525"/>
    </row>
    <row r="2240" spans="1:11" s="520" customFormat="1" ht="15.75">
      <c r="A2240" s="157"/>
      <c r="B2240" s="519"/>
      <c r="J2240" s="524"/>
      <c r="K2240" s="525"/>
    </row>
    <row r="2241" spans="1:11" s="520" customFormat="1" ht="15.75">
      <c r="A2241" s="157"/>
      <c r="B2241" s="519"/>
      <c r="J2241" s="524"/>
      <c r="K2241" s="525"/>
    </row>
    <row r="2242" spans="1:11" s="520" customFormat="1" ht="15.75">
      <c r="A2242" s="157"/>
      <c r="B2242" s="519"/>
      <c r="J2242" s="524"/>
      <c r="K2242" s="525"/>
    </row>
    <row r="2243" spans="1:11" s="520" customFormat="1" ht="15.75">
      <c r="A2243" s="157"/>
      <c r="B2243" s="519"/>
      <c r="J2243" s="524"/>
      <c r="K2243" s="525"/>
    </row>
    <row r="2244" spans="1:11" s="520" customFormat="1" ht="15.75">
      <c r="A2244" s="157"/>
      <c r="B2244" s="519"/>
      <c r="J2244" s="524"/>
      <c r="K2244" s="525"/>
    </row>
    <row r="2245" spans="1:11" s="520" customFormat="1" ht="15.75">
      <c r="A2245" s="157"/>
      <c r="B2245" s="519"/>
      <c r="J2245" s="524"/>
      <c r="K2245" s="525"/>
    </row>
    <row r="2246" spans="1:11" s="520" customFormat="1" ht="15.75">
      <c r="A2246" s="157"/>
      <c r="B2246" s="519"/>
      <c r="J2246" s="524"/>
      <c r="K2246" s="525"/>
    </row>
    <row r="2247" spans="1:11" s="520" customFormat="1" ht="15.75">
      <c r="A2247" s="157"/>
      <c r="B2247" s="519"/>
      <c r="J2247" s="524"/>
      <c r="K2247" s="525"/>
    </row>
    <row r="2248" spans="1:11" s="520" customFormat="1" ht="15.75">
      <c r="A2248" s="157"/>
      <c r="B2248" s="519"/>
      <c r="J2248" s="524"/>
      <c r="K2248" s="525"/>
    </row>
    <row r="2249" spans="1:11" s="520" customFormat="1" ht="15.75">
      <c r="A2249" s="157"/>
      <c r="B2249" s="519"/>
      <c r="J2249" s="524"/>
      <c r="K2249" s="525"/>
    </row>
    <row r="2250" spans="1:11" s="520" customFormat="1" ht="15.75">
      <c r="A2250" s="157"/>
      <c r="B2250" s="519"/>
      <c r="J2250" s="524"/>
      <c r="K2250" s="525"/>
    </row>
    <row r="2251" spans="1:11" s="520" customFormat="1" ht="15.75">
      <c r="A2251" s="157"/>
      <c r="B2251" s="519"/>
      <c r="J2251" s="524"/>
      <c r="K2251" s="525"/>
    </row>
    <row r="2252" spans="1:11" s="520" customFormat="1" ht="15.75">
      <c r="A2252" s="157"/>
      <c r="B2252" s="519"/>
      <c r="J2252" s="524"/>
      <c r="K2252" s="525"/>
    </row>
    <row r="2253" spans="1:11" s="520" customFormat="1" ht="15.75">
      <c r="A2253" s="157"/>
      <c r="B2253" s="519"/>
      <c r="J2253" s="524"/>
      <c r="K2253" s="525"/>
    </row>
    <row r="2254" spans="1:11" s="520" customFormat="1" ht="15.75">
      <c r="A2254" s="157"/>
      <c r="B2254" s="519"/>
      <c r="J2254" s="524"/>
      <c r="K2254" s="525"/>
    </row>
    <row r="2255" spans="1:11" s="520" customFormat="1" ht="15.75">
      <c r="A2255" s="157"/>
      <c r="B2255" s="519"/>
      <c r="J2255" s="524"/>
      <c r="K2255" s="525"/>
    </row>
    <row r="2256" spans="1:11" s="520" customFormat="1" ht="15.75">
      <c r="A2256" s="157"/>
      <c r="B2256" s="519"/>
      <c r="J2256" s="524"/>
      <c r="K2256" s="525"/>
    </row>
    <row r="2257" spans="1:11" s="520" customFormat="1" ht="15.75">
      <c r="A2257" s="157"/>
      <c r="B2257" s="519"/>
      <c r="J2257" s="524"/>
      <c r="K2257" s="525"/>
    </row>
    <row r="2258" spans="1:11" s="520" customFormat="1" ht="15.75">
      <c r="A2258" s="157"/>
      <c r="B2258" s="519"/>
      <c r="J2258" s="524"/>
      <c r="K2258" s="525"/>
    </row>
    <row r="2259" spans="1:11" s="520" customFormat="1" ht="15.75">
      <c r="A2259" s="157"/>
      <c r="B2259" s="519"/>
      <c r="J2259" s="524"/>
      <c r="K2259" s="525"/>
    </row>
    <row r="2260" spans="1:11" s="520" customFormat="1" ht="15.75">
      <c r="A2260" s="157"/>
      <c r="B2260" s="519"/>
      <c r="J2260" s="524"/>
      <c r="K2260" s="525"/>
    </row>
    <row r="2261" spans="1:11" s="520" customFormat="1" ht="15.75">
      <c r="A2261" s="157"/>
      <c r="B2261" s="519"/>
      <c r="J2261" s="524"/>
      <c r="K2261" s="525"/>
    </row>
    <row r="2262" spans="1:11" s="520" customFormat="1" ht="15.75">
      <c r="A2262" s="157"/>
      <c r="B2262" s="519"/>
      <c r="J2262" s="524"/>
      <c r="K2262" s="525"/>
    </row>
    <row r="2263" spans="1:11" s="520" customFormat="1" ht="15.75">
      <c r="A2263" s="157"/>
      <c r="B2263" s="519"/>
      <c r="J2263" s="524"/>
      <c r="K2263" s="525"/>
    </row>
    <row r="2264" spans="1:11" s="520" customFormat="1" ht="15.75">
      <c r="A2264" s="157"/>
      <c r="B2264" s="519"/>
      <c r="J2264" s="524"/>
      <c r="K2264" s="525"/>
    </row>
    <row r="2265" spans="1:11" s="520" customFormat="1" ht="15.75">
      <c r="A2265" s="157"/>
      <c r="B2265" s="519"/>
      <c r="J2265" s="524"/>
      <c r="K2265" s="525"/>
    </row>
    <row r="2266" spans="1:11" s="520" customFormat="1" ht="15.75">
      <c r="A2266" s="157"/>
      <c r="B2266" s="519"/>
      <c r="J2266" s="524"/>
      <c r="K2266" s="525"/>
    </row>
    <row r="2267" spans="1:11" s="520" customFormat="1" ht="15.75">
      <c r="A2267" s="157"/>
      <c r="B2267" s="519"/>
      <c r="J2267" s="524"/>
      <c r="K2267" s="525"/>
    </row>
    <row r="2268" spans="1:11" s="520" customFormat="1" ht="15.75">
      <c r="A2268" s="157"/>
      <c r="B2268" s="519"/>
      <c r="J2268" s="524"/>
      <c r="K2268" s="525"/>
    </row>
    <row r="2269" spans="1:11" s="520" customFormat="1" ht="15.75">
      <c r="A2269" s="157"/>
      <c r="B2269" s="519"/>
      <c r="J2269" s="524"/>
      <c r="K2269" s="525"/>
    </row>
    <row r="2270" spans="1:11" s="520" customFormat="1" ht="15.75">
      <c r="A2270" s="157"/>
      <c r="B2270" s="519"/>
      <c r="J2270" s="524"/>
      <c r="K2270" s="525"/>
    </row>
    <row r="2271" spans="1:11" s="520" customFormat="1" ht="15.75">
      <c r="A2271" s="157"/>
      <c r="B2271" s="519"/>
      <c r="J2271" s="524"/>
      <c r="K2271" s="525"/>
    </row>
    <row r="2272" spans="1:11" s="520" customFormat="1" ht="15.75">
      <c r="A2272" s="157"/>
      <c r="B2272" s="519"/>
      <c r="J2272" s="524"/>
      <c r="K2272" s="525"/>
    </row>
    <row r="2273" spans="1:11" s="520" customFormat="1" ht="15.75">
      <c r="A2273" s="157"/>
      <c r="B2273" s="519"/>
      <c r="J2273" s="524"/>
      <c r="K2273" s="525"/>
    </row>
    <row r="2274" spans="1:11" s="520" customFormat="1" ht="15.75">
      <c r="A2274" s="157"/>
      <c r="B2274" s="519"/>
      <c r="J2274" s="524"/>
      <c r="K2274" s="525"/>
    </row>
    <row r="2275" spans="1:11" s="520" customFormat="1" ht="15.75">
      <c r="A2275" s="157"/>
      <c r="B2275" s="519"/>
      <c r="J2275" s="524"/>
      <c r="K2275" s="525"/>
    </row>
    <row r="2276" spans="1:11" s="520" customFormat="1" ht="15.75">
      <c r="A2276" s="157"/>
      <c r="B2276" s="519"/>
      <c r="J2276" s="524"/>
      <c r="K2276" s="525"/>
    </row>
    <row r="2277" spans="1:11" s="520" customFormat="1" ht="15.75">
      <c r="A2277" s="157"/>
      <c r="B2277" s="519"/>
      <c r="J2277" s="524"/>
      <c r="K2277" s="525"/>
    </row>
    <row r="2278" spans="1:11" s="520" customFormat="1" ht="15.75">
      <c r="A2278" s="157"/>
      <c r="B2278" s="519"/>
      <c r="J2278" s="524"/>
      <c r="K2278" s="525"/>
    </row>
    <row r="2279" spans="1:11" s="520" customFormat="1" ht="15.75">
      <c r="A2279" s="157"/>
      <c r="B2279" s="519"/>
      <c r="J2279" s="524"/>
      <c r="K2279" s="525"/>
    </row>
    <row r="2280" spans="1:11" s="520" customFormat="1" ht="15.75">
      <c r="A2280" s="157"/>
      <c r="B2280" s="519"/>
      <c r="J2280" s="524"/>
      <c r="K2280" s="525"/>
    </row>
    <row r="2281" spans="1:11" s="520" customFormat="1" ht="15.75">
      <c r="A2281" s="157"/>
      <c r="B2281" s="519"/>
      <c r="J2281" s="524"/>
      <c r="K2281" s="525"/>
    </row>
    <row r="2282" spans="1:11" s="520" customFormat="1" ht="15.75">
      <c r="A2282" s="157"/>
      <c r="B2282" s="519"/>
      <c r="J2282" s="524"/>
      <c r="K2282" s="525"/>
    </row>
    <row r="2283" spans="1:11" s="520" customFormat="1" ht="15.75">
      <c r="A2283" s="157"/>
      <c r="B2283" s="519"/>
      <c r="J2283" s="524"/>
      <c r="K2283" s="525"/>
    </row>
    <row r="2284" spans="1:11" s="520" customFormat="1" ht="15.75">
      <c r="A2284" s="157"/>
      <c r="B2284" s="519"/>
      <c r="J2284" s="524"/>
      <c r="K2284" s="525"/>
    </row>
    <row r="2285" spans="1:11" s="520" customFormat="1" ht="15.75">
      <c r="A2285" s="157"/>
      <c r="B2285" s="519"/>
      <c r="J2285" s="524"/>
      <c r="K2285" s="525"/>
    </row>
    <row r="2286" spans="1:11" s="520" customFormat="1" ht="15.75">
      <c r="A2286" s="157"/>
      <c r="B2286" s="519"/>
      <c r="J2286" s="524"/>
      <c r="K2286" s="525"/>
    </row>
    <row r="2287" spans="1:11" s="520" customFormat="1" ht="15.75">
      <c r="A2287" s="157"/>
      <c r="B2287" s="519"/>
      <c r="J2287" s="524"/>
      <c r="K2287" s="525"/>
    </row>
    <row r="2288" spans="1:11" s="520" customFormat="1" ht="15.75">
      <c r="A2288" s="157"/>
      <c r="B2288" s="519"/>
      <c r="J2288" s="524"/>
      <c r="K2288" s="525"/>
    </row>
    <row r="2289" spans="1:11" s="520" customFormat="1" ht="15.75">
      <c r="A2289" s="157"/>
      <c r="B2289" s="519"/>
      <c r="J2289" s="524"/>
      <c r="K2289" s="525"/>
    </row>
    <row r="2290" spans="1:11" s="520" customFormat="1" ht="15.75">
      <c r="A2290" s="157"/>
      <c r="B2290" s="519"/>
      <c r="J2290" s="524"/>
      <c r="K2290" s="525"/>
    </row>
    <row r="2291" spans="1:11" s="520" customFormat="1" ht="15.75">
      <c r="A2291" s="157"/>
      <c r="B2291" s="519"/>
      <c r="J2291" s="524"/>
      <c r="K2291" s="525"/>
    </row>
    <row r="2292" spans="1:11" s="520" customFormat="1" ht="15.75">
      <c r="A2292" s="157"/>
      <c r="B2292" s="519"/>
      <c r="J2292" s="524"/>
      <c r="K2292" s="525"/>
    </row>
    <row r="2293" spans="1:11" s="520" customFormat="1" ht="15.75">
      <c r="A2293" s="157"/>
      <c r="B2293" s="519"/>
      <c r="J2293" s="524"/>
      <c r="K2293" s="525"/>
    </row>
    <row r="2294" spans="1:11" s="520" customFormat="1" ht="15.75">
      <c r="A2294" s="157"/>
      <c r="B2294" s="519"/>
      <c r="J2294" s="524"/>
      <c r="K2294" s="525"/>
    </row>
    <row r="2295" spans="1:11" s="520" customFormat="1" ht="15.75">
      <c r="A2295" s="157"/>
      <c r="B2295" s="519"/>
      <c r="J2295" s="524"/>
      <c r="K2295" s="525"/>
    </row>
    <row r="2296" spans="1:11" s="520" customFormat="1" ht="15.75">
      <c r="A2296" s="157"/>
      <c r="B2296" s="519"/>
      <c r="J2296" s="524"/>
      <c r="K2296" s="525"/>
    </row>
    <row r="2297" spans="1:11" s="520" customFormat="1" ht="15.75">
      <c r="A2297" s="157"/>
      <c r="B2297" s="519"/>
      <c r="J2297" s="524"/>
      <c r="K2297" s="525"/>
    </row>
    <row r="2298" spans="1:11" s="520" customFormat="1" ht="15.75">
      <c r="A2298" s="157"/>
      <c r="B2298" s="519"/>
      <c r="J2298" s="524"/>
      <c r="K2298" s="525"/>
    </row>
    <row r="2299" spans="1:11" s="520" customFormat="1" ht="15.75">
      <c r="A2299" s="157"/>
      <c r="B2299" s="519"/>
      <c r="J2299" s="524"/>
      <c r="K2299" s="525"/>
    </row>
    <row r="2300" spans="1:11" s="520" customFormat="1" ht="15.75">
      <c r="A2300" s="157"/>
      <c r="B2300" s="519"/>
      <c r="J2300" s="524"/>
      <c r="K2300" s="525"/>
    </row>
    <row r="2301" spans="1:11" s="520" customFormat="1" ht="15.75">
      <c r="A2301" s="157"/>
      <c r="B2301" s="519"/>
      <c r="J2301" s="524"/>
      <c r="K2301" s="525"/>
    </row>
    <row r="2302" spans="1:11" s="520" customFormat="1" ht="15.75">
      <c r="A2302" s="157"/>
      <c r="B2302" s="519"/>
      <c r="J2302" s="524"/>
      <c r="K2302" s="525"/>
    </row>
    <row r="2303" spans="1:11" s="520" customFormat="1" ht="15.75">
      <c r="A2303" s="157"/>
      <c r="B2303" s="519"/>
      <c r="J2303" s="524"/>
      <c r="K2303" s="525"/>
    </row>
    <row r="2304" spans="1:11" s="520" customFormat="1" ht="15.75">
      <c r="A2304" s="157"/>
      <c r="B2304" s="519"/>
      <c r="J2304" s="524"/>
      <c r="K2304" s="525"/>
    </row>
    <row r="2305" spans="1:11" s="520" customFormat="1" ht="15.75">
      <c r="A2305" s="157"/>
      <c r="B2305" s="519"/>
      <c r="J2305" s="524"/>
      <c r="K2305" s="525"/>
    </row>
    <row r="2306" spans="1:11" s="520" customFormat="1" ht="15.75">
      <c r="A2306" s="157"/>
      <c r="B2306" s="519"/>
      <c r="J2306" s="524"/>
      <c r="K2306" s="525"/>
    </row>
    <row r="2307" spans="1:11" s="520" customFormat="1" ht="15.75">
      <c r="A2307" s="157"/>
      <c r="B2307" s="519"/>
      <c r="J2307" s="524"/>
      <c r="K2307" s="525"/>
    </row>
    <row r="2308" spans="1:11" s="520" customFormat="1" ht="15.75">
      <c r="A2308" s="157"/>
      <c r="B2308" s="519"/>
      <c r="J2308" s="524"/>
      <c r="K2308" s="525"/>
    </row>
    <row r="2309" spans="1:11" s="520" customFormat="1" ht="15.75">
      <c r="A2309" s="157"/>
      <c r="B2309" s="519"/>
      <c r="J2309" s="524"/>
      <c r="K2309" s="525"/>
    </row>
    <row r="2310" spans="1:11" s="520" customFormat="1" ht="15.75">
      <c r="A2310" s="157"/>
      <c r="B2310" s="519"/>
      <c r="J2310" s="524"/>
      <c r="K2310" s="525"/>
    </row>
    <row r="2311" spans="1:11" s="520" customFormat="1" ht="15.75">
      <c r="A2311" s="157"/>
      <c r="B2311" s="519"/>
      <c r="J2311" s="524"/>
      <c r="K2311" s="525"/>
    </row>
    <row r="2312" spans="1:11" s="520" customFormat="1" ht="15.75">
      <c r="A2312" s="157"/>
      <c r="B2312" s="519"/>
      <c r="J2312" s="524"/>
      <c r="K2312" s="525"/>
    </row>
    <row r="2313" spans="1:11" s="520" customFormat="1" ht="15.75">
      <c r="A2313" s="157"/>
      <c r="B2313" s="519"/>
      <c r="J2313" s="524"/>
      <c r="K2313" s="525"/>
    </row>
    <row r="2314" spans="1:11" s="520" customFormat="1" ht="15.75">
      <c r="A2314" s="157"/>
      <c r="B2314" s="519"/>
      <c r="J2314" s="524"/>
      <c r="K2314" s="525"/>
    </row>
    <row r="2315" spans="1:11" s="520" customFormat="1" ht="15.75">
      <c r="A2315" s="157"/>
      <c r="B2315" s="519"/>
      <c r="J2315" s="524"/>
      <c r="K2315" s="525"/>
    </row>
    <row r="2316" spans="1:11" s="520" customFormat="1" ht="15.75">
      <c r="A2316" s="157"/>
      <c r="B2316" s="519"/>
      <c r="J2316" s="524"/>
      <c r="K2316" s="525"/>
    </row>
    <row r="2317" spans="1:11" s="520" customFormat="1" ht="15.75">
      <c r="A2317" s="157"/>
      <c r="B2317" s="519"/>
      <c r="J2317" s="524"/>
      <c r="K2317" s="525"/>
    </row>
    <row r="2318" spans="1:11" s="520" customFormat="1" ht="15.75">
      <c r="A2318" s="157"/>
      <c r="B2318" s="519"/>
      <c r="J2318" s="524"/>
      <c r="K2318" s="525"/>
    </row>
    <row r="2319" spans="1:11" s="520" customFormat="1" ht="15.75">
      <c r="A2319" s="157"/>
      <c r="B2319" s="519"/>
      <c r="J2319" s="524"/>
      <c r="K2319" s="525"/>
    </row>
    <row r="2320" spans="1:11" s="520" customFormat="1" ht="15.75">
      <c r="A2320" s="157"/>
      <c r="B2320" s="519"/>
      <c r="J2320" s="524"/>
      <c r="K2320" s="525"/>
    </row>
    <row r="2321" spans="1:11" s="520" customFormat="1" ht="15.75">
      <c r="A2321" s="157"/>
      <c r="B2321" s="519"/>
      <c r="J2321" s="524"/>
      <c r="K2321" s="525"/>
    </row>
    <row r="2322" spans="1:11" s="520" customFormat="1" ht="15.75">
      <c r="A2322" s="157"/>
      <c r="B2322" s="519"/>
      <c r="J2322" s="524"/>
      <c r="K2322" s="525"/>
    </row>
    <row r="2323" spans="1:11" s="520" customFormat="1" ht="15.75">
      <c r="A2323" s="157"/>
      <c r="B2323" s="519"/>
      <c r="J2323" s="524"/>
      <c r="K2323" s="525"/>
    </row>
    <row r="2324" spans="1:11" s="520" customFormat="1" ht="15.75">
      <c r="A2324" s="157"/>
      <c r="B2324" s="519"/>
      <c r="J2324" s="524"/>
      <c r="K2324" s="525"/>
    </row>
    <row r="2325" spans="1:11" s="520" customFormat="1" ht="15.75">
      <c r="A2325" s="157"/>
      <c r="B2325" s="519"/>
      <c r="J2325" s="524"/>
      <c r="K2325" s="525"/>
    </row>
    <row r="2326" spans="1:11" s="520" customFormat="1" ht="15.75">
      <c r="A2326" s="157"/>
      <c r="B2326" s="519"/>
      <c r="J2326" s="524"/>
      <c r="K2326" s="525"/>
    </row>
    <row r="2327" spans="1:11" s="520" customFormat="1" ht="15.75">
      <c r="A2327" s="157"/>
      <c r="B2327" s="519"/>
      <c r="J2327" s="524"/>
      <c r="K2327" s="525"/>
    </row>
    <row r="2328" spans="1:11" s="520" customFormat="1" ht="15.75">
      <c r="A2328" s="157"/>
      <c r="B2328" s="519"/>
      <c r="J2328" s="524"/>
      <c r="K2328" s="525"/>
    </row>
    <row r="2329" spans="1:11" s="520" customFormat="1" ht="15.75">
      <c r="A2329" s="157"/>
      <c r="B2329" s="519"/>
      <c r="J2329" s="524"/>
      <c r="K2329" s="525"/>
    </row>
    <row r="2330" spans="1:11" s="520" customFormat="1" ht="15.75">
      <c r="A2330" s="157"/>
      <c r="B2330" s="519"/>
      <c r="J2330" s="524"/>
      <c r="K2330" s="525"/>
    </row>
    <row r="2331" spans="1:11" s="520" customFormat="1" ht="15.75">
      <c r="A2331" s="157"/>
      <c r="B2331" s="519"/>
      <c r="J2331" s="524"/>
      <c r="K2331" s="525"/>
    </row>
    <row r="2332" spans="1:11" s="520" customFormat="1" ht="15.75">
      <c r="A2332" s="157"/>
      <c r="B2332" s="519"/>
      <c r="J2332" s="524"/>
      <c r="K2332" s="525"/>
    </row>
    <row r="2333" spans="1:11" s="520" customFormat="1" ht="15.75">
      <c r="A2333" s="157"/>
      <c r="B2333" s="519"/>
      <c r="J2333" s="524"/>
      <c r="K2333" s="525"/>
    </row>
    <row r="2334" spans="1:11" s="520" customFormat="1" ht="15.75">
      <c r="A2334" s="157"/>
      <c r="B2334" s="519"/>
      <c r="J2334" s="524"/>
      <c r="K2334" s="525"/>
    </row>
    <row r="2335" spans="1:11" s="520" customFormat="1" ht="15.75">
      <c r="A2335" s="157"/>
      <c r="B2335" s="519"/>
      <c r="J2335" s="524"/>
      <c r="K2335" s="525"/>
    </row>
    <row r="2336" spans="1:11" s="520" customFormat="1" ht="15.75">
      <c r="A2336" s="157"/>
      <c r="B2336" s="519"/>
      <c r="J2336" s="524"/>
      <c r="K2336" s="525"/>
    </row>
    <row r="2337" spans="1:11" s="520" customFormat="1" ht="15.75">
      <c r="A2337" s="157"/>
      <c r="B2337" s="519"/>
      <c r="J2337" s="524"/>
      <c r="K2337" s="525"/>
    </row>
    <row r="2338" spans="1:11" s="520" customFormat="1" ht="15.75">
      <c r="A2338" s="157"/>
      <c r="B2338" s="519"/>
      <c r="J2338" s="524"/>
      <c r="K2338" s="525"/>
    </row>
    <row r="2339" spans="1:11" s="520" customFormat="1" ht="15.75">
      <c r="A2339" s="157"/>
      <c r="B2339" s="519"/>
      <c r="J2339" s="524"/>
      <c r="K2339" s="525"/>
    </row>
    <row r="2340" spans="1:11" s="520" customFormat="1" ht="15.75">
      <c r="A2340" s="157"/>
      <c r="B2340" s="519"/>
      <c r="J2340" s="524"/>
      <c r="K2340" s="525"/>
    </row>
    <row r="2341" spans="1:11" s="520" customFormat="1" ht="15.75">
      <c r="A2341" s="157"/>
      <c r="B2341" s="519"/>
      <c r="J2341" s="524"/>
      <c r="K2341" s="525"/>
    </row>
    <row r="2342" spans="1:11" s="520" customFormat="1" ht="15.75">
      <c r="A2342" s="157"/>
      <c r="B2342" s="519"/>
      <c r="J2342" s="524"/>
      <c r="K2342" s="525"/>
    </row>
    <row r="2343" spans="1:11" s="520" customFormat="1" ht="15.75">
      <c r="A2343" s="157"/>
      <c r="B2343" s="519"/>
      <c r="J2343" s="524"/>
      <c r="K2343" s="525"/>
    </row>
    <row r="2344" spans="1:11" s="520" customFormat="1" ht="15.75">
      <c r="A2344" s="157"/>
      <c r="B2344" s="519"/>
      <c r="J2344" s="524"/>
      <c r="K2344" s="525"/>
    </row>
    <row r="2345" spans="1:11" s="520" customFormat="1" ht="15.75">
      <c r="A2345" s="157"/>
      <c r="B2345" s="519"/>
      <c r="J2345" s="524"/>
      <c r="K2345" s="525"/>
    </row>
    <row r="2346" spans="1:11" s="520" customFormat="1" ht="15.75">
      <c r="A2346" s="157"/>
      <c r="B2346" s="519"/>
      <c r="J2346" s="524"/>
      <c r="K2346" s="525"/>
    </row>
    <row r="2347" spans="1:11" s="520" customFormat="1" ht="15.75">
      <c r="A2347" s="157"/>
      <c r="B2347" s="519"/>
      <c r="J2347" s="524"/>
      <c r="K2347" s="525"/>
    </row>
    <row r="2348" spans="1:11" s="520" customFormat="1" ht="15.75">
      <c r="A2348" s="157"/>
      <c r="B2348" s="519"/>
      <c r="J2348" s="524"/>
      <c r="K2348" s="525"/>
    </row>
    <row r="2349" spans="1:11" s="520" customFormat="1" ht="15.75">
      <c r="A2349" s="157"/>
      <c r="B2349" s="519"/>
      <c r="J2349" s="524"/>
      <c r="K2349" s="525"/>
    </row>
    <row r="2350" spans="1:11" s="520" customFormat="1" ht="15.75">
      <c r="A2350" s="157"/>
      <c r="B2350" s="519"/>
      <c r="J2350" s="524"/>
      <c r="K2350" s="525"/>
    </row>
    <row r="2351" spans="1:11" s="520" customFormat="1" ht="15.75">
      <c r="A2351" s="157"/>
      <c r="B2351" s="519"/>
      <c r="J2351" s="524"/>
      <c r="K2351" s="525"/>
    </row>
    <row r="2352" spans="1:11" s="520" customFormat="1" ht="15.75">
      <c r="A2352" s="157"/>
      <c r="B2352" s="519"/>
      <c r="J2352" s="524"/>
      <c r="K2352" s="525"/>
    </row>
    <row r="2353" spans="1:11" s="520" customFormat="1" ht="15.75">
      <c r="A2353" s="157"/>
      <c r="B2353" s="519"/>
      <c r="J2353" s="524"/>
      <c r="K2353" s="525"/>
    </row>
    <row r="2354" spans="1:11" s="520" customFormat="1" ht="15.75">
      <c r="A2354" s="157"/>
      <c r="B2354" s="519"/>
      <c r="J2354" s="524"/>
      <c r="K2354" s="525"/>
    </row>
    <row r="2355" spans="1:11" s="520" customFormat="1" ht="15.75">
      <c r="A2355" s="157"/>
      <c r="B2355" s="519"/>
      <c r="J2355" s="524"/>
      <c r="K2355" s="525"/>
    </row>
    <row r="2356" spans="1:11" s="520" customFormat="1" ht="15.75">
      <c r="A2356" s="157"/>
      <c r="B2356" s="519"/>
      <c r="J2356" s="524"/>
      <c r="K2356" s="525"/>
    </row>
    <row r="2357" spans="1:11" s="520" customFormat="1" ht="15.75">
      <c r="A2357" s="157"/>
      <c r="B2357" s="519"/>
      <c r="J2357" s="524"/>
      <c r="K2357" s="525"/>
    </row>
    <row r="2358" spans="1:11" s="520" customFormat="1" ht="15.75">
      <c r="A2358" s="157"/>
      <c r="B2358" s="519"/>
      <c r="J2358" s="524"/>
      <c r="K2358" s="525"/>
    </row>
    <row r="2359" spans="1:11" s="520" customFormat="1" ht="15.75">
      <c r="A2359" s="157"/>
      <c r="B2359" s="519"/>
      <c r="J2359" s="524"/>
      <c r="K2359" s="525"/>
    </row>
    <row r="2360" spans="1:11" s="520" customFormat="1" ht="15.75">
      <c r="A2360" s="157"/>
      <c r="B2360" s="519"/>
      <c r="J2360" s="524"/>
      <c r="K2360" s="525"/>
    </row>
    <row r="2361" spans="1:11" s="520" customFormat="1" ht="15.75">
      <c r="A2361" s="157"/>
      <c r="B2361" s="519"/>
      <c r="J2361" s="524"/>
      <c r="K2361" s="525"/>
    </row>
    <row r="2362" spans="1:11" s="520" customFormat="1" ht="15.75">
      <c r="A2362" s="157"/>
      <c r="B2362" s="519"/>
      <c r="J2362" s="524"/>
      <c r="K2362" s="525"/>
    </row>
    <row r="2363" spans="1:11" s="520" customFormat="1" ht="15.75">
      <c r="A2363" s="157"/>
      <c r="B2363" s="519"/>
      <c r="J2363" s="524"/>
      <c r="K2363" s="525"/>
    </row>
    <row r="2364" spans="1:11" s="520" customFormat="1" ht="15.75">
      <c r="A2364" s="157"/>
      <c r="B2364" s="519"/>
      <c r="J2364" s="524"/>
      <c r="K2364" s="525"/>
    </row>
    <row r="2365" spans="1:11" s="520" customFormat="1" ht="15.75">
      <c r="A2365" s="157"/>
      <c r="B2365" s="519"/>
      <c r="J2365" s="524"/>
      <c r="K2365" s="525"/>
    </row>
    <row r="2366" spans="1:11" s="520" customFormat="1" ht="15.75">
      <c r="A2366" s="157"/>
      <c r="B2366" s="519"/>
      <c r="J2366" s="524"/>
      <c r="K2366" s="525"/>
    </row>
    <row r="2367" spans="1:11" s="520" customFormat="1" ht="15.75">
      <c r="A2367" s="157"/>
      <c r="B2367" s="519"/>
      <c r="J2367" s="524"/>
      <c r="K2367" s="525"/>
    </row>
    <row r="2368" spans="1:11" s="520" customFormat="1" ht="15.75">
      <c r="A2368" s="157"/>
      <c r="B2368" s="519"/>
      <c r="J2368" s="524"/>
      <c r="K2368" s="525"/>
    </row>
    <row r="2369" spans="1:11" s="520" customFormat="1" ht="15.75">
      <c r="A2369" s="157"/>
      <c r="B2369" s="519"/>
      <c r="J2369" s="524"/>
      <c r="K2369" s="525"/>
    </row>
    <row r="2370" spans="1:11" s="520" customFormat="1" ht="15.75">
      <c r="A2370" s="157"/>
      <c r="B2370" s="519"/>
      <c r="J2370" s="524"/>
      <c r="K2370" s="525"/>
    </row>
    <row r="2371" spans="1:11" s="520" customFormat="1" ht="15.75">
      <c r="A2371" s="157"/>
      <c r="B2371" s="519"/>
      <c r="J2371" s="524"/>
      <c r="K2371" s="525"/>
    </row>
    <row r="2372" spans="1:11" s="520" customFormat="1" ht="15.75">
      <c r="A2372" s="157"/>
      <c r="B2372" s="519"/>
      <c r="J2372" s="524"/>
      <c r="K2372" s="525"/>
    </row>
    <row r="2373" spans="1:11" s="520" customFormat="1" ht="15.75">
      <c r="A2373" s="157"/>
      <c r="B2373" s="519"/>
      <c r="J2373" s="524"/>
      <c r="K2373" s="525"/>
    </row>
    <row r="2374" spans="1:11" s="520" customFormat="1" ht="15.75">
      <c r="A2374" s="157"/>
      <c r="B2374" s="519"/>
      <c r="J2374" s="524"/>
      <c r="K2374" s="525"/>
    </row>
    <row r="2375" spans="1:11" s="520" customFormat="1" ht="15.75">
      <c r="A2375" s="157"/>
      <c r="B2375" s="519"/>
      <c r="J2375" s="524"/>
      <c r="K2375" s="525"/>
    </row>
    <row r="2376" spans="1:11" s="520" customFormat="1" ht="15.75">
      <c r="A2376" s="157"/>
      <c r="B2376" s="519"/>
      <c r="J2376" s="524"/>
      <c r="K2376" s="525"/>
    </row>
    <row r="2377" spans="1:11" s="520" customFormat="1" ht="15.75">
      <c r="A2377" s="157"/>
      <c r="B2377" s="519"/>
      <c r="J2377" s="524"/>
      <c r="K2377" s="525"/>
    </row>
    <row r="2378" spans="1:11" s="520" customFormat="1" ht="15.75">
      <c r="A2378" s="157"/>
      <c r="B2378" s="519"/>
      <c r="J2378" s="524"/>
      <c r="K2378" s="525"/>
    </row>
    <row r="2379" spans="1:11" s="520" customFormat="1" ht="15.75">
      <c r="A2379" s="157"/>
      <c r="B2379" s="519"/>
      <c r="J2379" s="524"/>
      <c r="K2379" s="525"/>
    </row>
    <row r="2380" spans="1:11" s="520" customFormat="1" ht="15.75">
      <c r="A2380" s="157"/>
      <c r="B2380" s="519"/>
      <c r="J2380" s="524"/>
      <c r="K2380" s="525"/>
    </row>
    <row r="2381" spans="1:11" s="520" customFormat="1" ht="15.75">
      <c r="A2381" s="157"/>
      <c r="B2381" s="519"/>
      <c r="J2381" s="524"/>
      <c r="K2381" s="525"/>
    </row>
    <row r="2382" spans="1:11" s="520" customFormat="1" ht="15.75">
      <c r="A2382" s="157"/>
      <c r="B2382" s="519"/>
      <c r="J2382" s="524"/>
      <c r="K2382" s="525"/>
    </row>
    <row r="2383" spans="1:11" s="520" customFormat="1" ht="15.75">
      <c r="A2383" s="157"/>
      <c r="B2383" s="519"/>
      <c r="J2383" s="524"/>
      <c r="K2383" s="525"/>
    </row>
    <row r="2384" spans="1:11" s="520" customFormat="1" ht="15.75">
      <c r="A2384" s="157"/>
      <c r="B2384" s="519"/>
      <c r="J2384" s="524"/>
      <c r="K2384" s="525"/>
    </row>
    <row r="2385" spans="1:11" s="520" customFormat="1" ht="15.75">
      <c r="A2385" s="157"/>
      <c r="B2385" s="519"/>
      <c r="J2385" s="524"/>
      <c r="K2385" s="525"/>
    </row>
    <row r="2386" spans="1:11" s="520" customFormat="1" ht="15.75">
      <c r="A2386" s="157"/>
      <c r="B2386" s="519"/>
      <c r="J2386" s="524"/>
      <c r="K2386" s="525"/>
    </row>
    <row r="2387" spans="1:11" s="520" customFormat="1" ht="15.75">
      <c r="A2387" s="157"/>
      <c r="B2387" s="519"/>
      <c r="J2387" s="524"/>
      <c r="K2387" s="525"/>
    </row>
    <row r="2388" spans="1:11" s="520" customFormat="1" ht="15.75">
      <c r="A2388" s="157"/>
      <c r="B2388" s="519"/>
      <c r="J2388" s="524"/>
      <c r="K2388" s="525"/>
    </row>
    <row r="2389" spans="1:11" s="520" customFormat="1" ht="15.75">
      <c r="A2389" s="157"/>
      <c r="B2389" s="519"/>
      <c r="J2389" s="524"/>
      <c r="K2389" s="525"/>
    </row>
    <row r="2390" spans="1:11" s="520" customFormat="1" ht="15.75">
      <c r="A2390" s="157"/>
      <c r="B2390" s="519"/>
      <c r="J2390" s="524"/>
      <c r="K2390" s="525"/>
    </row>
    <row r="2391" spans="1:11" s="520" customFormat="1" ht="15.75">
      <c r="A2391" s="157"/>
      <c r="B2391" s="519"/>
      <c r="J2391" s="524"/>
      <c r="K2391" s="525"/>
    </row>
    <row r="2392" spans="1:11" s="520" customFormat="1" ht="15.75">
      <c r="A2392" s="157"/>
      <c r="B2392" s="519"/>
      <c r="J2392" s="524"/>
      <c r="K2392" s="525"/>
    </row>
    <row r="2393" spans="1:11" s="520" customFormat="1" ht="15.75">
      <c r="A2393" s="157"/>
      <c r="B2393" s="519"/>
      <c r="J2393" s="524"/>
      <c r="K2393" s="525"/>
    </row>
    <row r="2394" spans="1:11" s="520" customFormat="1" ht="15.75">
      <c r="A2394" s="157"/>
      <c r="B2394" s="519"/>
      <c r="J2394" s="524"/>
      <c r="K2394" s="525"/>
    </row>
    <row r="2395" spans="1:11" s="520" customFormat="1" ht="15.75">
      <c r="A2395" s="157"/>
      <c r="B2395" s="519"/>
      <c r="J2395" s="524"/>
      <c r="K2395" s="525"/>
    </row>
    <row r="2396" spans="1:11" s="520" customFormat="1" ht="15.75">
      <c r="A2396" s="157"/>
      <c r="B2396" s="519"/>
      <c r="J2396" s="524"/>
      <c r="K2396" s="525"/>
    </row>
    <row r="2397" spans="1:11" s="520" customFormat="1" ht="15.75">
      <c r="A2397" s="157"/>
      <c r="B2397" s="519"/>
      <c r="J2397" s="524"/>
      <c r="K2397" s="525"/>
    </row>
    <row r="2398" spans="1:11" s="520" customFormat="1" ht="15.75">
      <c r="A2398" s="157"/>
      <c r="B2398" s="519"/>
      <c r="J2398" s="524"/>
      <c r="K2398" s="525"/>
    </row>
    <row r="2399" spans="1:11" s="520" customFormat="1" ht="15.75">
      <c r="A2399" s="157"/>
      <c r="B2399" s="519"/>
      <c r="J2399" s="524"/>
      <c r="K2399" s="525"/>
    </row>
    <row r="2400" spans="1:11" s="520" customFormat="1" ht="15.75">
      <c r="A2400" s="157"/>
      <c r="B2400" s="519"/>
      <c r="J2400" s="524"/>
      <c r="K2400" s="525"/>
    </row>
    <row r="2401" spans="1:11" s="520" customFormat="1" ht="15.75">
      <c r="A2401" s="157"/>
      <c r="B2401" s="519"/>
      <c r="J2401" s="524"/>
      <c r="K2401" s="525"/>
    </row>
    <row r="2402" spans="1:11" s="520" customFormat="1" ht="15.75">
      <c r="A2402" s="157"/>
      <c r="B2402" s="519"/>
      <c r="J2402" s="524"/>
      <c r="K2402" s="525"/>
    </row>
    <row r="2403" spans="1:11" s="520" customFormat="1" ht="15.75">
      <c r="A2403" s="157"/>
      <c r="B2403" s="519"/>
      <c r="J2403" s="524"/>
      <c r="K2403" s="525"/>
    </row>
    <row r="2404" spans="1:11" s="520" customFormat="1" ht="15.75">
      <c r="A2404" s="157"/>
      <c r="B2404" s="519"/>
      <c r="J2404" s="524"/>
      <c r="K2404" s="525"/>
    </row>
    <row r="2405" spans="1:11" s="520" customFormat="1" ht="15.75">
      <c r="A2405" s="157"/>
      <c r="B2405" s="519"/>
      <c r="J2405" s="524"/>
      <c r="K2405" s="525"/>
    </row>
    <row r="2406" spans="1:11" s="520" customFormat="1" ht="15.75">
      <c r="A2406" s="157"/>
      <c r="B2406" s="519"/>
      <c r="J2406" s="524"/>
      <c r="K2406" s="525"/>
    </row>
    <row r="2407" spans="1:11" s="520" customFormat="1" ht="15.75">
      <c r="A2407" s="157"/>
      <c r="B2407" s="519"/>
      <c r="J2407" s="524"/>
      <c r="K2407" s="525"/>
    </row>
    <row r="2408" spans="1:11" s="520" customFormat="1" ht="15.75">
      <c r="A2408" s="157"/>
      <c r="B2408" s="519"/>
      <c r="J2408" s="524"/>
      <c r="K2408" s="525"/>
    </row>
    <row r="2409" spans="1:11" s="520" customFormat="1" ht="15.75">
      <c r="A2409" s="157"/>
      <c r="B2409" s="519"/>
      <c r="J2409" s="524"/>
      <c r="K2409" s="525"/>
    </row>
    <row r="2410" spans="1:11" s="520" customFormat="1" ht="15.75">
      <c r="A2410" s="157"/>
      <c r="B2410" s="519"/>
      <c r="J2410" s="524"/>
      <c r="K2410" s="525"/>
    </row>
    <row r="2411" spans="1:11" s="520" customFormat="1" ht="15.75">
      <c r="A2411" s="157"/>
      <c r="B2411" s="519"/>
      <c r="J2411" s="524"/>
      <c r="K2411" s="525"/>
    </row>
    <row r="2412" spans="1:11" s="520" customFormat="1" ht="15.75">
      <c r="A2412" s="157"/>
      <c r="B2412" s="519"/>
      <c r="J2412" s="524"/>
      <c r="K2412" s="525"/>
    </row>
    <row r="2413" spans="1:11" s="520" customFormat="1" ht="15.75">
      <c r="A2413" s="157"/>
      <c r="B2413" s="519"/>
      <c r="J2413" s="524"/>
      <c r="K2413" s="525"/>
    </row>
    <row r="2414" spans="1:11" s="520" customFormat="1" ht="15.75">
      <c r="A2414" s="157"/>
      <c r="B2414" s="519"/>
      <c r="J2414" s="524"/>
      <c r="K2414" s="525"/>
    </row>
    <row r="2415" spans="1:11" s="520" customFormat="1" ht="15.75">
      <c r="A2415" s="157"/>
      <c r="B2415" s="519"/>
      <c r="J2415" s="524"/>
      <c r="K2415" s="525"/>
    </row>
    <row r="2416" spans="1:11" s="520" customFormat="1" ht="15.75">
      <c r="A2416" s="157"/>
      <c r="B2416" s="519"/>
      <c r="J2416" s="524"/>
      <c r="K2416" s="525"/>
    </row>
    <row r="2417" spans="1:11" s="520" customFormat="1" ht="15.75">
      <c r="A2417" s="157"/>
      <c r="B2417" s="519"/>
      <c r="J2417" s="524"/>
      <c r="K2417" s="525"/>
    </row>
    <row r="2418" spans="1:11" s="520" customFormat="1" ht="15.75">
      <c r="A2418" s="157"/>
      <c r="B2418" s="519"/>
      <c r="J2418" s="524"/>
      <c r="K2418" s="525"/>
    </row>
    <row r="2419" spans="1:11" s="520" customFormat="1" ht="15.75">
      <c r="A2419" s="157"/>
      <c r="B2419" s="519"/>
      <c r="J2419" s="524"/>
      <c r="K2419" s="525"/>
    </row>
    <row r="2420" spans="1:11" s="520" customFormat="1" ht="15.75">
      <c r="A2420" s="157"/>
      <c r="B2420" s="519"/>
      <c r="J2420" s="524"/>
      <c r="K2420" s="525"/>
    </row>
    <row r="2421" spans="1:11" s="520" customFormat="1" ht="15.75">
      <c r="A2421" s="157"/>
      <c r="B2421" s="519"/>
      <c r="J2421" s="524"/>
      <c r="K2421" s="525"/>
    </row>
    <row r="2422" spans="1:11" s="520" customFormat="1" ht="15.75">
      <c r="A2422" s="157"/>
      <c r="B2422" s="519"/>
      <c r="J2422" s="524"/>
      <c r="K2422" s="525"/>
    </row>
    <row r="2423" spans="1:11" s="520" customFormat="1" ht="15.75">
      <c r="A2423" s="157"/>
      <c r="B2423" s="519"/>
      <c r="J2423" s="524"/>
      <c r="K2423" s="525"/>
    </row>
    <row r="2424" spans="1:11" s="520" customFormat="1" ht="15.75">
      <c r="A2424" s="157"/>
      <c r="B2424" s="519"/>
      <c r="J2424" s="524"/>
      <c r="K2424" s="525"/>
    </row>
    <row r="2425" spans="1:11" s="520" customFormat="1" ht="15.75">
      <c r="A2425" s="157"/>
      <c r="B2425" s="519"/>
      <c r="J2425" s="524"/>
      <c r="K2425" s="525"/>
    </row>
    <row r="2426" spans="1:11" s="520" customFormat="1" ht="15.75">
      <c r="A2426" s="157"/>
      <c r="B2426" s="519"/>
      <c r="J2426" s="524"/>
      <c r="K2426" s="525"/>
    </row>
    <row r="2427" spans="1:11" s="520" customFormat="1" ht="15.75">
      <c r="A2427" s="157"/>
      <c r="B2427" s="519"/>
      <c r="J2427" s="524"/>
      <c r="K2427" s="525"/>
    </row>
    <row r="2428" spans="1:11" s="520" customFormat="1" ht="15.75">
      <c r="A2428" s="157"/>
      <c r="B2428" s="519"/>
      <c r="J2428" s="524"/>
      <c r="K2428" s="525"/>
    </row>
    <row r="2429" spans="1:11" s="520" customFormat="1" ht="15.75">
      <c r="A2429" s="157"/>
      <c r="B2429" s="519"/>
      <c r="J2429" s="524"/>
      <c r="K2429" s="525"/>
    </row>
    <row r="2430" spans="1:11" s="520" customFormat="1" ht="15.75">
      <c r="A2430" s="157"/>
      <c r="B2430" s="519"/>
      <c r="J2430" s="524"/>
      <c r="K2430" s="525"/>
    </row>
    <row r="2431" spans="1:11" s="520" customFormat="1" ht="15.75">
      <c r="A2431" s="157"/>
      <c r="B2431" s="519"/>
      <c r="J2431" s="524"/>
      <c r="K2431" s="525"/>
    </row>
    <row r="2432" spans="1:11" s="520" customFormat="1" ht="15.75">
      <c r="A2432" s="157"/>
      <c r="B2432" s="519"/>
      <c r="J2432" s="524"/>
      <c r="K2432" s="525"/>
    </row>
    <row r="2433" spans="1:11" s="520" customFormat="1" ht="15.75">
      <c r="A2433" s="157"/>
      <c r="B2433" s="519"/>
      <c r="J2433" s="524"/>
      <c r="K2433" s="525"/>
    </row>
    <row r="2434" spans="1:11" s="520" customFormat="1" ht="15.75">
      <c r="A2434" s="157"/>
      <c r="B2434" s="519"/>
      <c r="J2434" s="524"/>
      <c r="K2434" s="525"/>
    </row>
    <row r="2435" spans="1:11" s="520" customFormat="1" ht="15.75">
      <c r="A2435" s="157"/>
      <c r="B2435" s="519"/>
      <c r="J2435" s="524"/>
      <c r="K2435" s="525"/>
    </row>
    <row r="2436" spans="1:11" s="520" customFormat="1" ht="15.75">
      <c r="A2436" s="157"/>
      <c r="B2436" s="519"/>
      <c r="J2436" s="524"/>
      <c r="K2436" s="525"/>
    </row>
    <row r="2437" spans="1:11" s="520" customFormat="1" ht="15.75">
      <c r="A2437" s="157"/>
      <c r="B2437" s="519"/>
      <c r="J2437" s="524"/>
      <c r="K2437" s="525"/>
    </row>
    <row r="2438" spans="1:11" s="520" customFormat="1" ht="15.75">
      <c r="A2438" s="157"/>
      <c r="B2438" s="519"/>
      <c r="J2438" s="524"/>
      <c r="K2438" s="525"/>
    </row>
    <row r="2439" spans="1:11" s="520" customFormat="1" ht="15.75">
      <c r="A2439" s="157"/>
      <c r="B2439" s="519"/>
      <c r="J2439" s="524"/>
      <c r="K2439" s="525"/>
    </row>
    <row r="2440" spans="1:11" s="520" customFormat="1" ht="15.75">
      <c r="A2440" s="157"/>
      <c r="B2440" s="519"/>
      <c r="J2440" s="524"/>
      <c r="K2440" s="525"/>
    </row>
    <row r="2441" spans="1:11" s="520" customFormat="1" ht="15.75">
      <c r="A2441" s="157"/>
      <c r="B2441" s="519"/>
      <c r="J2441" s="524"/>
      <c r="K2441" s="525"/>
    </row>
    <row r="2442" spans="1:11" s="520" customFormat="1" ht="15.75">
      <c r="A2442" s="157"/>
      <c r="B2442" s="519"/>
      <c r="J2442" s="524"/>
      <c r="K2442" s="525"/>
    </row>
    <row r="2443" spans="1:11" s="520" customFormat="1" ht="15.75">
      <c r="A2443" s="157"/>
      <c r="B2443" s="519"/>
      <c r="J2443" s="524"/>
      <c r="K2443" s="525"/>
    </row>
    <row r="2444" spans="1:11" s="520" customFormat="1" ht="15.75">
      <c r="A2444" s="157"/>
      <c r="B2444" s="519"/>
      <c r="J2444" s="524"/>
      <c r="K2444" s="525"/>
    </row>
    <row r="2445" spans="1:11" s="520" customFormat="1" ht="15.75">
      <c r="A2445" s="157"/>
      <c r="B2445" s="519"/>
      <c r="J2445" s="524"/>
      <c r="K2445" s="525"/>
    </row>
    <row r="2446" spans="1:11" s="520" customFormat="1" ht="15.75">
      <c r="A2446" s="157"/>
      <c r="B2446" s="519"/>
      <c r="J2446" s="524"/>
      <c r="K2446" s="525"/>
    </row>
    <row r="2447" spans="1:11" s="520" customFormat="1" ht="15.75">
      <c r="A2447" s="157"/>
      <c r="B2447" s="519"/>
      <c r="J2447" s="524"/>
      <c r="K2447" s="525"/>
    </row>
    <row r="2448" spans="1:11" s="520" customFormat="1" ht="15.75">
      <c r="A2448" s="157"/>
      <c r="B2448" s="519"/>
      <c r="J2448" s="524"/>
      <c r="K2448" s="525"/>
    </row>
    <row r="2449" spans="1:11" s="520" customFormat="1" ht="15.75">
      <c r="A2449" s="157"/>
      <c r="B2449" s="519"/>
      <c r="J2449" s="524"/>
      <c r="K2449" s="525"/>
    </row>
    <row r="2450" spans="1:11" s="520" customFormat="1" ht="15.75">
      <c r="A2450" s="157"/>
      <c r="B2450" s="519"/>
      <c r="J2450" s="524"/>
      <c r="K2450" s="525"/>
    </row>
    <row r="2451" spans="1:11" s="520" customFormat="1" ht="15.75">
      <c r="A2451" s="157"/>
      <c r="B2451" s="519"/>
      <c r="J2451" s="524"/>
      <c r="K2451" s="525"/>
    </row>
    <row r="2452" spans="1:11" s="520" customFormat="1" ht="15.75">
      <c r="A2452" s="157"/>
      <c r="B2452" s="519"/>
      <c r="J2452" s="524"/>
      <c r="K2452" s="525"/>
    </row>
    <row r="2453" spans="1:11" s="520" customFormat="1" ht="15.75">
      <c r="A2453" s="157"/>
      <c r="B2453" s="519"/>
      <c r="J2453" s="524"/>
      <c r="K2453" s="525"/>
    </row>
    <row r="2454" spans="1:11" s="520" customFormat="1" ht="15.75">
      <c r="A2454" s="157"/>
      <c r="B2454" s="519"/>
      <c r="J2454" s="524"/>
      <c r="K2454" s="525"/>
    </row>
    <row r="2455" spans="1:11" s="520" customFormat="1" ht="15.75">
      <c r="A2455" s="157"/>
      <c r="B2455" s="519"/>
      <c r="J2455" s="524"/>
      <c r="K2455" s="525"/>
    </row>
    <row r="2456" spans="1:11" s="520" customFormat="1" ht="15.75">
      <c r="A2456" s="157"/>
      <c r="B2456" s="519"/>
      <c r="J2456" s="524"/>
      <c r="K2456" s="525"/>
    </row>
    <row r="2457" spans="1:11" s="520" customFormat="1" ht="15.75">
      <c r="A2457" s="157"/>
      <c r="B2457" s="519"/>
      <c r="J2457" s="524"/>
      <c r="K2457" s="525"/>
    </row>
    <row r="2458" spans="1:11" s="520" customFormat="1" ht="15.75">
      <c r="A2458" s="157"/>
      <c r="B2458" s="519"/>
      <c r="J2458" s="524"/>
      <c r="K2458" s="525"/>
    </row>
    <row r="2459" spans="1:11" s="520" customFormat="1" ht="15.75">
      <c r="A2459" s="157"/>
      <c r="B2459" s="519"/>
      <c r="J2459" s="524"/>
      <c r="K2459" s="525"/>
    </row>
    <row r="2460" spans="1:11" s="520" customFormat="1" ht="15.75">
      <c r="A2460" s="157"/>
      <c r="B2460" s="519"/>
      <c r="J2460" s="524"/>
      <c r="K2460" s="525"/>
    </row>
    <row r="2461" spans="1:11" s="520" customFormat="1" ht="15.75">
      <c r="A2461" s="157"/>
      <c r="B2461" s="519"/>
      <c r="J2461" s="524"/>
      <c r="K2461" s="525"/>
    </row>
    <row r="2462" spans="1:11" s="520" customFormat="1" ht="15.75">
      <c r="A2462" s="157"/>
      <c r="B2462" s="519"/>
      <c r="J2462" s="524"/>
      <c r="K2462" s="525"/>
    </row>
    <row r="2463" spans="1:11" s="520" customFormat="1" ht="15.75">
      <c r="A2463" s="157"/>
      <c r="B2463" s="519"/>
      <c r="J2463" s="524"/>
      <c r="K2463" s="525"/>
    </row>
    <row r="2464" spans="1:11" s="520" customFormat="1" ht="15.75">
      <c r="A2464" s="157"/>
      <c r="B2464" s="519"/>
      <c r="J2464" s="524"/>
      <c r="K2464" s="525"/>
    </row>
    <row r="2465" spans="1:11" s="520" customFormat="1" ht="15.75">
      <c r="A2465" s="157"/>
      <c r="B2465" s="519"/>
      <c r="J2465" s="524"/>
      <c r="K2465" s="525"/>
    </row>
    <row r="2466" spans="1:11" s="520" customFormat="1" ht="15.75">
      <c r="A2466" s="157"/>
      <c r="B2466" s="519"/>
      <c r="J2466" s="524"/>
      <c r="K2466" s="525"/>
    </row>
    <row r="2467" spans="1:11" s="520" customFormat="1" ht="15.75">
      <c r="A2467" s="157"/>
      <c r="B2467" s="519"/>
      <c r="J2467" s="524"/>
      <c r="K2467" s="525"/>
    </row>
    <row r="2468" spans="1:11" s="520" customFormat="1" ht="15.75">
      <c r="A2468" s="157"/>
      <c r="B2468" s="519"/>
      <c r="J2468" s="524"/>
      <c r="K2468" s="525"/>
    </row>
    <row r="2469" spans="1:11" s="520" customFormat="1" ht="15.75">
      <c r="A2469" s="157"/>
      <c r="B2469" s="519"/>
      <c r="J2469" s="524"/>
      <c r="K2469" s="525"/>
    </row>
    <row r="2470" spans="1:11" s="520" customFormat="1" ht="15.75">
      <c r="A2470" s="157"/>
      <c r="B2470" s="519"/>
      <c r="J2470" s="524"/>
      <c r="K2470" s="525"/>
    </row>
    <row r="2471" spans="1:11" s="520" customFormat="1" ht="15.75">
      <c r="A2471" s="157"/>
      <c r="B2471" s="519"/>
      <c r="J2471" s="524"/>
      <c r="K2471" s="525"/>
    </row>
    <row r="2472" spans="1:11" s="520" customFormat="1" ht="15.75">
      <c r="A2472" s="157"/>
      <c r="B2472" s="519"/>
      <c r="J2472" s="524"/>
      <c r="K2472" s="525"/>
    </row>
    <row r="2473" spans="1:11" s="520" customFormat="1" ht="15.75">
      <c r="A2473" s="157"/>
      <c r="B2473" s="519"/>
      <c r="J2473" s="524"/>
      <c r="K2473" s="525"/>
    </row>
    <row r="2474" spans="1:11" s="520" customFormat="1" ht="15.75">
      <c r="A2474" s="157"/>
      <c r="B2474" s="519"/>
      <c r="J2474" s="524"/>
      <c r="K2474" s="525"/>
    </row>
    <row r="2475" spans="1:11" s="520" customFormat="1" ht="15.75">
      <c r="A2475" s="157"/>
      <c r="B2475" s="519"/>
      <c r="J2475" s="524"/>
      <c r="K2475" s="525"/>
    </row>
    <row r="2476" spans="1:11" s="520" customFormat="1" ht="15.75">
      <c r="A2476" s="157"/>
      <c r="B2476" s="519"/>
      <c r="J2476" s="524"/>
      <c r="K2476" s="525"/>
    </row>
    <row r="2477" spans="1:11" s="520" customFormat="1" ht="15.75">
      <c r="A2477" s="157"/>
      <c r="B2477" s="519"/>
      <c r="J2477" s="524"/>
      <c r="K2477" s="525"/>
    </row>
    <row r="2478" spans="1:11" s="520" customFormat="1" ht="15.75">
      <c r="A2478" s="157"/>
      <c r="B2478" s="519"/>
      <c r="J2478" s="524"/>
      <c r="K2478" s="525"/>
    </row>
    <row r="2479" spans="1:11" s="520" customFormat="1" ht="15.75">
      <c r="A2479" s="157"/>
      <c r="B2479" s="519"/>
      <c r="J2479" s="524"/>
      <c r="K2479" s="525"/>
    </row>
    <row r="2480" spans="1:11" s="520" customFormat="1" ht="15.75">
      <c r="A2480" s="157"/>
      <c r="B2480" s="519"/>
      <c r="J2480" s="524"/>
      <c r="K2480" s="525"/>
    </row>
    <row r="2481" spans="1:11" s="520" customFormat="1" ht="15.75">
      <c r="A2481" s="157"/>
      <c r="B2481" s="519"/>
      <c r="J2481" s="524"/>
      <c r="K2481" s="525"/>
    </row>
    <row r="2482" spans="1:11" s="520" customFormat="1" ht="15.75">
      <c r="A2482" s="157"/>
      <c r="B2482" s="519"/>
      <c r="J2482" s="524"/>
      <c r="K2482" s="525"/>
    </row>
    <row r="2483" spans="1:11" s="520" customFormat="1" ht="15.75">
      <c r="A2483" s="157"/>
      <c r="B2483" s="519"/>
      <c r="J2483" s="524"/>
      <c r="K2483" s="525"/>
    </row>
    <row r="2484" spans="1:11" s="520" customFormat="1" ht="15.75">
      <c r="A2484" s="157"/>
      <c r="B2484" s="519"/>
      <c r="J2484" s="524"/>
      <c r="K2484" s="525"/>
    </row>
    <row r="2485" spans="1:11" s="520" customFormat="1" ht="15.75">
      <c r="A2485" s="157"/>
      <c r="B2485" s="519"/>
      <c r="J2485" s="524"/>
      <c r="K2485" s="525"/>
    </row>
    <row r="2486" spans="1:11" s="520" customFormat="1" ht="15.75">
      <c r="A2486" s="157"/>
      <c r="B2486" s="519"/>
      <c r="J2486" s="524"/>
      <c r="K2486" s="525"/>
    </row>
    <row r="2487" spans="1:11" s="520" customFormat="1" ht="15.75">
      <c r="A2487" s="157"/>
      <c r="B2487" s="519"/>
      <c r="J2487" s="524"/>
      <c r="K2487" s="525"/>
    </row>
    <row r="2488" spans="1:11" s="520" customFormat="1" ht="15.75">
      <c r="A2488" s="157"/>
      <c r="B2488" s="519"/>
      <c r="J2488" s="524"/>
      <c r="K2488" s="525"/>
    </row>
    <row r="2489" spans="1:11" s="520" customFormat="1" ht="15.75">
      <c r="A2489" s="157"/>
      <c r="B2489" s="519"/>
      <c r="J2489" s="524"/>
      <c r="K2489" s="525"/>
    </row>
    <row r="2490" spans="1:11" s="520" customFormat="1" ht="15.75">
      <c r="A2490" s="157"/>
      <c r="B2490" s="519"/>
      <c r="J2490" s="524"/>
      <c r="K2490" s="525"/>
    </row>
    <row r="2491" spans="1:11" s="520" customFormat="1" ht="15.75">
      <c r="A2491" s="157"/>
      <c r="B2491" s="519"/>
      <c r="J2491" s="524"/>
      <c r="K2491" s="525"/>
    </row>
    <row r="2492" spans="1:11" s="520" customFormat="1" ht="15.75">
      <c r="A2492" s="157"/>
      <c r="B2492" s="519"/>
      <c r="J2492" s="524"/>
      <c r="K2492" s="525"/>
    </row>
    <row r="2493" spans="1:11" s="520" customFormat="1" ht="15.75">
      <c r="A2493" s="157"/>
      <c r="B2493" s="519"/>
      <c r="J2493" s="524"/>
      <c r="K2493" s="525"/>
    </row>
    <row r="2494" spans="1:11" s="520" customFormat="1" ht="15.75">
      <c r="A2494" s="157"/>
      <c r="B2494" s="519"/>
      <c r="J2494" s="524"/>
      <c r="K2494" s="525"/>
    </row>
    <row r="2495" spans="1:11" s="520" customFormat="1" ht="15.75">
      <c r="A2495" s="157"/>
      <c r="B2495" s="519"/>
      <c r="J2495" s="524"/>
      <c r="K2495" s="525"/>
    </row>
    <row r="2496" spans="1:11" s="520" customFormat="1" ht="15.75">
      <c r="A2496" s="157"/>
      <c r="B2496" s="519"/>
      <c r="J2496" s="524"/>
      <c r="K2496" s="525"/>
    </row>
    <row r="2497" spans="1:11" s="520" customFormat="1" ht="15.75">
      <c r="A2497" s="157"/>
      <c r="B2497" s="519"/>
      <c r="J2497" s="524"/>
      <c r="K2497" s="525"/>
    </row>
    <row r="2498" spans="1:11" s="520" customFormat="1" ht="15.75">
      <c r="A2498" s="157"/>
      <c r="B2498" s="519"/>
      <c r="J2498" s="524"/>
      <c r="K2498" s="525"/>
    </row>
    <row r="2499" spans="1:11" s="520" customFormat="1" ht="15.75">
      <c r="A2499" s="157"/>
      <c r="B2499" s="519"/>
      <c r="J2499" s="524"/>
      <c r="K2499" s="525"/>
    </row>
    <row r="2500" spans="1:11" s="520" customFormat="1" ht="15.75">
      <c r="A2500" s="157"/>
      <c r="B2500" s="519"/>
      <c r="J2500" s="524"/>
      <c r="K2500" s="525"/>
    </row>
    <row r="2501" spans="1:11" s="520" customFormat="1" ht="15.75">
      <c r="A2501" s="157"/>
      <c r="B2501" s="519"/>
      <c r="J2501" s="524"/>
      <c r="K2501" s="525"/>
    </row>
    <row r="2502" spans="1:11" s="520" customFormat="1" ht="15.75">
      <c r="A2502" s="157"/>
      <c r="B2502" s="519"/>
      <c r="J2502" s="524"/>
      <c r="K2502" s="525"/>
    </row>
    <row r="2503" spans="1:11" s="520" customFormat="1" ht="15.75">
      <c r="A2503" s="157"/>
      <c r="B2503" s="519"/>
      <c r="J2503" s="524"/>
      <c r="K2503" s="525"/>
    </row>
    <row r="2504" spans="1:11" s="520" customFormat="1" ht="15.75">
      <c r="A2504" s="157"/>
      <c r="B2504" s="519"/>
      <c r="J2504" s="524"/>
      <c r="K2504" s="525"/>
    </row>
    <row r="2505" spans="1:11" s="520" customFormat="1" ht="15.75">
      <c r="A2505" s="157"/>
      <c r="B2505" s="519"/>
      <c r="J2505" s="524"/>
      <c r="K2505" s="525"/>
    </row>
    <row r="2506" spans="1:11" s="520" customFormat="1" ht="15.75">
      <c r="A2506" s="157"/>
      <c r="B2506" s="519"/>
      <c r="J2506" s="524"/>
      <c r="K2506" s="525"/>
    </row>
    <row r="2507" spans="1:11" s="520" customFormat="1" ht="15.75">
      <c r="A2507" s="157"/>
      <c r="B2507" s="519"/>
      <c r="J2507" s="524"/>
      <c r="K2507" s="525"/>
    </row>
    <row r="2508" spans="1:11" s="520" customFormat="1" ht="15.75">
      <c r="A2508" s="157"/>
      <c r="B2508" s="519"/>
      <c r="J2508" s="524"/>
      <c r="K2508" s="525"/>
    </row>
    <row r="2509" spans="1:11" s="520" customFormat="1" ht="15.75">
      <c r="A2509" s="157"/>
      <c r="B2509" s="519"/>
      <c r="J2509" s="524"/>
      <c r="K2509" s="525"/>
    </row>
    <row r="2510" spans="1:11" s="520" customFormat="1" ht="15.75">
      <c r="A2510" s="157"/>
      <c r="B2510" s="519"/>
      <c r="J2510" s="524"/>
      <c r="K2510" s="525"/>
    </row>
    <row r="2511" spans="1:11" s="520" customFormat="1" ht="15.75">
      <c r="A2511" s="157"/>
      <c r="B2511" s="519"/>
      <c r="J2511" s="524"/>
      <c r="K2511" s="525"/>
    </row>
    <row r="2512" spans="1:11" s="520" customFormat="1" ht="15.75">
      <c r="A2512" s="157"/>
      <c r="B2512" s="519"/>
      <c r="J2512" s="524"/>
      <c r="K2512" s="525"/>
    </row>
    <row r="2513" spans="1:11" s="520" customFormat="1" ht="15.75">
      <c r="A2513" s="157"/>
      <c r="B2513" s="519"/>
      <c r="J2513" s="524"/>
      <c r="K2513" s="525"/>
    </row>
    <row r="2514" spans="1:11" s="520" customFormat="1" ht="15.75">
      <c r="A2514" s="157"/>
      <c r="B2514" s="519"/>
      <c r="J2514" s="524"/>
      <c r="K2514" s="525"/>
    </row>
    <row r="2515" spans="1:11" s="520" customFormat="1" ht="15.75">
      <c r="A2515" s="157"/>
      <c r="B2515" s="519"/>
      <c r="J2515" s="524"/>
      <c r="K2515" s="525"/>
    </row>
    <row r="2516" spans="1:11" s="520" customFormat="1" ht="15.75">
      <c r="A2516" s="157"/>
      <c r="B2516" s="519"/>
      <c r="J2516" s="524"/>
      <c r="K2516" s="525"/>
    </row>
    <row r="2517" spans="1:11" s="520" customFormat="1" ht="15.75">
      <c r="A2517" s="157"/>
      <c r="B2517" s="519"/>
      <c r="J2517" s="524"/>
      <c r="K2517" s="525"/>
    </row>
    <row r="2518" spans="1:11" s="520" customFormat="1" ht="15.75">
      <c r="A2518" s="157"/>
      <c r="B2518" s="519"/>
      <c r="J2518" s="524"/>
      <c r="K2518" s="525"/>
    </row>
    <row r="2519" spans="1:11" s="520" customFormat="1" ht="15.75">
      <c r="A2519" s="157"/>
      <c r="B2519" s="519"/>
      <c r="J2519" s="524"/>
      <c r="K2519" s="525"/>
    </row>
    <row r="2520" spans="1:11" s="520" customFormat="1" ht="15.75">
      <c r="A2520" s="157"/>
      <c r="B2520" s="519"/>
      <c r="J2520" s="524"/>
      <c r="K2520" s="525"/>
    </row>
    <row r="2521" spans="1:11" s="520" customFormat="1" ht="15.75">
      <c r="A2521" s="157"/>
      <c r="B2521" s="519"/>
      <c r="J2521" s="524"/>
      <c r="K2521" s="525"/>
    </row>
    <row r="2522" spans="1:11" s="520" customFormat="1" ht="15.75">
      <c r="A2522" s="157"/>
      <c r="B2522" s="519"/>
      <c r="J2522" s="524"/>
      <c r="K2522" s="525"/>
    </row>
    <row r="2523" spans="1:11" s="520" customFormat="1" ht="15.75">
      <c r="A2523" s="157"/>
      <c r="B2523" s="519"/>
      <c r="J2523" s="524"/>
      <c r="K2523" s="525"/>
    </row>
    <row r="2524" spans="1:11" s="520" customFormat="1" ht="15.75">
      <c r="A2524" s="157"/>
      <c r="B2524" s="519"/>
      <c r="J2524" s="524"/>
      <c r="K2524" s="525"/>
    </row>
    <row r="2525" spans="1:11" s="520" customFormat="1" ht="15.75">
      <c r="A2525" s="157"/>
      <c r="B2525" s="519"/>
      <c r="J2525" s="524"/>
      <c r="K2525" s="525"/>
    </row>
    <row r="2526" spans="1:11" s="520" customFormat="1" ht="15.75">
      <c r="A2526" s="157"/>
      <c r="B2526" s="519"/>
      <c r="J2526" s="524"/>
      <c r="K2526" s="525"/>
    </row>
    <row r="2527" spans="1:11" s="520" customFormat="1" ht="15.75">
      <c r="A2527" s="157"/>
      <c r="B2527" s="519"/>
      <c r="J2527" s="524"/>
      <c r="K2527" s="525"/>
    </row>
    <row r="2528" spans="1:11" s="520" customFormat="1" ht="15.75">
      <c r="A2528" s="157"/>
      <c r="B2528" s="519"/>
      <c r="J2528" s="524"/>
      <c r="K2528" s="525"/>
    </row>
    <row r="2529" spans="1:11" s="520" customFormat="1" ht="15.75">
      <c r="A2529" s="157"/>
      <c r="B2529" s="519"/>
      <c r="J2529" s="524"/>
      <c r="K2529" s="525"/>
    </row>
    <row r="2530" spans="1:11" s="520" customFormat="1" ht="15.75">
      <c r="A2530" s="157"/>
      <c r="B2530" s="519"/>
      <c r="J2530" s="524"/>
      <c r="K2530" s="525"/>
    </row>
    <row r="2531" spans="1:11" s="520" customFormat="1" ht="15.75">
      <c r="A2531" s="157"/>
      <c r="B2531" s="519"/>
      <c r="J2531" s="524"/>
      <c r="K2531" s="525"/>
    </row>
    <row r="2532" spans="1:11" s="520" customFormat="1" ht="15.75">
      <c r="A2532" s="157"/>
      <c r="B2532" s="519"/>
      <c r="J2532" s="524"/>
      <c r="K2532" s="525"/>
    </row>
    <row r="2533" spans="1:11" s="520" customFormat="1" ht="15.75">
      <c r="A2533" s="157"/>
      <c r="B2533" s="519"/>
      <c r="J2533" s="524"/>
      <c r="K2533" s="525"/>
    </row>
    <row r="2534" spans="1:11" s="520" customFormat="1" ht="15.75">
      <c r="A2534" s="157"/>
      <c r="B2534" s="519"/>
      <c r="J2534" s="524"/>
      <c r="K2534" s="525"/>
    </row>
    <row r="2535" spans="1:11" s="520" customFormat="1" ht="15.75">
      <c r="A2535" s="157"/>
      <c r="B2535" s="519"/>
      <c r="J2535" s="524"/>
      <c r="K2535" s="525"/>
    </row>
    <row r="2536" spans="1:11" s="520" customFormat="1" ht="15.75">
      <c r="A2536" s="157"/>
      <c r="B2536" s="519"/>
      <c r="J2536" s="524"/>
      <c r="K2536" s="525"/>
    </row>
    <row r="2537" spans="1:11" s="520" customFormat="1" ht="15.75">
      <c r="A2537" s="157"/>
      <c r="B2537" s="519"/>
      <c r="J2537" s="524"/>
      <c r="K2537" s="525"/>
    </row>
    <row r="2538" spans="1:11" s="520" customFormat="1" ht="15.75">
      <c r="A2538" s="157"/>
      <c r="B2538" s="519"/>
      <c r="J2538" s="524"/>
      <c r="K2538" s="525"/>
    </row>
    <row r="2539" spans="1:11" s="520" customFormat="1" ht="15.75">
      <c r="A2539" s="157"/>
      <c r="B2539" s="519"/>
      <c r="J2539" s="524"/>
      <c r="K2539" s="525"/>
    </row>
    <row r="2540" spans="1:11" s="520" customFormat="1" ht="15.75">
      <c r="A2540" s="157"/>
      <c r="B2540" s="519"/>
      <c r="J2540" s="524"/>
      <c r="K2540" s="525"/>
    </row>
    <row r="2541" spans="1:11" s="520" customFormat="1" ht="15.75">
      <c r="A2541" s="157"/>
      <c r="B2541" s="519"/>
      <c r="J2541" s="524"/>
      <c r="K2541" s="525"/>
    </row>
    <row r="2542" spans="1:11" s="520" customFormat="1" ht="15.75">
      <c r="A2542" s="157"/>
      <c r="B2542" s="519"/>
      <c r="J2542" s="524"/>
      <c r="K2542" s="525"/>
    </row>
    <row r="2543" spans="1:11" s="520" customFormat="1" ht="15.75">
      <c r="A2543" s="157"/>
      <c r="B2543" s="519"/>
      <c r="J2543" s="524"/>
      <c r="K2543" s="525"/>
    </row>
    <row r="2544" spans="1:11" s="520" customFormat="1" ht="15.75">
      <c r="A2544" s="157"/>
      <c r="B2544" s="519"/>
      <c r="J2544" s="524"/>
      <c r="K2544" s="525"/>
    </row>
    <row r="2545" spans="1:11" s="520" customFormat="1" ht="15.75">
      <c r="A2545" s="157"/>
      <c r="B2545" s="519"/>
      <c r="J2545" s="524"/>
      <c r="K2545" s="525"/>
    </row>
    <row r="2546" spans="1:11" s="520" customFormat="1" ht="15.75">
      <c r="A2546" s="157"/>
      <c r="B2546" s="519"/>
      <c r="J2546" s="524"/>
      <c r="K2546" s="525"/>
    </row>
    <row r="2547" spans="1:11" s="520" customFormat="1" ht="15.75">
      <c r="A2547" s="157"/>
      <c r="B2547" s="519"/>
      <c r="J2547" s="524"/>
      <c r="K2547" s="525"/>
    </row>
    <row r="2548" spans="1:11" s="520" customFormat="1" ht="15.75">
      <c r="A2548" s="157"/>
      <c r="B2548" s="519"/>
      <c r="J2548" s="524"/>
      <c r="K2548" s="525"/>
    </row>
    <row r="2549" spans="1:11" s="520" customFormat="1" ht="15.75">
      <c r="A2549" s="157"/>
      <c r="B2549" s="519"/>
      <c r="J2549" s="524"/>
      <c r="K2549" s="525"/>
    </row>
    <row r="2550" spans="1:11" s="520" customFormat="1" ht="15.75">
      <c r="A2550" s="157"/>
      <c r="B2550" s="519"/>
      <c r="J2550" s="524"/>
      <c r="K2550" s="525"/>
    </row>
    <row r="2551" spans="1:11" s="520" customFormat="1" ht="15.75">
      <c r="A2551" s="157"/>
      <c r="B2551" s="519"/>
      <c r="J2551" s="524"/>
      <c r="K2551" s="525"/>
    </row>
    <row r="2552" spans="1:11" s="520" customFormat="1" ht="15.75">
      <c r="A2552" s="157"/>
      <c r="B2552" s="519"/>
      <c r="J2552" s="524"/>
      <c r="K2552" s="525"/>
    </row>
    <row r="2553" spans="1:11" s="520" customFormat="1" ht="15.75">
      <c r="A2553" s="157"/>
      <c r="B2553" s="519"/>
      <c r="J2553" s="524"/>
      <c r="K2553" s="525"/>
    </row>
    <row r="2554" spans="1:11" s="520" customFormat="1" ht="15.75">
      <c r="A2554" s="157"/>
      <c r="B2554" s="519"/>
      <c r="J2554" s="524"/>
      <c r="K2554" s="525"/>
    </row>
    <row r="2555" spans="1:11" s="520" customFormat="1" ht="15.75">
      <c r="A2555" s="157"/>
      <c r="B2555" s="519"/>
      <c r="J2555" s="524"/>
      <c r="K2555" s="525"/>
    </row>
    <row r="2556" spans="1:11" s="520" customFormat="1" ht="15.75">
      <c r="A2556" s="157"/>
      <c r="B2556" s="519"/>
      <c r="J2556" s="524"/>
      <c r="K2556" s="525"/>
    </row>
    <row r="2557" spans="1:11" s="520" customFormat="1" ht="15.75">
      <c r="A2557" s="157"/>
      <c r="B2557" s="519"/>
      <c r="J2557" s="524"/>
      <c r="K2557" s="525"/>
    </row>
    <row r="2558" spans="1:11" s="520" customFormat="1" ht="15.75">
      <c r="A2558" s="157"/>
      <c r="B2558" s="519"/>
      <c r="J2558" s="524"/>
      <c r="K2558" s="525"/>
    </row>
    <row r="2559" spans="1:11" s="520" customFormat="1" ht="15.75">
      <c r="A2559" s="157"/>
      <c r="B2559" s="519"/>
      <c r="J2559" s="524"/>
      <c r="K2559" s="525"/>
    </row>
    <row r="2560" spans="1:11" s="520" customFormat="1" ht="15.75">
      <c r="A2560" s="157"/>
      <c r="B2560" s="519"/>
      <c r="J2560" s="524"/>
      <c r="K2560" s="525"/>
    </row>
    <row r="2561" spans="1:11" s="520" customFormat="1" ht="15.75">
      <c r="A2561" s="157"/>
      <c r="B2561" s="519"/>
      <c r="J2561" s="524"/>
      <c r="K2561" s="525"/>
    </row>
    <row r="2562" spans="1:11" s="520" customFormat="1" ht="15.75">
      <c r="A2562" s="157"/>
      <c r="B2562" s="519"/>
      <c r="J2562" s="524"/>
      <c r="K2562" s="525"/>
    </row>
    <row r="2563" spans="1:11" s="520" customFormat="1" ht="15.75">
      <c r="A2563" s="157"/>
      <c r="B2563" s="519"/>
      <c r="J2563" s="524"/>
      <c r="K2563" s="525"/>
    </row>
    <row r="2564" spans="1:11" s="520" customFormat="1" ht="15.75">
      <c r="A2564" s="157"/>
      <c r="B2564" s="519"/>
      <c r="J2564" s="524"/>
      <c r="K2564" s="525"/>
    </row>
    <row r="2565" spans="1:11" s="520" customFormat="1" ht="15.75">
      <c r="A2565" s="157"/>
      <c r="B2565" s="519"/>
      <c r="J2565" s="524"/>
      <c r="K2565" s="525"/>
    </row>
    <row r="2566" spans="1:11" s="520" customFormat="1" ht="15.75">
      <c r="A2566" s="157"/>
      <c r="B2566" s="519"/>
      <c r="J2566" s="524"/>
      <c r="K2566" s="525"/>
    </row>
    <row r="2567" spans="1:11" s="520" customFormat="1" ht="15.75">
      <c r="A2567" s="157"/>
      <c r="B2567" s="519"/>
      <c r="J2567" s="524"/>
      <c r="K2567" s="525"/>
    </row>
    <row r="2568" spans="1:11" s="520" customFormat="1" ht="15.75">
      <c r="A2568" s="157"/>
      <c r="B2568" s="519"/>
      <c r="J2568" s="524"/>
      <c r="K2568" s="525"/>
    </row>
    <row r="2569" spans="1:11" s="520" customFormat="1" ht="15.75">
      <c r="A2569" s="157"/>
      <c r="B2569" s="519"/>
      <c r="J2569" s="524"/>
      <c r="K2569" s="525"/>
    </row>
    <row r="2570" spans="1:11" s="520" customFormat="1" ht="15.75">
      <c r="A2570" s="157"/>
      <c r="B2570" s="519"/>
      <c r="J2570" s="524"/>
      <c r="K2570" s="525"/>
    </row>
    <row r="2571" spans="1:11" s="520" customFormat="1" ht="15.75">
      <c r="A2571" s="157"/>
      <c r="B2571" s="519"/>
      <c r="J2571" s="524"/>
      <c r="K2571" s="525"/>
    </row>
    <row r="2572" spans="1:11" s="520" customFormat="1" ht="15.75">
      <c r="A2572" s="157"/>
      <c r="B2572" s="519"/>
      <c r="J2572" s="524"/>
      <c r="K2572" s="525"/>
    </row>
    <row r="2573" spans="1:11" s="520" customFormat="1" ht="15.75">
      <c r="A2573" s="157"/>
      <c r="B2573" s="519"/>
      <c r="J2573" s="524"/>
      <c r="K2573" s="525"/>
    </row>
    <row r="2574" spans="1:11" s="520" customFormat="1" ht="15.75">
      <c r="A2574" s="157"/>
      <c r="B2574" s="519"/>
      <c r="J2574" s="524"/>
      <c r="K2574" s="525"/>
    </row>
    <row r="2575" spans="1:11" s="520" customFormat="1" ht="15.75">
      <c r="A2575" s="157"/>
      <c r="B2575" s="519"/>
      <c r="J2575" s="524"/>
      <c r="K2575" s="525"/>
    </row>
    <row r="2576" spans="1:11" s="520" customFormat="1" ht="15.75">
      <c r="A2576" s="157"/>
      <c r="B2576" s="519"/>
      <c r="J2576" s="524"/>
      <c r="K2576" s="525"/>
    </row>
    <row r="2577" spans="1:11" s="520" customFormat="1" ht="15.75">
      <c r="A2577" s="157"/>
      <c r="B2577" s="519"/>
      <c r="J2577" s="524"/>
      <c r="K2577" s="525"/>
    </row>
    <row r="2578" spans="1:11" s="520" customFormat="1" ht="15.75">
      <c r="A2578" s="157"/>
      <c r="B2578" s="519"/>
      <c r="J2578" s="524"/>
      <c r="K2578" s="525"/>
    </row>
    <row r="2579" spans="1:11" s="520" customFormat="1" ht="15.75">
      <c r="A2579" s="157"/>
      <c r="B2579" s="519"/>
      <c r="J2579" s="524"/>
      <c r="K2579" s="525"/>
    </row>
    <row r="2580" spans="1:11" s="520" customFormat="1" ht="15.75">
      <c r="A2580" s="157"/>
      <c r="B2580" s="519"/>
      <c r="J2580" s="524"/>
      <c r="K2580" s="525"/>
    </row>
    <row r="2581" spans="1:11" s="520" customFormat="1" ht="15.75">
      <c r="A2581" s="157"/>
      <c r="B2581" s="519"/>
      <c r="J2581" s="524"/>
      <c r="K2581" s="525"/>
    </row>
    <row r="2582" spans="1:11" s="520" customFormat="1" ht="15.75">
      <c r="A2582" s="157"/>
      <c r="B2582" s="519"/>
      <c r="J2582" s="524"/>
      <c r="K2582" s="525"/>
    </row>
    <row r="2583" spans="1:11" s="520" customFormat="1" ht="15.75">
      <c r="A2583" s="157"/>
      <c r="B2583" s="519"/>
      <c r="J2583" s="524"/>
      <c r="K2583" s="525"/>
    </row>
    <row r="2584" spans="1:11" s="520" customFormat="1" ht="15.75">
      <c r="A2584" s="157"/>
      <c r="B2584" s="519"/>
      <c r="J2584" s="524"/>
      <c r="K2584" s="525"/>
    </row>
    <row r="2585" spans="1:11" s="520" customFormat="1" ht="15.75">
      <c r="A2585" s="157"/>
      <c r="B2585" s="519"/>
      <c r="J2585" s="524"/>
      <c r="K2585" s="525"/>
    </row>
    <row r="2586" spans="1:11" s="520" customFormat="1" ht="15.75">
      <c r="A2586" s="157"/>
      <c r="B2586" s="519"/>
      <c r="J2586" s="524"/>
      <c r="K2586" s="525"/>
    </row>
    <row r="2587" spans="1:11" s="520" customFormat="1" ht="15.75">
      <c r="A2587" s="157"/>
      <c r="B2587" s="519"/>
      <c r="J2587" s="524"/>
      <c r="K2587" s="525"/>
    </row>
    <row r="2588" spans="1:11" s="520" customFormat="1" ht="15.75">
      <c r="A2588" s="157"/>
      <c r="B2588" s="519"/>
      <c r="J2588" s="524"/>
      <c r="K2588" s="525"/>
    </row>
    <row r="2589" spans="1:11" s="520" customFormat="1" ht="15.75">
      <c r="A2589" s="157"/>
      <c r="B2589" s="519"/>
      <c r="J2589" s="524"/>
      <c r="K2589" s="525"/>
    </row>
    <row r="2590" spans="1:11" s="520" customFormat="1" ht="15.75">
      <c r="A2590" s="157"/>
      <c r="B2590" s="519"/>
      <c r="J2590" s="524"/>
      <c r="K2590" s="525"/>
    </row>
    <row r="2591" spans="1:11" s="520" customFormat="1" ht="15.75">
      <c r="A2591" s="157"/>
      <c r="B2591" s="519"/>
      <c r="J2591" s="524"/>
      <c r="K2591" s="525"/>
    </row>
    <row r="2592" spans="1:11" s="520" customFormat="1" ht="15.75">
      <c r="A2592" s="157"/>
      <c r="B2592" s="519"/>
      <c r="J2592" s="524"/>
      <c r="K2592" s="525"/>
    </row>
    <row r="2593" spans="1:11" s="520" customFormat="1" ht="15.75">
      <c r="A2593" s="157"/>
      <c r="B2593" s="519"/>
      <c r="J2593" s="524"/>
      <c r="K2593" s="525"/>
    </row>
    <row r="2594" spans="1:11" s="520" customFormat="1" ht="15.75">
      <c r="A2594" s="157"/>
      <c r="B2594" s="519"/>
      <c r="J2594" s="524"/>
      <c r="K2594" s="525"/>
    </row>
    <row r="2595" spans="1:11" s="520" customFormat="1" ht="15.75">
      <c r="A2595" s="157"/>
      <c r="B2595" s="519"/>
      <c r="J2595" s="524"/>
      <c r="K2595" s="525"/>
    </row>
    <row r="2596" spans="1:11" s="520" customFormat="1" ht="15.75">
      <c r="A2596" s="157"/>
      <c r="B2596" s="519"/>
      <c r="J2596" s="524"/>
      <c r="K2596" s="525"/>
    </row>
    <row r="2597" spans="1:11" s="520" customFormat="1" ht="15.75">
      <c r="A2597" s="157"/>
      <c r="B2597" s="519"/>
      <c r="J2597" s="524"/>
      <c r="K2597" s="525"/>
    </row>
    <row r="2598" spans="1:11" s="520" customFormat="1" ht="15.75">
      <c r="A2598" s="157"/>
      <c r="B2598" s="519"/>
      <c r="J2598" s="524"/>
      <c r="K2598" s="525"/>
    </row>
    <row r="2599" spans="1:11" s="520" customFormat="1" ht="15.75">
      <c r="A2599" s="157"/>
      <c r="B2599" s="519"/>
      <c r="J2599" s="524"/>
      <c r="K2599" s="525"/>
    </row>
    <row r="2600" spans="1:11" s="520" customFormat="1" ht="15.75">
      <c r="A2600" s="157"/>
      <c r="B2600" s="519"/>
      <c r="J2600" s="524"/>
      <c r="K2600" s="525"/>
    </row>
    <row r="2601" spans="1:11" s="520" customFormat="1" ht="15.75">
      <c r="A2601" s="157"/>
      <c r="B2601" s="519"/>
      <c r="J2601" s="524"/>
      <c r="K2601" s="525"/>
    </row>
    <row r="2602" spans="1:11" s="520" customFormat="1" ht="15.75">
      <c r="A2602" s="157"/>
      <c r="B2602" s="519"/>
      <c r="J2602" s="524"/>
      <c r="K2602" s="525"/>
    </row>
    <row r="2603" spans="1:11" s="520" customFormat="1" ht="15.75">
      <c r="A2603" s="157"/>
      <c r="B2603" s="519"/>
      <c r="J2603" s="524"/>
      <c r="K2603" s="525"/>
    </row>
    <row r="2604" spans="1:11" s="520" customFormat="1" ht="15.75">
      <c r="A2604" s="157"/>
      <c r="B2604" s="519"/>
      <c r="J2604" s="524"/>
      <c r="K2604" s="525"/>
    </row>
    <row r="2605" spans="1:11" s="520" customFormat="1" ht="15.75">
      <c r="A2605" s="157"/>
      <c r="B2605" s="519"/>
      <c r="J2605" s="524"/>
      <c r="K2605" s="525"/>
    </row>
    <row r="2606" spans="1:11" s="520" customFormat="1" ht="15.75">
      <c r="A2606" s="157"/>
      <c r="B2606" s="519"/>
      <c r="J2606" s="524"/>
      <c r="K2606" s="525"/>
    </row>
    <row r="2607" spans="1:11" s="520" customFormat="1" ht="15.75">
      <c r="A2607" s="157"/>
      <c r="B2607" s="519"/>
      <c r="J2607" s="524"/>
      <c r="K2607" s="525"/>
    </row>
    <row r="2608" spans="1:11" s="520" customFormat="1" ht="15.75">
      <c r="A2608" s="157"/>
      <c r="B2608" s="519"/>
      <c r="J2608" s="524"/>
      <c r="K2608" s="525"/>
    </row>
    <row r="2609" spans="1:11" s="520" customFormat="1" ht="15.75">
      <c r="A2609" s="157"/>
      <c r="B2609" s="519"/>
      <c r="J2609" s="524"/>
      <c r="K2609" s="525"/>
    </row>
    <row r="2610" spans="1:11" s="520" customFormat="1" ht="15.75">
      <c r="A2610" s="157"/>
      <c r="B2610" s="519"/>
      <c r="J2610" s="524"/>
      <c r="K2610" s="525"/>
    </row>
    <row r="2611" spans="1:11" s="520" customFormat="1" ht="15.75">
      <c r="A2611" s="157"/>
      <c r="B2611" s="519"/>
      <c r="J2611" s="524"/>
      <c r="K2611" s="525"/>
    </row>
    <row r="2612" spans="1:11" s="520" customFormat="1" ht="15.75">
      <c r="A2612" s="157"/>
      <c r="B2612" s="519"/>
      <c r="J2612" s="524"/>
      <c r="K2612" s="525"/>
    </row>
    <row r="2613" spans="1:11" s="520" customFormat="1" ht="15.75">
      <c r="A2613" s="157"/>
      <c r="B2613" s="519"/>
      <c r="J2613" s="524"/>
      <c r="K2613" s="525"/>
    </row>
    <row r="2614" spans="1:11" s="520" customFormat="1" ht="15.75">
      <c r="A2614" s="157"/>
      <c r="B2614" s="519"/>
      <c r="J2614" s="524"/>
      <c r="K2614" s="525"/>
    </row>
    <row r="2615" spans="1:11" s="520" customFormat="1" ht="15.75">
      <c r="A2615" s="157"/>
      <c r="B2615" s="519"/>
      <c r="J2615" s="524"/>
      <c r="K2615" s="525"/>
    </row>
    <row r="2616" spans="1:11" s="520" customFormat="1" ht="15.75">
      <c r="A2616" s="157"/>
      <c r="B2616" s="519"/>
      <c r="J2616" s="524"/>
      <c r="K2616" s="525"/>
    </row>
    <row r="2617" spans="1:11" s="520" customFormat="1" ht="15.75">
      <c r="A2617" s="157"/>
      <c r="B2617" s="519"/>
      <c r="J2617" s="524"/>
      <c r="K2617" s="525"/>
    </row>
    <row r="2618" spans="1:11" s="520" customFormat="1" ht="15.75">
      <c r="A2618" s="157"/>
      <c r="B2618" s="519"/>
      <c r="J2618" s="524"/>
      <c r="K2618" s="525"/>
    </row>
    <row r="2619" spans="1:11" s="520" customFormat="1" ht="15.75">
      <c r="A2619" s="157"/>
      <c r="B2619" s="519"/>
      <c r="J2619" s="524"/>
      <c r="K2619" s="525"/>
    </row>
    <row r="2620" spans="1:11" s="520" customFormat="1" ht="15.75">
      <c r="A2620" s="157"/>
      <c r="B2620" s="519"/>
      <c r="J2620" s="524"/>
      <c r="K2620" s="525"/>
    </row>
    <row r="2621" spans="1:11" s="520" customFormat="1" ht="15.75">
      <c r="A2621" s="157"/>
      <c r="B2621" s="519"/>
      <c r="J2621" s="524"/>
      <c r="K2621" s="525"/>
    </row>
    <row r="2622" spans="1:11" s="520" customFormat="1" ht="15.75">
      <c r="A2622" s="157"/>
      <c r="B2622" s="519"/>
      <c r="J2622" s="524"/>
      <c r="K2622" s="525"/>
    </row>
    <row r="2623" spans="1:11" s="520" customFormat="1" ht="15.75">
      <c r="A2623" s="157"/>
      <c r="B2623" s="519"/>
      <c r="J2623" s="524"/>
      <c r="K2623" s="525"/>
    </row>
    <row r="2624" spans="1:11" s="520" customFormat="1" ht="15.75">
      <c r="A2624" s="157"/>
      <c r="B2624" s="519"/>
      <c r="J2624" s="524"/>
      <c r="K2624" s="525"/>
    </row>
    <row r="2625" spans="1:11" s="520" customFormat="1" ht="15.75">
      <c r="A2625" s="157"/>
      <c r="B2625" s="519"/>
      <c r="J2625" s="524"/>
      <c r="K2625" s="525"/>
    </row>
    <row r="2626" spans="1:11" s="520" customFormat="1" ht="15.75">
      <c r="A2626" s="157"/>
      <c r="B2626" s="519"/>
      <c r="J2626" s="524"/>
      <c r="K2626" s="525"/>
    </row>
    <row r="2627" spans="1:11" s="520" customFormat="1" ht="15.75">
      <c r="A2627" s="157"/>
      <c r="B2627" s="519"/>
      <c r="J2627" s="524"/>
      <c r="K2627" s="525"/>
    </row>
    <row r="2628" spans="1:11" s="520" customFormat="1" ht="15.75">
      <c r="A2628" s="157"/>
      <c r="B2628" s="519"/>
      <c r="J2628" s="524"/>
      <c r="K2628" s="525"/>
    </row>
    <row r="2629" spans="1:11" s="520" customFormat="1" ht="15.75">
      <c r="A2629" s="157"/>
      <c r="B2629" s="519"/>
      <c r="J2629" s="524"/>
      <c r="K2629" s="525"/>
    </row>
    <row r="2630" spans="1:11" s="520" customFormat="1" ht="15.75">
      <c r="A2630" s="157"/>
      <c r="B2630" s="519"/>
      <c r="J2630" s="524"/>
      <c r="K2630" s="525"/>
    </row>
    <row r="2631" spans="1:11" s="520" customFormat="1" ht="15.75">
      <c r="A2631" s="157"/>
      <c r="B2631" s="519"/>
      <c r="J2631" s="524"/>
      <c r="K2631" s="525"/>
    </row>
    <row r="2632" spans="1:11" s="520" customFormat="1" ht="15.75">
      <c r="A2632" s="157"/>
      <c r="B2632" s="519"/>
      <c r="J2632" s="524"/>
      <c r="K2632" s="525"/>
    </row>
    <row r="2633" spans="1:11" s="520" customFormat="1" ht="15.75">
      <c r="A2633" s="157"/>
      <c r="B2633" s="519"/>
      <c r="J2633" s="524"/>
      <c r="K2633" s="525"/>
    </row>
    <row r="2634" spans="1:11" s="520" customFormat="1" ht="15.75">
      <c r="A2634" s="157"/>
      <c r="B2634" s="519"/>
      <c r="J2634" s="524"/>
      <c r="K2634" s="525"/>
    </row>
    <row r="2635" spans="1:11" s="520" customFormat="1" ht="15.75">
      <c r="A2635" s="157"/>
      <c r="B2635" s="519"/>
      <c r="J2635" s="524"/>
      <c r="K2635" s="525"/>
    </row>
    <row r="2636" spans="1:11" s="520" customFormat="1" ht="15.75">
      <c r="A2636" s="157"/>
      <c r="B2636" s="519"/>
      <c r="J2636" s="524"/>
      <c r="K2636" s="525"/>
    </row>
    <row r="2637" spans="1:11" s="520" customFormat="1" ht="15.75">
      <c r="A2637" s="157"/>
      <c r="B2637" s="519"/>
      <c r="J2637" s="524"/>
      <c r="K2637" s="525"/>
    </row>
    <row r="2638" spans="1:11" s="520" customFormat="1" ht="15.75">
      <c r="A2638" s="157"/>
      <c r="B2638" s="519"/>
      <c r="J2638" s="524"/>
      <c r="K2638" s="525"/>
    </row>
    <row r="2639" spans="1:11" s="520" customFormat="1" ht="15.75">
      <c r="A2639" s="157"/>
      <c r="B2639" s="519"/>
      <c r="J2639" s="524"/>
      <c r="K2639" s="525"/>
    </row>
    <row r="2640" spans="1:11" s="520" customFormat="1" ht="15.75">
      <c r="A2640" s="157"/>
      <c r="B2640" s="519"/>
      <c r="J2640" s="524"/>
      <c r="K2640" s="525"/>
    </row>
    <row r="2641" spans="1:11" s="520" customFormat="1" ht="15.75">
      <c r="A2641" s="157"/>
      <c r="B2641" s="519"/>
      <c r="J2641" s="524"/>
      <c r="K2641" s="525"/>
    </row>
    <row r="2642" spans="1:11" s="520" customFormat="1" ht="15.75">
      <c r="A2642" s="157"/>
      <c r="B2642" s="519"/>
      <c r="J2642" s="524"/>
      <c r="K2642" s="525"/>
    </row>
    <row r="2643" spans="1:11" s="520" customFormat="1" ht="15.75">
      <c r="A2643" s="157"/>
      <c r="B2643" s="519"/>
      <c r="J2643" s="524"/>
      <c r="K2643" s="525"/>
    </row>
    <row r="2644" spans="1:11" s="520" customFormat="1" ht="15.75">
      <c r="A2644" s="157"/>
      <c r="B2644" s="519"/>
      <c r="J2644" s="524"/>
      <c r="K2644" s="525"/>
    </row>
    <row r="2645" spans="1:11" s="520" customFormat="1" ht="15.75">
      <c r="A2645" s="157"/>
      <c r="B2645" s="519"/>
      <c r="J2645" s="524"/>
      <c r="K2645" s="525"/>
    </row>
    <row r="2646" spans="1:11" s="520" customFormat="1" ht="15.75">
      <c r="A2646" s="157"/>
      <c r="B2646" s="519"/>
      <c r="J2646" s="524"/>
      <c r="K2646" s="525"/>
    </row>
    <row r="2647" spans="1:11" s="520" customFormat="1" ht="15.75">
      <c r="A2647" s="157"/>
      <c r="B2647" s="519"/>
      <c r="J2647" s="524"/>
      <c r="K2647" s="525"/>
    </row>
    <row r="2648" spans="1:11" s="520" customFormat="1" ht="15.75">
      <c r="A2648" s="157"/>
      <c r="B2648" s="519"/>
      <c r="J2648" s="524"/>
      <c r="K2648" s="525"/>
    </row>
    <row r="2649" spans="1:11" s="520" customFormat="1" ht="15.75">
      <c r="A2649" s="157"/>
      <c r="B2649" s="519"/>
      <c r="J2649" s="524"/>
      <c r="K2649" s="525"/>
    </row>
    <row r="2650" spans="1:11" s="520" customFormat="1" ht="15.75">
      <c r="A2650" s="157"/>
      <c r="B2650" s="519"/>
      <c r="J2650" s="524"/>
      <c r="K2650" s="525"/>
    </row>
    <row r="2651" spans="1:11" s="520" customFormat="1" ht="15.75">
      <c r="A2651" s="157"/>
      <c r="B2651" s="519"/>
      <c r="J2651" s="524"/>
      <c r="K2651" s="525"/>
    </row>
    <row r="2652" spans="1:11" s="520" customFormat="1" ht="15.75">
      <c r="A2652" s="157"/>
      <c r="B2652" s="519"/>
      <c r="J2652" s="524"/>
      <c r="K2652" s="525"/>
    </row>
    <row r="2653" spans="1:11" s="520" customFormat="1" ht="15.75">
      <c r="A2653" s="157"/>
      <c r="B2653" s="519"/>
      <c r="J2653" s="524"/>
      <c r="K2653" s="525"/>
    </row>
    <row r="2654" spans="1:11" s="520" customFormat="1" ht="15.75">
      <c r="A2654" s="157"/>
      <c r="B2654" s="519"/>
      <c r="J2654" s="524"/>
      <c r="K2654" s="525"/>
    </row>
    <row r="2655" spans="1:11" s="520" customFormat="1" ht="15.75">
      <c r="A2655" s="157"/>
      <c r="B2655" s="519"/>
      <c r="J2655" s="524"/>
      <c r="K2655" s="525"/>
    </row>
    <row r="2656" spans="1:11" s="520" customFormat="1" ht="15.75">
      <c r="A2656" s="157"/>
      <c r="B2656" s="519"/>
      <c r="J2656" s="524"/>
      <c r="K2656" s="525"/>
    </row>
    <row r="2657" spans="1:11" s="520" customFormat="1" ht="15.75">
      <c r="A2657" s="157"/>
      <c r="B2657" s="519"/>
      <c r="J2657" s="524"/>
      <c r="K2657" s="525"/>
    </row>
    <row r="2658" spans="1:11" s="520" customFormat="1" ht="15.75">
      <c r="A2658" s="157"/>
      <c r="B2658" s="519"/>
      <c r="J2658" s="524"/>
      <c r="K2658" s="525"/>
    </row>
    <row r="2659" spans="1:11" s="520" customFormat="1" ht="15.75">
      <c r="A2659" s="157"/>
      <c r="B2659" s="519"/>
      <c r="J2659" s="524"/>
      <c r="K2659" s="525"/>
    </row>
    <row r="2660" spans="1:11" s="520" customFormat="1" ht="15.75">
      <c r="A2660" s="157"/>
      <c r="B2660" s="519"/>
      <c r="J2660" s="524"/>
      <c r="K2660" s="525"/>
    </row>
    <row r="2661" spans="1:11" s="520" customFormat="1" ht="15.75">
      <c r="A2661" s="157"/>
      <c r="B2661" s="519"/>
      <c r="J2661" s="524"/>
      <c r="K2661" s="525"/>
    </row>
    <row r="2662" spans="1:11" s="520" customFormat="1" ht="15.75">
      <c r="A2662" s="157"/>
      <c r="B2662" s="519"/>
      <c r="J2662" s="524"/>
      <c r="K2662" s="525"/>
    </row>
    <row r="2663" spans="1:11" s="520" customFormat="1" ht="15.75">
      <c r="A2663" s="157"/>
      <c r="B2663" s="519"/>
      <c r="J2663" s="524"/>
      <c r="K2663" s="525"/>
    </row>
    <row r="2664" spans="1:11" s="520" customFormat="1" ht="15.75">
      <c r="A2664" s="157"/>
      <c r="B2664" s="519"/>
      <c r="J2664" s="524"/>
      <c r="K2664" s="525"/>
    </row>
    <row r="2665" spans="1:11" s="520" customFormat="1" ht="15.75">
      <c r="A2665" s="157"/>
      <c r="B2665" s="519"/>
      <c r="J2665" s="524"/>
      <c r="K2665" s="525"/>
    </row>
    <row r="2666" spans="1:11" s="520" customFormat="1" ht="15.75">
      <c r="A2666" s="157"/>
      <c r="B2666" s="519"/>
      <c r="J2666" s="524"/>
      <c r="K2666" s="525"/>
    </row>
    <row r="2667" spans="1:11" s="520" customFormat="1" ht="15.75">
      <c r="A2667" s="157"/>
      <c r="B2667" s="519"/>
      <c r="J2667" s="524"/>
      <c r="K2667" s="525"/>
    </row>
    <row r="2668" spans="1:11" s="520" customFormat="1" ht="15.75">
      <c r="A2668" s="157"/>
      <c r="B2668" s="519"/>
      <c r="J2668" s="524"/>
      <c r="K2668" s="525"/>
    </row>
    <row r="2669" spans="1:11" s="520" customFormat="1" ht="15.75">
      <c r="A2669" s="157"/>
      <c r="B2669" s="519"/>
      <c r="J2669" s="524"/>
      <c r="K2669" s="525"/>
    </row>
    <row r="2670" spans="1:11" s="520" customFormat="1" ht="15.75">
      <c r="A2670" s="157"/>
      <c r="B2670" s="519"/>
      <c r="J2670" s="524"/>
      <c r="K2670" s="525"/>
    </row>
    <row r="2671" spans="1:11" s="520" customFormat="1" ht="15.75">
      <c r="A2671" s="157"/>
      <c r="B2671" s="519"/>
      <c r="J2671" s="524"/>
      <c r="K2671" s="525"/>
    </row>
    <row r="2672" spans="1:11" s="520" customFormat="1" ht="15.75">
      <c r="A2672" s="157"/>
      <c r="B2672" s="519"/>
      <c r="J2672" s="524"/>
      <c r="K2672" s="525"/>
    </row>
    <row r="2673" spans="1:11" s="520" customFormat="1" ht="15.75">
      <c r="A2673" s="157"/>
      <c r="B2673" s="519"/>
      <c r="J2673" s="524"/>
      <c r="K2673" s="525"/>
    </row>
    <row r="2674" spans="1:11" s="520" customFormat="1" ht="15.75">
      <c r="A2674" s="157"/>
      <c r="B2674" s="519"/>
      <c r="J2674" s="524"/>
      <c r="K2674" s="525"/>
    </row>
    <row r="2675" spans="1:11" s="520" customFormat="1" ht="15.75">
      <c r="A2675" s="157"/>
      <c r="B2675" s="519"/>
      <c r="J2675" s="524"/>
      <c r="K2675" s="525"/>
    </row>
    <row r="2676" spans="1:11" s="520" customFormat="1" ht="15.75">
      <c r="A2676" s="157"/>
      <c r="B2676" s="519"/>
      <c r="J2676" s="524"/>
      <c r="K2676" s="525"/>
    </row>
    <row r="2677" spans="1:11" s="520" customFormat="1" ht="15.75">
      <c r="A2677" s="157"/>
      <c r="B2677" s="519"/>
      <c r="J2677" s="524"/>
      <c r="K2677" s="525"/>
    </row>
    <row r="2678" spans="1:11" s="520" customFormat="1" ht="15.75">
      <c r="A2678" s="157"/>
      <c r="B2678" s="519"/>
      <c r="J2678" s="524"/>
      <c r="K2678" s="525"/>
    </row>
    <row r="2679" spans="1:11" s="520" customFormat="1" ht="15.75">
      <c r="A2679" s="157"/>
      <c r="B2679" s="519"/>
      <c r="J2679" s="524"/>
      <c r="K2679" s="525"/>
    </row>
    <row r="2680" spans="1:11" s="520" customFormat="1" ht="15.75">
      <c r="A2680" s="157"/>
      <c r="B2680" s="519"/>
      <c r="J2680" s="524"/>
      <c r="K2680" s="525"/>
    </row>
    <row r="2681" spans="1:11" s="520" customFormat="1" ht="15.75">
      <c r="A2681" s="157"/>
      <c r="B2681" s="519"/>
      <c r="J2681" s="524"/>
      <c r="K2681" s="525"/>
    </row>
    <row r="2682" spans="1:11" s="520" customFormat="1" ht="15.75">
      <c r="A2682" s="157"/>
      <c r="B2682" s="519"/>
      <c r="J2682" s="524"/>
      <c r="K2682" s="525"/>
    </row>
    <row r="2683" spans="1:11" s="520" customFormat="1" ht="15.75">
      <c r="A2683" s="157"/>
      <c r="B2683" s="519"/>
      <c r="J2683" s="524"/>
      <c r="K2683" s="525"/>
    </row>
    <row r="2684" spans="1:11" s="520" customFormat="1" ht="15.75">
      <c r="A2684" s="157"/>
      <c r="B2684" s="519"/>
      <c r="J2684" s="524"/>
      <c r="K2684" s="525"/>
    </row>
    <row r="2685" spans="1:11" s="520" customFormat="1" ht="15.75">
      <c r="A2685" s="157"/>
      <c r="B2685" s="519"/>
      <c r="J2685" s="524"/>
      <c r="K2685" s="525"/>
    </row>
    <row r="2686" spans="1:11" s="520" customFormat="1" ht="15.75">
      <c r="A2686" s="157"/>
      <c r="B2686" s="519"/>
      <c r="J2686" s="524"/>
      <c r="K2686" s="525"/>
    </row>
    <row r="2687" spans="1:11" s="520" customFormat="1" ht="15.75">
      <c r="A2687" s="157"/>
      <c r="B2687" s="519"/>
      <c r="J2687" s="524"/>
      <c r="K2687" s="525"/>
    </row>
    <row r="2688" spans="1:11" s="520" customFormat="1" ht="15.75">
      <c r="A2688" s="157"/>
      <c r="B2688" s="519"/>
      <c r="J2688" s="524"/>
      <c r="K2688" s="525"/>
    </row>
    <row r="2689" spans="1:11" s="520" customFormat="1" ht="15.75">
      <c r="A2689" s="157"/>
      <c r="B2689" s="519"/>
      <c r="J2689" s="524"/>
      <c r="K2689" s="525"/>
    </row>
    <row r="2690" spans="1:11" s="520" customFormat="1" ht="15.75">
      <c r="A2690" s="157"/>
      <c r="B2690" s="519"/>
      <c r="J2690" s="524"/>
      <c r="K2690" s="525"/>
    </row>
    <row r="2691" spans="1:11" s="520" customFormat="1" ht="15.75">
      <c r="A2691" s="157"/>
      <c r="B2691" s="519"/>
      <c r="J2691" s="524"/>
      <c r="K2691" s="525"/>
    </row>
    <row r="2692" spans="1:11" s="520" customFormat="1" ht="15.75">
      <c r="A2692" s="157"/>
      <c r="B2692" s="519"/>
      <c r="J2692" s="524"/>
      <c r="K2692" s="525"/>
    </row>
    <row r="2693" spans="1:11" s="520" customFormat="1" ht="15.75">
      <c r="A2693" s="157"/>
      <c r="B2693" s="519"/>
      <c r="J2693" s="524"/>
      <c r="K2693" s="525"/>
    </row>
    <row r="2694" spans="1:11" s="520" customFormat="1" ht="15.75">
      <c r="A2694" s="157"/>
      <c r="B2694" s="519"/>
      <c r="J2694" s="524"/>
      <c r="K2694" s="525"/>
    </row>
    <row r="2695" spans="1:11" s="520" customFormat="1" ht="15.75">
      <c r="A2695" s="157"/>
      <c r="B2695" s="519"/>
      <c r="J2695" s="524"/>
      <c r="K2695" s="525"/>
    </row>
    <row r="2696" spans="1:11" s="520" customFormat="1" ht="15.75">
      <c r="A2696" s="157"/>
      <c r="B2696" s="519"/>
      <c r="J2696" s="524"/>
      <c r="K2696" s="525"/>
    </row>
    <row r="2697" spans="1:11" s="520" customFormat="1" ht="15.75">
      <c r="A2697" s="157"/>
      <c r="B2697" s="519"/>
      <c r="J2697" s="524"/>
      <c r="K2697" s="525"/>
    </row>
    <row r="2698" spans="1:11" s="520" customFormat="1" ht="15.75">
      <c r="A2698" s="157"/>
      <c r="B2698" s="519"/>
      <c r="J2698" s="524"/>
      <c r="K2698" s="525"/>
    </row>
    <row r="2699" spans="1:11" s="520" customFormat="1" ht="15.75">
      <c r="A2699" s="157"/>
      <c r="B2699" s="519"/>
      <c r="J2699" s="524"/>
      <c r="K2699" s="525"/>
    </row>
    <row r="2700" spans="1:11" s="520" customFormat="1" ht="15.75">
      <c r="A2700" s="157"/>
      <c r="B2700" s="519"/>
      <c r="J2700" s="524"/>
      <c r="K2700" s="525"/>
    </row>
    <row r="2701" spans="1:11" s="520" customFormat="1" ht="15.75">
      <c r="A2701" s="157"/>
      <c r="B2701" s="519"/>
      <c r="J2701" s="524"/>
      <c r="K2701" s="525"/>
    </row>
    <row r="2702" spans="1:11" s="520" customFormat="1" ht="15.75">
      <c r="A2702" s="157"/>
      <c r="B2702" s="519"/>
      <c r="J2702" s="524"/>
      <c r="K2702" s="525"/>
    </row>
    <row r="2703" spans="1:11" s="520" customFormat="1" ht="15.75">
      <c r="A2703" s="157"/>
      <c r="B2703" s="519"/>
      <c r="J2703" s="524"/>
      <c r="K2703" s="525"/>
    </row>
    <row r="2704" spans="1:11" s="520" customFormat="1" ht="15.75">
      <c r="A2704" s="157"/>
      <c r="B2704" s="519"/>
      <c r="J2704" s="524"/>
      <c r="K2704" s="525"/>
    </row>
    <row r="2705" spans="1:11" s="520" customFormat="1" ht="15.75">
      <c r="A2705" s="157"/>
      <c r="B2705" s="519"/>
      <c r="J2705" s="524"/>
      <c r="K2705" s="525"/>
    </row>
    <row r="2706" spans="1:11" s="520" customFormat="1" ht="15.75">
      <c r="A2706" s="157"/>
      <c r="B2706" s="519"/>
      <c r="J2706" s="524"/>
      <c r="K2706" s="525"/>
    </row>
    <row r="2707" spans="1:11" s="520" customFormat="1" ht="15.75">
      <c r="A2707" s="157"/>
      <c r="B2707" s="519"/>
      <c r="J2707" s="524"/>
      <c r="K2707" s="525"/>
    </row>
    <row r="2708" spans="1:11" s="520" customFormat="1" ht="15.75">
      <c r="A2708" s="157"/>
      <c r="B2708" s="519"/>
      <c r="J2708" s="524"/>
      <c r="K2708" s="525"/>
    </row>
    <row r="2709" spans="1:11" s="520" customFormat="1" ht="15.75">
      <c r="A2709" s="157"/>
      <c r="B2709" s="519"/>
      <c r="J2709" s="524"/>
      <c r="K2709" s="525"/>
    </row>
    <row r="2710" spans="1:11" s="520" customFormat="1" ht="15.75">
      <c r="A2710" s="157"/>
      <c r="B2710" s="519"/>
      <c r="J2710" s="524"/>
      <c r="K2710" s="525"/>
    </row>
    <row r="2711" spans="1:11" s="520" customFormat="1" ht="15.75">
      <c r="A2711" s="157"/>
      <c r="B2711" s="519"/>
      <c r="J2711" s="524"/>
      <c r="K2711" s="525"/>
    </row>
    <row r="2712" spans="1:11" s="520" customFormat="1" ht="15.75">
      <c r="A2712" s="157"/>
      <c r="B2712" s="519"/>
      <c r="J2712" s="524"/>
      <c r="K2712" s="525"/>
    </row>
    <row r="2713" spans="1:11" s="520" customFormat="1" ht="15.75">
      <c r="A2713" s="157"/>
      <c r="B2713" s="519"/>
      <c r="J2713" s="524"/>
      <c r="K2713" s="525"/>
    </row>
    <row r="2714" spans="1:11" s="520" customFormat="1" ht="15.75">
      <c r="A2714" s="157"/>
      <c r="B2714" s="519"/>
      <c r="J2714" s="524"/>
      <c r="K2714" s="525"/>
    </row>
    <row r="2715" spans="1:11" s="520" customFormat="1" ht="15.75">
      <c r="A2715" s="157"/>
      <c r="B2715" s="519"/>
      <c r="J2715" s="524"/>
      <c r="K2715" s="525"/>
    </row>
    <row r="2716" spans="1:11" s="520" customFormat="1" ht="15.75">
      <c r="A2716" s="157"/>
      <c r="B2716" s="519"/>
      <c r="J2716" s="524"/>
      <c r="K2716" s="525"/>
    </row>
    <row r="2717" spans="1:11" s="520" customFormat="1" ht="15.75">
      <c r="A2717" s="157"/>
      <c r="B2717" s="519"/>
      <c r="J2717" s="524"/>
      <c r="K2717" s="525"/>
    </row>
    <row r="2718" spans="1:11" s="520" customFormat="1" ht="15.75">
      <c r="A2718" s="157"/>
      <c r="B2718" s="519"/>
      <c r="J2718" s="524"/>
      <c r="K2718" s="525"/>
    </row>
    <row r="2719" spans="1:11" s="520" customFormat="1" ht="15.75">
      <c r="A2719" s="157"/>
      <c r="B2719" s="519"/>
      <c r="J2719" s="524"/>
      <c r="K2719" s="525"/>
    </row>
    <row r="2720" spans="1:11" s="520" customFormat="1" ht="15.75">
      <c r="A2720" s="157"/>
      <c r="B2720" s="519"/>
      <c r="J2720" s="524"/>
      <c r="K2720" s="525"/>
    </row>
    <row r="2721" spans="1:11" s="520" customFormat="1" ht="15.75">
      <c r="A2721" s="157"/>
      <c r="B2721" s="519"/>
      <c r="J2721" s="524"/>
      <c r="K2721" s="525"/>
    </row>
    <row r="2722" spans="1:11" s="520" customFormat="1" ht="15.75">
      <c r="A2722" s="157"/>
      <c r="B2722" s="519"/>
      <c r="J2722" s="524"/>
      <c r="K2722" s="525"/>
    </row>
    <row r="2723" spans="1:11" s="520" customFormat="1" ht="15.75">
      <c r="A2723" s="157"/>
      <c r="B2723" s="519"/>
      <c r="J2723" s="524"/>
      <c r="K2723" s="525"/>
    </row>
    <row r="2724" spans="1:11" s="520" customFormat="1" ht="15.75">
      <c r="A2724" s="157"/>
      <c r="B2724" s="519"/>
      <c r="J2724" s="524"/>
      <c r="K2724" s="525"/>
    </row>
    <row r="2725" spans="1:11" s="520" customFormat="1" ht="15.75">
      <c r="A2725" s="157"/>
      <c r="B2725" s="519"/>
      <c r="J2725" s="524"/>
      <c r="K2725" s="525"/>
    </row>
    <row r="2726" spans="1:11" s="520" customFormat="1" ht="15.75">
      <c r="A2726" s="157"/>
      <c r="B2726" s="519"/>
      <c r="J2726" s="524"/>
      <c r="K2726" s="525"/>
    </row>
    <row r="2727" spans="1:11" s="520" customFormat="1" ht="15.75">
      <c r="A2727" s="157"/>
      <c r="B2727" s="519"/>
      <c r="J2727" s="524"/>
      <c r="K2727" s="525"/>
    </row>
    <row r="2728" spans="1:11" s="520" customFormat="1" ht="15.75">
      <c r="A2728" s="157"/>
      <c r="B2728" s="519"/>
      <c r="J2728" s="524"/>
      <c r="K2728" s="525"/>
    </row>
    <row r="2729" spans="1:11" s="520" customFormat="1" ht="15.75">
      <c r="A2729" s="157"/>
      <c r="B2729" s="519"/>
      <c r="J2729" s="524"/>
      <c r="K2729" s="525"/>
    </row>
    <row r="2730" spans="1:11" s="520" customFormat="1" ht="15.75">
      <c r="A2730" s="157"/>
      <c r="B2730" s="519"/>
      <c r="J2730" s="524"/>
      <c r="K2730" s="525"/>
    </row>
    <row r="2731" spans="1:11" s="520" customFormat="1" ht="15.75">
      <c r="A2731" s="157"/>
      <c r="B2731" s="519"/>
      <c r="J2731" s="524"/>
      <c r="K2731" s="525"/>
    </row>
    <row r="2732" spans="1:11" s="520" customFormat="1" ht="15.75">
      <c r="A2732" s="157"/>
      <c r="B2732" s="519"/>
      <c r="J2732" s="524"/>
      <c r="K2732" s="525"/>
    </row>
    <row r="2733" spans="1:11" s="520" customFormat="1" ht="15.75">
      <c r="A2733" s="157"/>
      <c r="B2733" s="519"/>
      <c r="J2733" s="524"/>
      <c r="K2733" s="525"/>
    </row>
    <row r="2734" spans="1:11" s="520" customFormat="1" ht="15.75">
      <c r="A2734" s="157"/>
      <c r="B2734" s="519"/>
      <c r="J2734" s="524"/>
      <c r="K2734" s="525"/>
    </row>
    <row r="2735" spans="1:11" s="520" customFormat="1" ht="15.75">
      <c r="A2735" s="157"/>
      <c r="B2735" s="519"/>
      <c r="J2735" s="524"/>
      <c r="K2735" s="525"/>
    </row>
    <row r="2736" spans="1:11" s="520" customFormat="1" ht="15.75">
      <c r="A2736" s="157"/>
      <c r="B2736" s="519"/>
      <c r="J2736" s="524"/>
      <c r="K2736" s="525"/>
    </row>
    <row r="2737" spans="1:11" s="520" customFormat="1" ht="15.75">
      <c r="A2737" s="157"/>
      <c r="B2737" s="519"/>
      <c r="J2737" s="524"/>
      <c r="K2737" s="525"/>
    </row>
    <row r="2738" spans="1:11" s="520" customFormat="1" ht="15.75">
      <c r="A2738" s="157"/>
      <c r="B2738" s="519"/>
      <c r="J2738" s="524"/>
      <c r="K2738" s="525"/>
    </row>
    <row r="2739" spans="1:11" s="520" customFormat="1" ht="15.75">
      <c r="A2739" s="157"/>
      <c r="B2739" s="519"/>
      <c r="J2739" s="524"/>
      <c r="K2739" s="525"/>
    </row>
    <row r="2740" spans="1:11" s="520" customFormat="1" ht="15.75">
      <c r="A2740" s="157"/>
      <c r="B2740" s="519"/>
      <c r="J2740" s="524"/>
      <c r="K2740" s="525"/>
    </row>
    <row r="2741" spans="1:11" s="520" customFormat="1" ht="15.75">
      <c r="A2741" s="157"/>
      <c r="B2741" s="519"/>
      <c r="J2741" s="524"/>
      <c r="K2741" s="525"/>
    </row>
    <row r="2742" spans="1:11" s="520" customFormat="1" ht="15.75">
      <c r="A2742" s="157"/>
      <c r="B2742" s="519"/>
      <c r="J2742" s="524"/>
      <c r="K2742" s="525"/>
    </row>
    <row r="2743" spans="1:11" s="520" customFormat="1" ht="15.75">
      <c r="A2743" s="157"/>
      <c r="B2743" s="519"/>
      <c r="J2743" s="524"/>
      <c r="K2743" s="525"/>
    </row>
    <row r="2744" spans="1:11" s="520" customFormat="1" ht="15.75">
      <c r="A2744" s="157"/>
      <c r="B2744" s="519"/>
      <c r="J2744" s="524"/>
      <c r="K2744" s="525"/>
    </row>
    <row r="2745" spans="1:11" s="520" customFormat="1" ht="15.75">
      <c r="A2745" s="157"/>
      <c r="B2745" s="519"/>
      <c r="J2745" s="524"/>
      <c r="K2745" s="525"/>
    </row>
    <row r="2746" spans="1:11" s="520" customFormat="1" ht="15.75">
      <c r="A2746" s="157"/>
      <c r="B2746" s="519"/>
      <c r="J2746" s="524"/>
      <c r="K2746" s="525"/>
    </row>
    <row r="2747" spans="1:11" s="520" customFormat="1" ht="15.75">
      <c r="A2747" s="157"/>
      <c r="B2747" s="519"/>
      <c r="J2747" s="524"/>
      <c r="K2747" s="525"/>
    </row>
    <row r="2748" spans="1:11" s="520" customFormat="1" ht="15.75">
      <c r="A2748" s="157"/>
      <c r="B2748" s="519"/>
      <c r="J2748" s="524"/>
      <c r="K2748" s="525"/>
    </row>
    <row r="2749" spans="1:11" s="520" customFormat="1" ht="15.75">
      <c r="A2749" s="157"/>
      <c r="B2749" s="519"/>
      <c r="J2749" s="524"/>
      <c r="K2749" s="525"/>
    </row>
    <row r="2750" spans="1:11" s="520" customFormat="1" ht="15.75">
      <c r="A2750" s="157"/>
      <c r="B2750" s="519"/>
      <c r="J2750" s="524"/>
      <c r="K2750" s="525"/>
    </row>
    <row r="2751" spans="1:11" s="520" customFormat="1" ht="15.75">
      <c r="A2751" s="157"/>
      <c r="B2751" s="519"/>
      <c r="J2751" s="524"/>
      <c r="K2751" s="525"/>
    </row>
    <row r="2752" spans="1:11" s="520" customFormat="1" ht="15.75">
      <c r="A2752" s="157"/>
      <c r="B2752" s="519"/>
      <c r="J2752" s="524"/>
      <c r="K2752" s="525"/>
    </row>
    <row r="2753" spans="1:11" s="520" customFormat="1" ht="15.75">
      <c r="A2753" s="157"/>
      <c r="B2753" s="519"/>
      <c r="J2753" s="524"/>
      <c r="K2753" s="525"/>
    </row>
    <row r="2754" spans="1:11" s="520" customFormat="1" ht="15.75">
      <c r="A2754" s="157"/>
      <c r="B2754" s="519"/>
      <c r="J2754" s="524"/>
      <c r="K2754" s="525"/>
    </row>
    <row r="2755" spans="1:11" s="520" customFormat="1" ht="15.75">
      <c r="A2755" s="157"/>
      <c r="B2755" s="519"/>
      <c r="J2755" s="524"/>
      <c r="K2755" s="525"/>
    </row>
    <row r="2756" spans="1:11" s="520" customFormat="1" ht="15.75">
      <c r="A2756" s="157"/>
      <c r="B2756" s="519"/>
      <c r="J2756" s="524"/>
      <c r="K2756" s="525"/>
    </row>
    <row r="2757" spans="1:11" s="520" customFormat="1" ht="15.75">
      <c r="A2757" s="157"/>
      <c r="B2757" s="519"/>
      <c r="J2757" s="524"/>
      <c r="K2757" s="525"/>
    </row>
    <row r="2758" spans="1:11" s="520" customFormat="1" ht="15.75">
      <c r="A2758" s="157"/>
      <c r="B2758" s="519"/>
      <c r="J2758" s="524"/>
      <c r="K2758" s="525"/>
    </row>
    <row r="2759" spans="1:11" s="520" customFormat="1" ht="15.75">
      <c r="A2759" s="157"/>
      <c r="B2759" s="519"/>
      <c r="J2759" s="524"/>
      <c r="K2759" s="525"/>
    </row>
    <row r="2760" spans="1:11" s="520" customFormat="1" ht="15.75">
      <c r="A2760" s="157"/>
      <c r="B2760" s="519"/>
      <c r="J2760" s="524"/>
      <c r="K2760" s="525"/>
    </row>
    <row r="2761" spans="1:11" s="520" customFormat="1" ht="15.75">
      <c r="A2761" s="157"/>
      <c r="B2761" s="519"/>
      <c r="J2761" s="524"/>
      <c r="K2761" s="525"/>
    </row>
    <row r="2762" spans="1:11" s="520" customFormat="1" ht="15.75">
      <c r="A2762" s="157"/>
      <c r="B2762" s="519"/>
      <c r="J2762" s="524"/>
      <c r="K2762" s="525"/>
    </row>
    <row r="2763" spans="1:11" s="520" customFormat="1" ht="15.75">
      <c r="A2763" s="157"/>
      <c r="B2763" s="519"/>
      <c r="J2763" s="524"/>
      <c r="K2763" s="525"/>
    </row>
    <row r="2764" spans="1:11" s="520" customFormat="1" ht="15.75">
      <c r="A2764" s="157"/>
      <c r="B2764" s="519"/>
      <c r="J2764" s="524"/>
      <c r="K2764" s="525"/>
    </row>
    <row r="2765" spans="1:11" s="520" customFormat="1" ht="15.75">
      <c r="A2765" s="157"/>
      <c r="B2765" s="519"/>
      <c r="J2765" s="524"/>
      <c r="K2765" s="525"/>
    </row>
    <row r="2766" spans="1:11" s="520" customFormat="1" ht="15.75">
      <c r="A2766" s="157"/>
      <c r="B2766" s="519"/>
      <c r="J2766" s="524"/>
      <c r="K2766" s="525"/>
    </row>
    <row r="2767" spans="1:11" s="520" customFormat="1" ht="15.75">
      <c r="A2767" s="157"/>
      <c r="B2767" s="519"/>
      <c r="J2767" s="524"/>
      <c r="K2767" s="525"/>
    </row>
    <row r="2768" spans="1:11" s="520" customFormat="1" ht="15.75">
      <c r="A2768" s="157"/>
      <c r="B2768" s="519"/>
      <c r="J2768" s="524"/>
      <c r="K2768" s="525"/>
    </row>
    <row r="2769" spans="1:11" s="520" customFormat="1" ht="15.75">
      <c r="A2769" s="157"/>
      <c r="B2769" s="519"/>
      <c r="J2769" s="524"/>
      <c r="K2769" s="525"/>
    </row>
    <row r="2770" spans="1:11" s="520" customFormat="1" ht="15.75">
      <c r="A2770" s="157"/>
      <c r="B2770" s="519"/>
      <c r="J2770" s="524"/>
      <c r="K2770" s="525"/>
    </row>
    <row r="2771" spans="1:11" s="520" customFormat="1" ht="15.75">
      <c r="A2771" s="157"/>
      <c r="B2771" s="519"/>
      <c r="J2771" s="524"/>
      <c r="K2771" s="525"/>
    </row>
    <row r="2772" spans="1:11" s="520" customFormat="1" ht="15.75">
      <c r="A2772" s="157"/>
      <c r="B2772" s="519"/>
      <c r="J2772" s="524"/>
      <c r="K2772" s="525"/>
    </row>
    <row r="2773" spans="1:11" s="520" customFormat="1" ht="15.75">
      <c r="A2773" s="157"/>
      <c r="B2773" s="519"/>
      <c r="J2773" s="524"/>
      <c r="K2773" s="525"/>
    </row>
    <row r="2774" spans="1:11" s="520" customFormat="1" ht="15.75">
      <c r="A2774" s="157"/>
      <c r="B2774" s="519"/>
      <c r="J2774" s="524"/>
      <c r="K2774" s="525"/>
    </row>
    <row r="2775" spans="1:11" s="520" customFormat="1" ht="15.75">
      <c r="A2775" s="157"/>
      <c r="B2775" s="519"/>
      <c r="J2775" s="524"/>
      <c r="K2775" s="525"/>
    </row>
    <row r="2776" spans="1:11" s="520" customFormat="1" ht="15.75">
      <c r="A2776" s="157"/>
      <c r="B2776" s="519"/>
      <c r="J2776" s="524"/>
      <c r="K2776" s="525"/>
    </row>
    <row r="2777" spans="1:11" s="520" customFormat="1" ht="15.75">
      <c r="A2777" s="157"/>
      <c r="B2777" s="519"/>
      <c r="J2777" s="524"/>
      <c r="K2777" s="525"/>
    </row>
    <row r="2778" spans="1:11" s="520" customFormat="1" ht="15.75">
      <c r="A2778" s="157"/>
      <c r="B2778" s="519"/>
      <c r="J2778" s="524"/>
      <c r="K2778" s="525"/>
    </row>
    <row r="2779" spans="1:11" s="520" customFormat="1" ht="15.75">
      <c r="A2779" s="157"/>
      <c r="B2779" s="519"/>
      <c r="J2779" s="524"/>
      <c r="K2779" s="525"/>
    </row>
    <row r="2780" spans="1:11" s="520" customFormat="1" ht="15.75">
      <c r="A2780" s="157"/>
      <c r="B2780" s="519"/>
      <c r="J2780" s="524"/>
      <c r="K2780" s="525"/>
    </row>
    <row r="2781" spans="1:11" s="520" customFormat="1" ht="15.75">
      <c r="A2781" s="157"/>
      <c r="B2781" s="519"/>
      <c r="J2781" s="524"/>
      <c r="K2781" s="525"/>
    </row>
    <row r="2782" spans="1:11" s="520" customFormat="1" ht="15.75">
      <c r="A2782" s="157"/>
      <c r="B2782" s="519"/>
      <c r="J2782" s="524"/>
      <c r="K2782" s="525"/>
    </row>
    <row r="2783" spans="1:11" s="520" customFormat="1" ht="15.75">
      <c r="A2783" s="157"/>
      <c r="B2783" s="519"/>
      <c r="J2783" s="524"/>
      <c r="K2783" s="525"/>
    </row>
    <row r="2784" spans="1:11" s="520" customFormat="1" ht="15.75">
      <c r="A2784" s="157"/>
      <c r="B2784" s="519"/>
      <c r="J2784" s="524"/>
      <c r="K2784" s="525"/>
    </row>
    <row r="2785" spans="1:11" s="520" customFormat="1" ht="15.75">
      <c r="A2785" s="157"/>
      <c r="B2785" s="519"/>
      <c r="J2785" s="524"/>
      <c r="K2785" s="525"/>
    </row>
    <row r="2786" spans="1:11" s="520" customFormat="1" ht="15.75">
      <c r="A2786" s="157"/>
      <c r="B2786" s="519"/>
      <c r="J2786" s="524"/>
      <c r="K2786" s="525"/>
    </row>
    <row r="2787" spans="1:11" s="520" customFormat="1" ht="15.75">
      <c r="A2787" s="157"/>
      <c r="B2787" s="519"/>
      <c r="J2787" s="524"/>
      <c r="K2787" s="525"/>
    </row>
    <row r="2788" spans="1:11" s="520" customFormat="1" ht="15.75">
      <c r="A2788" s="157"/>
      <c r="B2788" s="519"/>
      <c r="J2788" s="524"/>
      <c r="K2788" s="525"/>
    </row>
    <row r="2789" spans="1:11" s="520" customFormat="1" ht="15.75">
      <c r="A2789" s="157"/>
      <c r="B2789" s="519"/>
      <c r="J2789" s="524"/>
      <c r="K2789" s="525"/>
    </row>
    <row r="2790" spans="1:11" s="520" customFormat="1" ht="15.75">
      <c r="A2790" s="157"/>
      <c r="B2790" s="519"/>
      <c r="J2790" s="524"/>
      <c r="K2790" s="525"/>
    </row>
    <row r="2791" spans="1:11" s="520" customFormat="1" ht="15.75">
      <c r="A2791" s="157"/>
      <c r="B2791" s="519"/>
      <c r="J2791" s="524"/>
      <c r="K2791" s="525"/>
    </row>
    <row r="2792" spans="1:11" s="520" customFormat="1" ht="15.75">
      <c r="A2792" s="157"/>
      <c r="B2792" s="519"/>
      <c r="J2792" s="524"/>
      <c r="K2792" s="525"/>
    </row>
    <row r="2793" spans="1:11" s="520" customFormat="1" ht="15.75">
      <c r="A2793" s="157"/>
      <c r="B2793" s="519"/>
      <c r="J2793" s="524"/>
      <c r="K2793" s="525"/>
    </row>
    <row r="2794" spans="1:11" s="520" customFormat="1" ht="15.75">
      <c r="A2794" s="157"/>
      <c r="B2794" s="519"/>
      <c r="J2794" s="524"/>
      <c r="K2794" s="525"/>
    </row>
    <row r="2795" spans="1:11" s="520" customFormat="1" ht="15.75">
      <c r="A2795" s="157"/>
      <c r="B2795" s="519"/>
      <c r="J2795" s="524"/>
      <c r="K2795" s="525"/>
    </row>
    <row r="2796" spans="1:11" s="520" customFormat="1" ht="15.75">
      <c r="A2796" s="157"/>
      <c r="B2796" s="519"/>
      <c r="J2796" s="524"/>
      <c r="K2796" s="525"/>
    </row>
    <row r="2797" spans="1:11" s="520" customFormat="1" ht="15.75">
      <c r="A2797" s="157"/>
      <c r="B2797" s="519"/>
      <c r="J2797" s="524"/>
      <c r="K2797" s="525"/>
    </row>
    <row r="2798" spans="1:11" s="520" customFormat="1" ht="15.75">
      <c r="A2798" s="157"/>
      <c r="B2798" s="519"/>
      <c r="J2798" s="524"/>
      <c r="K2798" s="525"/>
    </row>
    <row r="2799" spans="1:11" s="520" customFormat="1" ht="15.75">
      <c r="A2799" s="157"/>
      <c r="B2799" s="519"/>
      <c r="J2799" s="524"/>
      <c r="K2799" s="525"/>
    </row>
    <row r="2800" spans="1:11" s="520" customFormat="1" ht="15.75">
      <c r="A2800" s="157"/>
      <c r="B2800" s="519"/>
      <c r="J2800" s="524"/>
      <c r="K2800" s="525"/>
    </row>
    <row r="2801" spans="1:11" s="520" customFormat="1" ht="15.75">
      <c r="A2801" s="157"/>
      <c r="B2801" s="519"/>
      <c r="J2801" s="524"/>
      <c r="K2801" s="525"/>
    </row>
    <row r="2802" spans="1:11" s="520" customFormat="1" ht="15.75">
      <c r="A2802" s="157"/>
      <c r="B2802" s="519"/>
      <c r="J2802" s="524"/>
      <c r="K2802" s="525"/>
    </row>
    <row r="2803" spans="1:11" s="520" customFormat="1" ht="15.75">
      <c r="A2803" s="157"/>
      <c r="B2803" s="519"/>
      <c r="J2803" s="524"/>
      <c r="K2803" s="525"/>
    </row>
    <row r="2804" spans="1:11" s="520" customFormat="1" ht="15.75">
      <c r="A2804" s="157"/>
      <c r="B2804" s="519"/>
      <c r="J2804" s="524"/>
      <c r="K2804" s="525"/>
    </row>
    <row r="2805" spans="1:11" s="520" customFormat="1" ht="15.75">
      <c r="A2805" s="157"/>
      <c r="B2805" s="519"/>
      <c r="J2805" s="524"/>
      <c r="K2805" s="525"/>
    </row>
    <row r="2806" spans="1:11" s="520" customFormat="1" ht="15.75">
      <c r="A2806" s="157"/>
      <c r="B2806" s="519"/>
      <c r="J2806" s="524"/>
      <c r="K2806" s="525"/>
    </row>
    <row r="2807" spans="1:11" s="520" customFormat="1" ht="15.75">
      <c r="A2807" s="157"/>
      <c r="B2807" s="519"/>
      <c r="J2807" s="524"/>
      <c r="K2807" s="525"/>
    </row>
    <row r="2808" spans="1:11" s="520" customFormat="1" ht="15.75">
      <c r="A2808" s="157"/>
      <c r="B2808" s="519"/>
      <c r="J2808" s="524"/>
      <c r="K2808" s="525"/>
    </row>
    <row r="2809" spans="1:11" s="520" customFormat="1" ht="15.75">
      <c r="A2809" s="157"/>
      <c r="B2809" s="519"/>
      <c r="J2809" s="524"/>
      <c r="K2809" s="525"/>
    </row>
    <row r="2810" spans="1:11" s="520" customFormat="1" ht="15.75">
      <c r="A2810" s="157"/>
      <c r="B2810" s="519"/>
      <c r="J2810" s="524"/>
      <c r="K2810" s="525"/>
    </row>
    <row r="2811" spans="1:11" s="520" customFormat="1" ht="15.75">
      <c r="A2811" s="157"/>
      <c r="B2811" s="519"/>
      <c r="J2811" s="524"/>
      <c r="K2811" s="525"/>
    </row>
    <row r="2812" spans="1:11" s="520" customFormat="1" ht="15.75">
      <c r="A2812" s="157"/>
      <c r="B2812" s="519"/>
      <c r="J2812" s="524"/>
      <c r="K2812" s="525"/>
    </row>
    <row r="2813" spans="1:11" s="520" customFormat="1" ht="15.75">
      <c r="A2813" s="157"/>
      <c r="B2813" s="519"/>
      <c r="J2813" s="524"/>
      <c r="K2813" s="525"/>
    </row>
    <row r="2814" spans="1:11" s="520" customFormat="1" ht="15.75">
      <c r="A2814" s="157"/>
      <c r="B2814" s="519"/>
      <c r="J2814" s="524"/>
      <c r="K2814" s="525"/>
    </row>
    <row r="2815" spans="1:11" s="520" customFormat="1" ht="15.75">
      <c r="A2815" s="157"/>
      <c r="B2815" s="519"/>
      <c r="J2815" s="524"/>
      <c r="K2815" s="525"/>
    </row>
    <row r="2816" spans="1:11" s="520" customFormat="1" ht="15.75">
      <c r="A2816" s="157"/>
      <c r="B2816" s="519"/>
      <c r="J2816" s="524"/>
      <c r="K2816" s="525"/>
    </row>
    <row r="2817" spans="1:11" s="520" customFormat="1" ht="15.75">
      <c r="A2817" s="157"/>
      <c r="B2817" s="519"/>
      <c r="J2817" s="524"/>
      <c r="K2817" s="525"/>
    </row>
    <row r="2818" spans="1:11" s="520" customFormat="1" ht="15.75">
      <c r="A2818" s="157"/>
      <c r="B2818" s="519"/>
      <c r="J2818" s="524"/>
      <c r="K2818" s="525"/>
    </row>
    <row r="2819" spans="1:11" s="520" customFormat="1" ht="15.75">
      <c r="A2819" s="157"/>
      <c r="B2819" s="519"/>
      <c r="J2819" s="524"/>
      <c r="K2819" s="525"/>
    </row>
    <row r="2820" spans="1:11" s="520" customFormat="1" ht="15.75">
      <c r="A2820" s="157"/>
      <c r="B2820" s="519"/>
      <c r="J2820" s="524"/>
      <c r="K2820" s="525"/>
    </row>
    <row r="2821" spans="1:11" s="520" customFormat="1" ht="15.75">
      <c r="A2821" s="157"/>
      <c r="B2821" s="519"/>
      <c r="J2821" s="524"/>
      <c r="K2821" s="525"/>
    </row>
    <row r="2822" spans="1:11" s="520" customFormat="1" ht="15.75">
      <c r="A2822" s="157"/>
      <c r="B2822" s="519"/>
      <c r="J2822" s="524"/>
      <c r="K2822" s="525"/>
    </row>
    <row r="2823" spans="1:11" s="520" customFormat="1" ht="15.75">
      <c r="A2823" s="157"/>
      <c r="B2823" s="519"/>
      <c r="J2823" s="524"/>
      <c r="K2823" s="525"/>
    </row>
    <row r="2824" spans="1:11" s="520" customFormat="1" ht="15.75">
      <c r="A2824" s="157"/>
      <c r="B2824" s="519"/>
      <c r="J2824" s="524"/>
      <c r="K2824" s="525"/>
    </row>
    <row r="2825" spans="1:11" s="520" customFormat="1" ht="15.75">
      <c r="A2825" s="157"/>
      <c r="B2825" s="519"/>
      <c r="J2825" s="524"/>
      <c r="K2825" s="525"/>
    </row>
    <row r="2826" spans="1:11" s="520" customFormat="1" ht="15.75">
      <c r="A2826" s="157"/>
      <c r="B2826" s="519"/>
      <c r="J2826" s="524"/>
      <c r="K2826" s="525"/>
    </row>
    <row r="2827" spans="1:11" s="520" customFormat="1" ht="15.75">
      <c r="A2827" s="157"/>
      <c r="B2827" s="519"/>
      <c r="J2827" s="524"/>
      <c r="K2827" s="525"/>
    </row>
    <row r="2828" spans="1:11" s="520" customFormat="1" ht="15.75">
      <c r="A2828" s="157"/>
      <c r="B2828" s="519"/>
      <c r="J2828" s="524"/>
      <c r="K2828" s="525"/>
    </row>
    <row r="2829" spans="1:11" s="520" customFormat="1" ht="15.75">
      <c r="A2829" s="157"/>
      <c r="B2829" s="519"/>
      <c r="J2829" s="524"/>
      <c r="K2829" s="525"/>
    </row>
    <row r="2830" spans="1:11" s="520" customFormat="1" ht="15.75">
      <c r="A2830" s="157"/>
      <c r="B2830" s="519"/>
      <c r="J2830" s="524"/>
      <c r="K2830" s="525"/>
    </row>
    <row r="2831" spans="1:11" s="520" customFormat="1" ht="15.75">
      <c r="A2831" s="157"/>
      <c r="B2831" s="519"/>
      <c r="J2831" s="524"/>
      <c r="K2831" s="525"/>
    </row>
    <row r="2832" spans="1:11" s="520" customFormat="1" ht="15.75">
      <c r="A2832" s="157"/>
      <c r="B2832" s="519"/>
      <c r="J2832" s="524"/>
      <c r="K2832" s="525"/>
    </row>
    <row r="2833" spans="1:11" s="520" customFormat="1" ht="15.75">
      <c r="A2833" s="157"/>
      <c r="B2833" s="519"/>
      <c r="J2833" s="524"/>
      <c r="K2833" s="525"/>
    </row>
    <row r="2834" spans="1:11" s="520" customFormat="1" ht="15.75">
      <c r="A2834" s="157"/>
      <c r="B2834" s="519"/>
      <c r="J2834" s="524"/>
      <c r="K2834" s="525"/>
    </row>
    <row r="2835" spans="1:11" s="520" customFormat="1" ht="15.75">
      <c r="A2835" s="157"/>
      <c r="B2835" s="519"/>
      <c r="J2835" s="524"/>
      <c r="K2835" s="525"/>
    </row>
    <row r="2836" spans="1:11" s="520" customFormat="1" ht="15.75">
      <c r="A2836" s="157"/>
      <c r="B2836" s="519"/>
      <c r="J2836" s="524"/>
      <c r="K2836" s="525"/>
    </row>
    <row r="2837" spans="1:11" s="520" customFormat="1" ht="15.75">
      <c r="A2837" s="157"/>
      <c r="B2837" s="519"/>
      <c r="J2837" s="524"/>
      <c r="K2837" s="525"/>
    </row>
    <row r="2838" spans="1:11" s="520" customFormat="1" ht="15.75">
      <c r="A2838" s="157"/>
      <c r="B2838" s="519"/>
      <c r="J2838" s="524"/>
      <c r="K2838" s="525"/>
    </row>
    <row r="2839" spans="1:11" s="520" customFormat="1" ht="15.75">
      <c r="A2839" s="157"/>
      <c r="B2839" s="519"/>
      <c r="J2839" s="524"/>
      <c r="K2839" s="525"/>
    </row>
    <row r="2840" spans="1:11" s="520" customFormat="1" ht="15.75">
      <c r="A2840" s="157"/>
      <c r="B2840" s="519"/>
      <c r="J2840" s="524"/>
      <c r="K2840" s="525"/>
    </row>
    <row r="2841" spans="1:11" s="520" customFormat="1" ht="15.75">
      <c r="A2841" s="157"/>
      <c r="B2841" s="519"/>
      <c r="J2841" s="524"/>
      <c r="K2841" s="525"/>
    </row>
    <row r="2842" spans="1:11" s="520" customFormat="1" ht="15.75">
      <c r="A2842" s="157"/>
      <c r="B2842" s="519"/>
      <c r="J2842" s="524"/>
      <c r="K2842" s="525"/>
    </row>
    <row r="2843" spans="1:11" s="520" customFormat="1" ht="15.75">
      <c r="A2843" s="157"/>
      <c r="B2843" s="519"/>
      <c r="J2843" s="524"/>
      <c r="K2843" s="525"/>
    </row>
    <row r="2844" spans="1:11" s="520" customFormat="1" ht="15.75">
      <c r="A2844" s="157"/>
      <c r="B2844" s="519"/>
      <c r="J2844" s="524"/>
      <c r="K2844" s="525"/>
    </row>
    <row r="2845" spans="1:11" s="520" customFormat="1" ht="15.75">
      <c r="A2845" s="157"/>
      <c r="B2845" s="519"/>
      <c r="J2845" s="524"/>
      <c r="K2845" s="525"/>
    </row>
    <row r="2846" spans="1:11" s="520" customFormat="1" ht="15.75">
      <c r="A2846" s="157"/>
      <c r="B2846" s="519"/>
      <c r="J2846" s="524"/>
      <c r="K2846" s="525"/>
    </row>
    <row r="2847" spans="1:11" s="520" customFormat="1" ht="15.75">
      <c r="A2847" s="157"/>
      <c r="B2847" s="519"/>
      <c r="J2847" s="524"/>
      <c r="K2847" s="525"/>
    </row>
    <row r="2848" spans="1:11" s="520" customFormat="1" ht="15.75">
      <c r="A2848" s="157"/>
      <c r="B2848" s="519"/>
      <c r="J2848" s="524"/>
      <c r="K2848" s="525"/>
    </row>
    <row r="2849" spans="1:11" s="520" customFormat="1" ht="15.75">
      <c r="A2849" s="157"/>
      <c r="B2849" s="519"/>
      <c r="J2849" s="524"/>
      <c r="K2849" s="525"/>
    </row>
    <row r="2850" spans="1:11" s="520" customFormat="1" ht="15.75">
      <c r="A2850" s="157"/>
      <c r="B2850" s="519"/>
      <c r="J2850" s="524"/>
      <c r="K2850" s="525"/>
    </row>
    <row r="2851" spans="1:11" s="520" customFormat="1" ht="15.75">
      <c r="A2851" s="157"/>
      <c r="B2851" s="519"/>
      <c r="J2851" s="524"/>
      <c r="K2851" s="525"/>
    </row>
    <row r="2852" spans="1:11" s="520" customFormat="1" ht="15.75">
      <c r="A2852" s="157"/>
      <c r="B2852" s="519"/>
      <c r="J2852" s="524"/>
      <c r="K2852" s="525"/>
    </row>
    <row r="2853" spans="1:11" s="520" customFormat="1" ht="15.75">
      <c r="A2853" s="157"/>
      <c r="B2853" s="519"/>
      <c r="J2853" s="524"/>
      <c r="K2853" s="525"/>
    </row>
    <row r="2854" spans="1:11" s="520" customFormat="1" ht="15.75">
      <c r="A2854" s="157"/>
      <c r="B2854" s="519"/>
      <c r="J2854" s="524"/>
      <c r="K2854" s="525"/>
    </row>
    <row r="2855" spans="1:11" s="520" customFormat="1" ht="15.75">
      <c r="A2855" s="157"/>
      <c r="B2855" s="519"/>
      <c r="J2855" s="524"/>
      <c r="K2855" s="525"/>
    </row>
    <row r="2856" spans="1:11" s="520" customFormat="1" ht="15.75">
      <c r="A2856" s="157"/>
      <c r="B2856" s="519"/>
      <c r="J2856" s="524"/>
      <c r="K2856" s="525"/>
    </row>
    <row r="2857" spans="1:11" s="520" customFormat="1" ht="15.75">
      <c r="A2857" s="157"/>
      <c r="B2857" s="519"/>
      <c r="J2857" s="524"/>
      <c r="K2857" s="525"/>
    </row>
    <row r="2858" spans="1:11" s="520" customFormat="1" ht="15.75">
      <c r="A2858" s="157"/>
      <c r="B2858" s="519"/>
      <c r="J2858" s="524"/>
      <c r="K2858" s="525"/>
    </row>
    <row r="2859" spans="1:11" s="520" customFormat="1" ht="15.75">
      <c r="A2859" s="157"/>
      <c r="B2859" s="519"/>
      <c r="J2859" s="524"/>
      <c r="K2859" s="525"/>
    </row>
    <row r="2860" spans="1:11" s="520" customFormat="1" ht="15.75">
      <c r="A2860" s="157"/>
      <c r="B2860" s="519"/>
      <c r="J2860" s="524"/>
      <c r="K2860" s="525"/>
    </row>
    <row r="2861" spans="1:11" s="520" customFormat="1" ht="15.75">
      <c r="A2861" s="157"/>
      <c r="B2861" s="519"/>
      <c r="J2861" s="524"/>
      <c r="K2861" s="525"/>
    </row>
    <row r="2862" spans="1:11" s="520" customFormat="1" ht="15.75">
      <c r="A2862" s="157"/>
      <c r="B2862" s="519"/>
      <c r="J2862" s="524"/>
      <c r="K2862" s="525"/>
    </row>
    <row r="2863" spans="1:11" s="520" customFormat="1" ht="15.75">
      <c r="A2863" s="157"/>
      <c r="B2863" s="519"/>
      <c r="J2863" s="524"/>
      <c r="K2863" s="525"/>
    </row>
    <row r="2864" spans="1:11" s="520" customFormat="1" ht="15.75">
      <c r="A2864" s="157"/>
      <c r="B2864" s="519"/>
      <c r="J2864" s="524"/>
      <c r="K2864" s="525"/>
    </row>
    <row r="2865" spans="1:11" s="520" customFormat="1" ht="15.75">
      <c r="A2865" s="157"/>
      <c r="B2865" s="519"/>
      <c r="J2865" s="524"/>
      <c r="K2865" s="525"/>
    </row>
    <row r="2866" spans="1:11" s="520" customFormat="1" ht="15.75">
      <c r="A2866" s="157"/>
      <c r="B2866" s="519"/>
      <c r="J2866" s="524"/>
      <c r="K2866" s="525"/>
    </row>
    <row r="2867" spans="1:11" s="520" customFormat="1" ht="15.75">
      <c r="A2867" s="157"/>
      <c r="B2867" s="519"/>
      <c r="J2867" s="524"/>
      <c r="K2867" s="525"/>
    </row>
    <row r="2868" spans="1:11" s="520" customFormat="1" ht="15.75">
      <c r="A2868" s="157"/>
      <c r="B2868" s="519"/>
      <c r="J2868" s="524"/>
      <c r="K2868" s="525"/>
    </row>
    <row r="2869" spans="1:11" s="520" customFormat="1" ht="15.75">
      <c r="A2869" s="157"/>
      <c r="B2869" s="519"/>
      <c r="J2869" s="524"/>
      <c r="K2869" s="525"/>
    </row>
    <row r="2870" spans="1:11" s="520" customFormat="1" ht="15.75">
      <c r="A2870" s="157"/>
      <c r="B2870" s="519"/>
      <c r="J2870" s="524"/>
      <c r="K2870" s="525"/>
    </row>
    <row r="2871" spans="1:11" s="520" customFormat="1" ht="15.75">
      <c r="A2871" s="157"/>
      <c r="B2871" s="519"/>
      <c r="J2871" s="524"/>
      <c r="K2871" s="525"/>
    </row>
    <row r="2872" spans="1:11" s="520" customFormat="1" ht="15.75">
      <c r="A2872" s="157"/>
      <c r="B2872" s="519"/>
      <c r="J2872" s="524"/>
      <c r="K2872" s="525"/>
    </row>
    <row r="2873" spans="1:11" s="520" customFormat="1" ht="15.75">
      <c r="A2873" s="157"/>
      <c r="B2873" s="519"/>
      <c r="J2873" s="524"/>
      <c r="K2873" s="525"/>
    </row>
    <row r="2874" spans="1:11" s="520" customFormat="1" ht="15.75">
      <c r="A2874" s="157"/>
      <c r="B2874" s="519"/>
      <c r="J2874" s="524"/>
      <c r="K2874" s="525"/>
    </row>
    <row r="2875" spans="1:11" s="520" customFormat="1" ht="15.75">
      <c r="A2875" s="157"/>
      <c r="B2875" s="519"/>
      <c r="J2875" s="524"/>
      <c r="K2875" s="525"/>
    </row>
    <row r="2876" spans="1:11" s="520" customFormat="1" ht="15.75">
      <c r="A2876" s="157"/>
      <c r="B2876" s="519"/>
      <c r="J2876" s="524"/>
      <c r="K2876" s="525"/>
    </row>
    <row r="2877" spans="1:11" s="520" customFormat="1" ht="15.75">
      <c r="A2877" s="157"/>
      <c r="B2877" s="519"/>
      <c r="J2877" s="524"/>
      <c r="K2877" s="525"/>
    </row>
    <row r="2878" spans="1:11" s="520" customFormat="1" ht="15.75">
      <c r="A2878" s="157"/>
      <c r="B2878" s="519"/>
      <c r="J2878" s="524"/>
      <c r="K2878" s="525"/>
    </row>
    <row r="2879" spans="1:11" s="520" customFormat="1" ht="15.75">
      <c r="A2879" s="157"/>
      <c r="B2879" s="519"/>
      <c r="J2879" s="524"/>
      <c r="K2879" s="525"/>
    </row>
    <row r="2880" spans="1:11" s="520" customFormat="1" ht="15.75">
      <c r="A2880" s="157"/>
      <c r="B2880" s="519"/>
      <c r="J2880" s="524"/>
      <c r="K2880" s="525"/>
    </row>
    <row r="2881" spans="1:11" s="520" customFormat="1" ht="15.75">
      <c r="A2881" s="157"/>
      <c r="B2881" s="519"/>
      <c r="J2881" s="524"/>
      <c r="K2881" s="525"/>
    </row>
    <row r="2882" spans="1:11" s="520" customFormat="1" ht="15.75">
      <c r="A2882" s="157"/>
      <c r="B2882" s="519"/>
      <c r="J2882" s="524"/>
      <c r="K2882" s="525"/>
    </row>
    <row r="2883" spans="1:11" s="520" customFormat="1" ht="15.75">
      <c r="A2883" s="157"/>
      <c r="B2883" s="519"/>
      <c r="J2883" s="524"/>
      <c r="K2883" s="525"/>
    </row>
    <row r="2884" spans="1:11" s="520" customFormat="1" ht="15.75">
      <c r="A2884" s="157"/>
      <c r="B2884" s="519"/>
      <c r="J2884" s="524"/>
      <c r="K2884" s="525"/>
    </row>
    <row r="2885" spans="1:11" s="520" customFormat="1" ht="15.75">
      <c r="A2885" s="157"/>
      <c r="B2885" s="519"/>
      <c r="J2885" s="524"/>
      <c r="K2885" s="525"/>
    </row>
    <row r="2886" spans="1:11" s="520" customFormat="1" ht="15.75">
      <c r="A2886" s="157"/>
      <c r="B2886" s="519"/>
      <c r="J2886" s="524"/>
      <c r="K2886" s="525"/>
    </row>
    <row r="2887" spans="1:11" s="520" customFormat="1" ht="15.75">
      <c r="A2887" s="157"/>
      <c r="B2887" s="519"/>
      <c r="J2887" s="524"/>
      <c r="K2887" s="525"/>
    </row>
    <row r="2888" spans="1:11" s="520" customFormat="1" ht="15.75">
      <c r="A2888" s="157"/>
      <c r="B2888" s="519"/>
      <c r="J2888" s="524"/>
      <c r="K2888" s="525"/>
    </row>
    <row r="2889" spans="1:11" s="520" customFormat="1" ht="15.75">
      <c r="A2889" s="157"/>
      <c r="B2889" s="519"/>
      <c r="J2889" s="524"/>
      <c r="K2889" s="525"/>
    </row>
    <row r="2890" spans="1:11" s="520" customFormat="1" ht="15.75">
      <c r="A2890" s="157"/>
      <c r="B2890" s="519"/>
      <c r="J2890" s="524"/>
      <c r="K2890" s="525"/>
    </row>
    <row r="2891" spans="1:11" s="520" customFormat="1" ht="15.75">
      <c r="A2891" s="157"/>
      <c r="B2891" s="519"/>
      <c r="J2891" s="524"/>
      <c r="K2891" s="525"/>
    </row>
    <row r="2892" spans="1:11" s="520" customFormat="1" ht="15.75">
      <c r="A2892" s="157"/>
      <c r="B2892" s="519"/>
      <c r="J2892" s="524"/>
      <c r="K2892" s="525"/>
    </row>
    <row r="2893" spans="1:11" s="520" customFormat="1" ht="15.75">
      <c r="A2893" s="157"/>
      <c r="B2893" s="519"/>
      <c r="J2893" s="524"/>
      <c r="K2893" s="525"/>
    </row>
    <row r="2894" spans="1:11" s="520" customFormat="1" ht="15.75">
      <c r="A2894" s="157"/>
      <c r="B2894" s="519"/>
      <c r="J2894" s="524"/>
      <c r="K2894" s="525"/>
    </row>
    <row r="2895" spans="1:11" s="520" customFormat="1" ht="15.75">
      <c r="A2895" s="157"/>
      <c r="B2895" s="519"/>
      <c r="J2895" s="524"/>
      <c r="K2895" s="525"/>
    </row>
    <row r="2896" spans="1:11" s="520" customFormat="1" ht="15.75">
      <c r="A2896" s="157"/>
      <c r="B2896" s="519"/>
      <c r="J2896" s="524"/>
      <c r="K2896" s="525"/>
    </row>
    <row r="2897" spans="1:11" s="520" customFormat="1" ht="15.75">
      <c r="A2897" s="157"/>
      <c r="B2897" s="519"/>
      <c r="J2897" s="524"/>
      <c r="K2897" s="525"/>
    </row>
    <row r="2898" spans="1:11" s="520" customFormat="1" ht="15.75">
      <c r="A2898" s="157"/>
      <c r="B2898" s="519"/>
      <c r="J2898" s="524"/>
      <c r="K2898" s="525"/>
    </row>
    <row r="2899" spans="1:11" s="520" customFormat="1" ht="15.75">
      <c r="A2899" s="157"/>
      <c r="B2899" s="519"/>
      <c r="J2899" s="524"/>
      <c r="K2899" s="525"/>
    </row>
    <row r="2900" spans="1:11" s="520" customFormat="1" ht="15.75">
      <c r="A2900" s="157"/>
      <c r="B2900" s="519"/>
      <c r="J2900" s="524"/>
      <c r="K2900" s="525"/>
    </row>
    <row r="2901" spans="1:11" s="520" customFormat="1" ht="15.75">
      <c r="A2901" s="157"/>
      <c r="B2901" s="519"/>
      <c r="J2901" s="524"/>
      <c r="K2901" s="525"/>
    </row>
    <row r="2902" spans="1:11" s="520" customFormat="1" ht="15.75">
      <c r="A2902" s="157"/>
      <c r="B2902" s="519"/>
      <c r="J2902" s="524"/>
      <c r="K2902" s="525"/>
    </row>
    <row r="2903" spans="1:11" s="520" customFormat="1" ht="15.75">
      <c r="A2903" s="157"/>
      <c r="B2903" s="519"/>
      <c r="J2903" s="524"/>
      <c r="K2903" s="525"/>
    </row>
    <row r="2904" spans="1:11" s="520" customFormat="1" ht="15.75">
      <c r="A2904" s="157"/>
      <c r="B2904" s="519"/>
      <c r="J2904" s="524"/>
      <c r="K2904" s="525"/>
    </row>
    <row r="2905" spans="1:11" s="520" customFormat="1" ht="15.75">
      <c r="A2905" s="157"/>
      <c r="B2905" s="519"/>
      <c r="J2905" s="524"/>
      <c r="K2905" s="525"/>
    </row>
    <row r="2906" spans="1:11" s="520" customFormat="1" ht="15.75">
      <c r="A2906" s="157"/>
      <c r="B2906" s="519"/>
      <c r="J2906" s="524"/>
      <c r="K2906" s="525"/>
    </row>
    <row r="2907" spans="1:11" s="520" customFormat="1" ht="15.75">
      <c r="A2907" s="157"/>
      <c r="B2907" s="519"/>
      <c r="J2907" s="524"/>
      <c r="K2907" s="525"/>
    </row>
    <row r="2908" spans="1:11" s="520" customFormat="1" ht="15.75">
      <c r="A2908" s="157"/>
      <c r="B2908" s="519"/>
      <c r="J2908" s="524"/>
      <c r="K2908" s="525"/>
    </row>
    <row r="2909" spans="1:11" s="520" customFormat="1" ht="15.75">
      <c r="A2909" s="157"/>
      <c r="B2909" s="519"/>
      <c r="J2909" s="524"/>
      <c r="K2909" s="525"/>
    </row>
    <row r="2910" spans="1:11" s="520" customFormat="1" ht="15.75">
      <c r="A2910" s="157"/>
      <c r="B2910" s="519"/>
      <c r="J2910" s="524"/>
      <c r="K2910" s="525"/>
    </row>
    <row r="2911" spans="1:11" s="520" customFormat="1" ht="15.75">
      <c r="A2911" s="157"/>
      <c r="B2911" s="519"/>
      <c r="J2911" s="524"/>
      <c r="K2911" s="525"/>
    </row>
    <row r="2912" spans="1:11" s="520" customFormat="1" ht="15.75">
      <c r="A2912" s="157"/>
      <c r="B2912" s="519"/>
      <c r="J2912" s="524"/>
      <c r="K2912" s="525"/>
    </row>
    <row r="2913" spans="1:11" s="520" customFormat="1" ht="15.75">
      <c r="A2913" s="157"/>
      <c r="B2913" s="519"/>
      <c r="J2913" s="524"/>
      <c r="K2913" s="525"/>
    </row>
    <row r="2914" spans="1:11" s="520" customFormat="1" ht="15.75">
      <c r="A2914" s="157"/>
      <c r="B2914" s="519"/>
      <c r="J2914" s="524"/>
      <c r="K2914" s="525"/>
    </row>
    <row r="2915" spans="1:11" s="520" customFormat="1" ht="15.75">
      <c r="A2915" s="157"/>
      <c r="B2915" s="519"/>
      <c r="J2915" s="524"/>
      <c r="K2915" s="525"/>
    </row>
    <row r="2916" spans="1:11" s="520" customFormat="1" ht="15.75">
      <c r="A2916" s="157"/>
      <c r="B2916" s="519"/>
      <c r="J2916" s="524"/>
      <c r="K2916" s="525"/>
    </row>
    <row r="2917" spans="1:11" s="520" customFormat="1" ht="15.75">
      <c r="A2917" s="157"/>
      <c r="B2917" s="519"/>
      <c r="J2917" s="524"/>
      <c r="K2917" s="525"/>
    </row>
    <row r="2918" spans="1:11" s="520" customFormat="1" ht="15.75">
      <c r="A2918" s="157"/>
      <c r="B2918" s="519"/>
      <c r="J2918" s="524"/>
      <c r="K2918" s="525"/>
    </row>
    <row r="2919" spans="1:11" s="520" customFormat="1" ht="15.75">
      <c r="A2919" s="157"/>
      <c r="B2919" s="519"/>
      <c r="J2919" s="524"/>
      <c r="K2919" s="525"/>
    </row>
    <row r="2920" spans="1:11" s="520" customFormat="1" ht="15.75">
      <c r="A2920" s="157"/>
      <c r="B2920" s="519"/>
      <c r="J2920" s="524"/>
      <c r="K2920" s="525"/>
    </row>
    <row r="2921" spans="1:11" s="520" customFormat="1" ht="15.75">
      <c r="A2921" s="157"/>
      <c r="B2921" s="519"/>
      <c r="J2921" s="524"/>
      <c r="K2921" s="525"/>
    </row>
    <row r="2922" spans="1:11" s="520" customFormat="1" ht="15.75">
      <c r="A2922" s="157"/>
      <c r="B2922" s="519"/>
      <c r="J2922" s="524"/>
      <c r="K2922" s="525"/>
    </row>
    <row r="2923" spans="1:11" s="520" customFormat="1" ht="15.75">
      <c r="A2923" s="157"/>
      <c r="B2923" s="519"/>
      <c r="J2923" s="524"/>
      <c r="K2923" s="525"/>
    </row>
    <row r="2924" spans="1:11" s="520" customFormat="1" ht="15.75">
      <c r="A2924" s="157"/>
      <c r="B2924" s="519"/>
      <c r="J2924" s="524"/>
      <c r="K2924" s="525"/>
    </row>
    <row r="2925" spans="1:11" s="520" customFormat="1" ht="15.75">
      <c r="A2925" s="157"/>
      <c r="B2925" s="519"/>
      <c r="J2925" s="524"/>
      <c r="K2925" s="525"/>
    </row>
    <row r="2926" spans="1:11" s="520" customFormat="1" ht="15.75">
      <c r="A2926" s="157"/>
      <c r="B2926" s="519"/>
      <c r="J2926" s="524"/>
      <c r="K2926" s="525"/>
    </row>
    <row r="2927" spans="1:11" s="520" customFormat="1" ht="15.75">
      <c r="A2927" s="157"/>
      <c r="B2927" s="519"/>
      <c r="J2927" s="524"/>
      <c r="K2927" s="525"/>
    </row>
    <row r="2928" spans="1:11" s="520" customFormat="1" ht="15.75">
      <c r="A2928" s="157"/>
      <c r="B2928" s="519"/>
      <c r="J2928" s="524"/>
      <c r="K2928" s="525"/>
    </row>
    <row r="2929" spans="1:11" s="520" customFormat="1" ht="15.75">
      <c r="A2929" s="157"/>
      <c r="B2929" s="519"/>
      <c r="J2929" s="524"/>
      <c r="K2929" s="525"/>
    </row>
    <row r="2930" spans="1:11" s="520" customFormat="1" ht="15.75">
      <c r="A2930" s="157"/>
      <c r="B2930" s="519"/>
      <c r="J2930" s="524"/>
      <c r="K2930" s="525"/>
    </row>
    <row r="2931" spans="1:11" s="520" customFormat="1" ht="15.75">
      <c r="A2931" s="157"/>
      <c r="B2931" s="519"/>
      <c r="J2931" s="524"/>
      <c r="K2931" s="525"/>
    </row>
    <row r="2932" spans="1:11" s="520" customFormat="1" ht="15.75">
      <c r="A2932" s="157"/>
      <c r="B2932" s="519"/>
      <c r="J2932" s="524"/>
      <c r="K2932" s="525"/>
    </row>
    <row r="2933" spans="1:11" s="520" customFormat="1" ht="15.75">
      <c r="A2933" s="157"/>
      <c r="B2933" s="519"/>
      <c r="J2933" s="524"/>
      <c r="K2933" s="525"/>
    </row>
    <row r="2934" spans="1:11" s="520" customFormat="1" ht="15.75">
      <c r="A2934" s="157"/>
      <c r="B2934" s="519"/>
      <c r="J2934" s="524"/>
      <c r="K2934" s="525"/>
    </row>
    <row r="2935" spans="1:11" s="520" customFormat="1" ht="15.75">
      <c r="A2935" s="157"/>
      <c r="B2935" s="519"/>
      <c r="J2935" s="524"/>
      <c r="K2935" s="525"/>
    </row>
    <row r="2936" spans="1:11" s="520" customFormat="1" ht="15.75">
      <c r="A2936" s="157"/>
      <c r="B2936" s="519"/>
      <c r="J2936" s="524"/>
      <c r="K2936" s="525"/>
    </row>
    <row r="2937" spans="1:11" s="520" customFormat="1" ht="15.75">
      <c r="A2937" s="157"/>
      <c r="B2937" s="519"/>
      <c r="J2937" s="524"/>
      <c r="K2937" s="525"/>
    </row>
    <row r="2938" spans="1:11" s="520" customFormat="1" ht="15.75">
      <c r="A2938" s="157"/>
      <c r="B2938" s="519"/>
      <c r="J2938" s="524"/>
      <c r="K2938" s="525"/>
    </row>
    <row r="2939" spans="1:11" s="520" customFormat="1" ht="15.75">
      <c r="A2939" s="157"/>
      <c r="B2939" s="519"/>
      <c r="J2939" s="524"/>
      <c r="K2939" s="525"/>
    </row>
    <row r="2940" spans="1:11" s="520" customFormat="1" ht="15.75">
      <c r="A2940" s="157"/>
      <c r="B2940" s="519"/>
      <c r="J2940" s="524"/>
      <c r="K2940" s="525"/>
    </row>
    <row r="2941" spans="1:11" s="520" customFormat="1" ht="15.75">
      <c r="A2941" s="157"/>
      <c r="B2941" s="519"/>
      <c r="J2941" s="524"/>
      <c r="K2941" s="525"/>
    </row>
    <row r="2942" spans="1:11" s="520" customFormat="1" ht="15.75">
      <c r="A2942" s="157"/>
      <c r="B2942" s="519"/>
      <c r="J2942" s="524"/>
      <c r="K2942" s="525"/>
    </row>
    <row r="2943" spans="1:11" s="520" customFormat="1" ht="15.75">
      <c r="A2943" s="157"/>
      <c r="B2943" s="519"/>
      <c r="J2943" s="524"/>
      <c r="K2943" s="525"/>
    </row>
    <row r="2944" spans="1:11" s="520" customFormat="1" ht="15.75">
      <c r="A2944" s="157"/>
      <c r="B2944" s="519"/>
      <c r="J2944" s="524"/>
      <c r="K2944" s="525"/>
    </row>
    <row r="2945" spans="1:11" s="520" customFormat="1" ht="15.75">
      <c r="A2945" s="157"/>
      <c r="B2945" s="519"/>
      <c r="J2945" s="524"/>
      <c r="K2945" s="525"/>
    </row>
    <row r="2946" spans="1:11" s="520" customFormat="1" ht="15.75">
      <c r="A2946" s="157"/>
      <c r="B2946" s="519"/>
      <c r="J2946" s="524"/>
      <c r="K2946" s="525"/>
    </row>
    <row r="2947" spans="1:11" s="520" customFormat="1" ht="15.75">
      <c r="A2947" s="157"/>
      <c r="B2947" s="519"/>
      <c r="J2947" s="524"/>
      <c r="K2947" s="525"/>
    </row>
    <row r="2948" spans="1:11" s="520" customFormat="1" ht="15.75">
      <c r="A2948" s="157"/>
      <c r="B2948" s="519"/>
      <c r="J2948" s="524"/>
      <c r="K2948" s="525"/>
    </row>
    <row r="2949" spans="1:11" s="520" customFormat="1" ht="15.75">
      <c r="A2949" s="157"/>
      <c r="B2949" s="519"/>
      <c r="J2949" s="524"/>
      <c r="K2949" s="525"/>
    </row>
    <row r="2950" spans="1:11" s="520" customFormat="1" ht="15.75">
      <c r="A2950" s="157"/>
      <c r="B2950" s="519"/>
      <c r="J2950" s="524"/>
      <c r="K2950" s="525"/>
    </row>
    <row r="2951" spans="1:11" s="520" customFormat="1" ht="15.75">
      <c r="A2951" s="157"/>
      <c r="B2951" s="519"/>
      <c r="J2951" s="524"/>
      <c r="K2951" s="525"/>
    </row>
    <row r="2952" spans="1:11" s="520" customFormat="1" ht="15.75">
      <c r="A2952" s="157"/>
      <c r="B2952" s="519"/>
      <c r="J2952" s="524"/>
      <c r="K2952" s="525"/>
    </row>
    <row r="2953" spans="1:11" s="520" customFormat="1" ht="15.75">
      <c r="A2953" s="157"/>
      <c r="B2953" s="519"/>
      <c r="J2953" s="524"/>
      <c r="K2953" s="525"/>
    </row>
    <row r="2954" spans="1:11" s="520" customFormat="1" ht="15.75">
      <c r="A2954" s="157"/>
      <c r="B2954" s="519"/>
      <c r="J2954" s="524"/>
      <c r="K2954" s="525"/>
    </row>
    <row r="2955" spans="1:11" s="520" customFormat="1" ht="15.75">
      <c r="A2955" s="157"/>
      <c r="B2955" s="519"/>
      <c r="J2955" s="524"/>
      <c r="K2955" s="525"/>
    </row>
    <row r="2956" spans="1:11" s="520" customFormat="1" ht="15.75">
      <c r="A2956" s="157"/>
      <c r="B2956" s="519"/>
      <c r="J2956" s="524"/>
      <c r="K2956" s="525"/>
    </row>
    <row r="2957" spans="1:11" s="520" customFormat="1" ht="15.75">
      <c r="A2957" s="157"/>
      <c r="B2957" s="519"/>
      <c r="J2957" s="524"/>
      <c r="K2957" s="525"/>
    </row>
    <row r="2958" spans="1:11" s="520" customFormat="1" ht="15.75">
      <c r="A2958" s="157"/>
      <c r="B2958" s="519"/>
      <c r="J2958" s="524"/>
      <c r="K2958" s="525"/>
    </row>
    <row r="2959" spans="1:11" s="520" customFormat="1" ht="15.75">
      <c r="A2959" s="157"/>
      <c r="B2959" s="519"/>
      <c r="J2959" s="524"/>
      <c r="K2959" s="525"/>
    </row>
    <row r="2960" spans="1:11" s="520" customFormat="1" ht="15.75">
      <c r="A2960" s="157"/>
      <c r="B2960" s="519"/>
      <c r="J2960" s="524"/>
      <c r="K2960" s="525"/>
    </row>
    <row r="2961" spans="1:11" s="520" customFormat="1" ht="15.75">
      <c r="A2961" s="157"/>
      <c r="B2961" s="519"/>
      <c r="J2961" s="524"/>
      <c r="K2961" s="525"/>
    </row>
    <row r="2962" spans="1:11" s="520" customFormat="1" ht="15.75">
      <c r="A2962" s="157"/>
      <c r="B2962" s="519"/>
      <c r="J2962" s="524"/>
      <c r="K2962" s="525"/>
    </row>
    <row r="2963" spans="1:11" s="520" customFormat="1" ht="15.75">
      <c r="A2963" s="157"/>
      <c r="B2963" s="519"/>
      <c r="J2963" s="524"/>
      <c r="K2963" s="525"/>
    </row>
    <row r="2964" spans="1:11" s="520" customFormat="1" ht="15.75">
      <c r="A2964" s="157"/>
      <c r="B2964" s="519"/>
      <c r="J2964" s="524"/>
      <c r="K2964" s="525"/>
    </row>
    <row r="2965" spans="1:11" s="520" customFormat="1" ht="15.75">
      <c r="A2965" s="157"/>
      <c r="B2965" s="519"/>
      <c r="J2965" s="524"/>
      <c r="K2965" s="525"/>
    </row>
    <row r="2966" spans="1:11" s="520" customFormat="1" ht="15.75">
      <c r="A2966" s="157"/>
      <c r="B2966" s="519"/>
      <c r="J2966" s="524"/>
      <c r="K2966" s="525"/>
    </row>
    <row r="2967" spans="1:11" s="520" customFormat="1" ht="15.75">
      <c r="A2967" s="157"/>
      <c r="B2967" s="519"/>
      <c r="J2967" s="524"/>
      <c r="K2967" s="525"/>
    </row>
    <row r="2968" spans="1:11" s="520" customFormat="1" ht="15.75">
      <c r="A2968" s="157"/>
      <c r="B2968" s="519"/>
      <c r="J2968" s="524"/>
      <c r="K2968" s="525"/>
    </row>
    <row r="2969" spans="1:11" s="520" customFormat="1" ht="15.75">
      <c r="A2969" s="157"/>
      <c r="B2969" s="519"/>
      <c r="J2969" s="524"/>
      <c r="K2969" s="525"/>
    </row>
    <row r="2970" spans="1:11" s="520" customFormat="1" ht="15.75">
      <c r="A2970" s="157"/>
      <c r="B2970" s="519"/>
      <c r="J2970" s="524"/>
      <c r="K2970" s="525"/>
    </row>
    <row r="2971" spans="1:11" s="520" customFormat="1" ht="15.75">
      <c r="A2971" s="157"/>
      <c r="B2971" s="519"/>
      <c r="J2971" s="524"/>
      <c r="K2971" s="525"/>
    </row>
    <row r="2972" spans="1:11" s="520" customFormat="1" ht="15.75">
      <c r="A2972" s="157"/>
      <c r="B2972" s="519"/>
      <c r="J2972" s="524"/>
      <c r="K2972" s="525"/>
    </row>
    <row r="2973" spans="1:11" s="520" customFormat="1" ht="15.75">
      <c r="A2973" s="157"/>
      <c r="B2973" s="519"/>
      <c r="J2973" s="524"/>
      <c r="K2973" s="525"/>
    </row>
    <row r="2974" spans="1:11" s="520" customFormat="1" ht="15.75">
      <c r="A2974" s="157"/>
      <c r="B2974" s="519"/>
      <c r="J2974" s="524"/>
      <c r="K2974" s="525"/>
    </row>
    <row r="2975" spans="1:11" s="520" customFormat="1" ht="15.75">
      <c r="A2975" s="157"/>
      <c r="B2975" s="519"/>
      <c r="J2975" s="524"/>
      <c r="K2975" s="525"/>
    </row>
    <row r="2976" spans="1:11" s="520" customFormat="1" ht="15.75">
      <c r="A2976" s="157"/>
      <c r="B2976" s="519"/>
      <c r="J2976" s="524"/>
      <c r="K2976" s="525"/>
    </row>
    <row r="2977" spans="1:11" s="520" customFormat="1" ht="15.75">
      <c r="A2977" s="157"/>
      <c r="B2977" s="519"/>
      <c r="J2977" s="524"/>
      <c r="K2977" s="525"/>
    </row>
    <row r="2978" spans="1:11" s="520" customFormat="1" ht="15.75">
      <c r="A2978" s="157"/>
      <c r="B2978" s="519"/>
      <c r="J2978" s="524"/>
      <c r="K2978" s="525"/>
    </row>
    <row r="2979" spans="1:11" s="520" customFormat="1" ht="15.75">
      <c r="A2979" s="157"/>
      <c r="B2979" s="519"/>
      <c r="J2979" s="524"/>
      <c r="K2979" s="525"/>
    </row>
    <row r="2980" spans="1:11" s="520" customFormat="1" ht="15.75">
      <c r="A2980" s="157"/>
      <c r="B2980" s="519"/>
      <c r="J2980" s="524"/>
      <c r="K2980" s="525"/>
    </row>
    <row r="2981" spans="1:11" s="520" customFormat="1" ht="15.75">
      <c r="A2981" s="157"/>
      <c r="B2981" s="519"/>
      <c r="J2981" s="524"/>
      <c r="K2981" s="525"/>
    </row>
    <row r="2982" spans="1:11" s="520" customFormat="1" ht="15.75">
      <c r="A2982" s="157"/>
      <c r="B2982" s="519"/>
      <c r="J2982" s="524"/>
      <c r="K2982" s="525"/>
    </row>
    <row r="2983" spans="1:11" s="520" customFormat="1" ht="15.75">
      <c r="A2983" s="157"/>
      <c r="B2983" s="519"/>
      <c r="J2983" s="524"/>
      <c r="K2983" s="525"/>
    </row>
    <row r="2984" spans="1:11" s="520" customFormat="1" ht="15.75">
      <c r="A2984" s="157"/>
      <c r="B2984" s="519"/>
      <c r="J2984" s="524"/>
      <c r="K2984" s="525"/>
    </row>
    <row r="2985" spans="1:11" s="520" customFormat="1" ht="15.75">
      <c r="A2985" s="157"/>
      <c r="B2985" s="519"/>
      <c r="J2985" s="524"/>
      <c r="K2985" s="525"/>
    </row>
    <row r="2986" spans="1:11" s="520" customFormat="1" ht="15.75">
      <c r="A2986" s="157"/>
      <c r="B2986" s="519"/>
      <c r="J2986" s="524"/>
      <c r="K2986" s="525"/>
    </row>
    <row r="2987" spans="1:11" s="520" customFormat="1" ht="15.75">
      <c r="A2987" s="157"/>
      <c r="B2987" s="519"/>
      <c r="J2987" s="524"/>
      <c r="K2987" s="525"/>
    </row>
    <row r="2988" spans="1:11" s="520" customFormat="1" ht="15.75">
      <c r="A2988" s="157"/>
      <c r="B2988" s="519"/>
      <c r="J2988" s="524"/>
      <c r="K2988" s="525"/>
    </row>
    <row r="2989" spans="1:11" s="520" customFormat="1" ht="15.75">
      <c r="A2989" s="157"/>
      <c r="B2989" s="519"/>
      <c r="J2989" s="524"/>
      <c r="K2989" s="525"/>
    </row>
    <row r="2990" spans="1:11" s="520" customFormat="1" ht="15.75">
      <c r="A2990" s="157"/>
      <c r="B2990" s="519"/>
      <c r="J2990" s="524"/>
      <c r="K2990" s="525"/>
    </row>
    <row r="2991" spans="1:11" s="520" customFormat="1" ht="15.75">
      <c r="A2991" s="157"/>
      <c r="B2991" s="519"/>
      <c r="J2991" s="524"/>
      <c r="K2991" s="525"/>
    </row>
    <row r="2992" spans="1:11" s="520" customFormat="1" ht="15.75">
      <c r="A2992" s="157"/>
      <c r="B2992" s="519"/>
      <c r="J2992" s="524"/>
      <c r="K2992" s="525"/>
    </row>
    <row r="2993" spans="1:11" s="520" customFormat="1" ht="15.75">
      <c r="A2993" s="157"/>
      <c r="B2993" s="519"/>
      <c r="J2993" s="524"/>
      <c r="K2993" s="525"/>
    </row>
    <row r="2994" spans="1:11" s="520" customFormat="1" ht="15.75">
      <c r="A2994" s="157"/>
      <c r="B2994" s="519"/>
      <c r="J2994" s="524"/>
      <c r="K2994" s="525"/>
    </row>
    <row r="2995" spans="1:11" s="520" customFormat="1" ht="15.75">
      <c r="A2995" s="157"/>
      <c r="B2995" s="519"/>
      <c r="J2995" s="524"/>
      <c r="K2995" s="525"/>
    </row>
    <row r="2996" spans="1:11" s="520" customFormat="1" ht="15.75">
      <c r="A2996" s="157"/>
      <c r="B2996" s="519"/>
      <c r="J2996" s="524"/>
      <c r="K2996" s="525"/>
    </row>
    <row r="2997" spans="1:11" s="520" customFormat="1" ht="15.75">
      <c r="A2997" s="157"/>
      <c r="B2997" s="519"/>
      <c r="J2997" s="524"/>
      <c r="K2997" s="525"/>
    </row>
    <row r="2998" spans="1:11" s="520" customFormat="1" ht="15.75">
      <c r="A2998" s="157"/>
      <c r="B2998" s="519"/>
      <c r="J2998" s="524"/>
      <c r="K2998" s="525"/>
    </row>
    <row r="2999" spans="1:11" s="520" customFormat="1" ht="15.75">
      <c r="A2999" s="157"/>
      <c r="B2999" s="519"/>
      <c r="J2999" s="524"/>
      <c r="K2999" s="525"/>
    </row>
    <row r="3000" spans="1:11" s="520" customFormat="1" ht="15.75">
      <c r="A3000" s="157"/>
      <c r="B3000" s="519"/>
      <c r="J3000" s="524"/>
      <c r="K3000" s="525"/>
    </row>
    <row r="3001" spans="1:11" s="520" customFormat="1" ht="15.75">
      <c r="A3001" s="157"/>
      <c r="B3001" s="519"/>
      <c r="J3001" s="524"/>
      <c r="K3001" s="525"/>
    </row>
    <row r="3002" spans="1:11" s="520" customFormat="1" ht="15.75">
      <c r="A3002" s="157"/>
      <c r="B3002" s="519"/>
      <c r="J3002" s="524"/>
      <c r="K3002" s="525"/>
    </row>
    <row r="3003" spans="1:11" s="520" customFormat="1" ht="15.75">
      <c r="A3003" s="157"/>
      <c r="B3003" s="519"/>
      <c r="J3003" s="524"/>
      <c r="K3003" s="525"/>
    </row>
    <row r="3004" spans="1:11" s="520" customFormat="1" ht="15.75">
      <c r="A3004" s="157"/>
      <c r="B3004" s="519"/>
      <c r="J3004" s="524"/>
      <c r="K3004" s="525"/>
    </row>
    <row r="3005" spans="1:11" s="520" customFormat="1" ht="15.75">
      <c r="A3005" s="157"/>
      <c r="B3005" s="519"/>
      <c r="J3005" s="524"/>
      <c r="K3005" s="525"/>
    </row>
    <row r="3006" spans="1:11" s="520" customFormat="1" ht="15.75">
      <c r="A3006" s="157"/>
      <c r="B3006" s="519"/>
      <c r="J3006" s="524"/>
      <c r="K3006" s="525"/>
    </row>
    <row r="3007" spans="1:11" s="520" customFormat="1" ht="15.75">
      <c r="A3007" s="157"/>
      <c r="B3007" s="519"/>
      <c r="J3007" s="524"/>
      <c r="K3007" s="525"/>
    </row>
    <row r="3008" spans="1:11" s="520" customFormat="1" ht="15.75">
      <c r="A3008" s="157"/>
      <c r="B3008" s="519"/>
      <c r="J3008" s="524"/>
      <c r="K3008" s="525"/>
    </row>
    <row r="3009" spans="1:11" s="520" customFormat="1" ht="15.75">
      <c r="A3009" s="157"/>
      <c r="B3009" s="519"/>
      <c r="J3009" s="524"/>
      <c r="K3009" s="525"/>
    </row>
    <row r="3010" spans="1:11" s="520" customFormat="1" ht="15.75">
      <c r="A3010" s="157"/>
      <c r="B3010" s="519"/>
      <c r="J3010" s="524"/>
      <c r="K3010" s="525"/>
    </row>
    <row r="3011" spans="1:11" s="520" customFormat="1" ht="15.75">
      <c r="A3011" s="157"/>
      <c r="B3011" s="519"/>
      <c r="J3011" s="524"/>
      <c r="K3011" s="525"/>
    </row>
    <row r="3012" spans="1:11" s="520" customFormat="1" ht="15.75">
      <c r="A3012" s="157"/>
      <c r="B3012" s="519"/>
      <c r="J3012" s="524"/>
      <c r="K3012" s="525"/>
    </row>
    <row r="3013" spans="1:11" s="520" customFormat="1" ht="15.75">
      <c r="A3013" s="157"/>
      <c r="B3013" s="519"/>
      <c r="J3013" s="524"/>
      <c r="K3013" s="525"/>
    </row>
    <row r="3014" spans="1:11" s="520" customFormat="1" ht="15.75">
      <c r="A3014" s="157"/>
      <c r="B3014" s="519"/>
      <c r="J3014" s="524"/>
      <c r="K3014" s="525"/>
    </row>
    <row r="3015" spans="1:11" s="520" customFormat="1" ht="15.75">
      <c r="A3015" s="157"/>
      <c r="B3015" s="519"/>
      <c r="J3015" s="524"/>
      <c r="K3015" s="525"/>
    </row>
    <row r="3016" spans="1:11" s="520" customFormat="1" ht="15.75">
      <c r="A3016" s="157"/>
      <c r="B3016" s="519"/>
      <c r="J3016" s="524"/>
      <c r="K3016" s="525"/>
    </row>
    <row r="3017" spans="1:11" s="520" customFormat="1" ht="15.75">
      <c r="A3017" s="157"/>
      <c r="B3017" s="519"/>
      <c r="J3017" s="524"/>
      <c r="K3017" s="525"/>
    </row>
    <row r="3018" spans="1:11" s="520" customFormat="1" ht="15.75">
      <c r="A3018" s="157"/>
      <c r="B3018" s="519"/>
      <c r="J3018" s="524"/>
      <c r="K3018" s="525"/>
    </row>
    <row r="3019" spans="1:11" s="520" customFormat="1" ht="15.75">
      <c r="A3019" s="157"/>
      <c r="B3019" s="519"/>
      <c r="J3019" s="524"/>
      <c r="K3019" s="525"/>
    </row>
    <row r="3020" spans="1:11" s="520" customFormat="1" ht="15.75">
      <c r="A3020" s="157"/>
      <c r="B3020" s="519"/>
      <c r="J3020" s="524"/>
      <c r="K3020" s="525"/>
    </row>
    <row r="3021" spans="1:11" s="520" customFormat="1" ht="15.75">
      <c r="A3021" s="157"/>
      <c r="B3021" s="519"/>
      <c r="J3021" s="524"/>
      <c r="K3021" s="525"/>
    </row>
    <row r="3022" spans="1:11" s="520" customFormat="1" ht="15.75">
      <c r="A3022" s="157"/>
      <c r="B3022" s="519"/>
      <c r="J3022" s="524"/>
      <c r="K3022" s="525"/>
    </row>
    <row r="3023" spans="1:11" s="520" customFormat="1" ht="15.75">
      <c r="A3023" s="157"/>
      <c r="B3023" s="519"/>
      <c r="J3023" s="524"/>
      <c r="K3023" s="525"/>
    </row>
    <row r="3024" spans="1:11" s="520" customFormat="1" ht="15.75">
      <c r="A3024" s="157"/>
      <c r="B3024" s="519"/>
      <c r="J3024" s="524"/>
      <c r="K3024" s="525"/>
    </row>
    <row r="3025" spans="1:11" s="520" customFormat="1" ht="15.75">
      <c r="A3025" s="157"/>
      <c r="B3025" s="519"/>
      <c r="J3025" s="524"/>
      <c r="K3025" s="525"/>
    </row>
    <row r="3026" spans="1:11" s="520" customFormat="1" ht="15.75">
      <c r="A3026" s="157"/>
      <c r="B3026" s="519"/>
      <c r="J3026" s="524"/>
      <c r="K3026" s="525"/>
    </row>
    <row r="3027" spans="1:11" s="520" customFormat="1" ht="15.75">
      <c r="A3027" s="157"/>
      <c r="B3027" s="519"/>
      <c r="J3027" s="524"/>
      <c r="K3027" s="525"/>
    </row>
    <row r="3028" spans="1:11" s="520" customFormat="1" ht="15.75">
      <c r="A3028" s="157"/>
      <c r="B3028" s="519"/>
      <c r="J3028" s="524"/>
      <c r="K3028" s="525"/>
    </row>
    <row r="3029" spans="1:11" s="520" customFormat="1" ht="15.75">
      <c r="A3029" s="157"/>
      <c r="B3029" s="519"/>
      <c r="J3029" s="524"/>
      <c r="K3029" s="525"/>
    </row>
    <row r="3030" spans="1:11" s="520" customFormat="1" ht="15.75">
      <c r="A3030" s="157"/>
      <c r="B3030" s="519"/>
      <c r="J3030" s="524"/>
      <c r="K3030" s="525"/>
    </row>
    <row r="3031" spans="1:11" s="520" customFormat="1" ht="15.75">
      <c r="A3031" s="157"/>
      <c r="B3031" s="519"/>
      <c r="J3031" s="524"/>
      <c r="K3031" s="525"/>
    </row>
    <row r="3032" spans="1:11" s="520" customFormat="1" ht="15.75">
      <c r="A3032" s="157"/>
      <c r="B3032" s="519"/>
      <c r="J3032" s="524"/>
      <c r="K3032" s="525"/>
    </row>
    <row r="3033" spans="1:11" s="520" customFormat="1" ht="15.75">
      <c r="A3033" s="157"/>
      <c r="B3033" s="519"/>
      <c r="J3033" s="524"/>
      <c r="K3033" s="525"/>
    </row>
    <row r="3034" spans="1:11" s="520" customFormat="1" ht="15.75">
      <c r="A3034" s="157"/>
      <c r="B3034" s="519"/>
      <c r="J3034" s="524"/>
      <c r="K3034" s="525"/>
    </row>
    <row r="3035" spans="1:11" s="520" customFormat="1" ht="15.75">
      <c r="A3035" s="157"/>
      <c r="B3035" s="519"/>
      <c r="J3035" s="524"/>
      <c r="K3035" s="525"/>
    </row>
    <row r="3036" spans="1:11" s="520" customFormat="1" ht="15.75">
      <c r="A3036" s="157"/>
      <c r="B3036" s="519"/>
      <c r="J3036" s="524"/>
      <c r="K3036" s="525"/>
    </row>
    <row r="3037" spans="1:11" s="520" customFormat="1" ht="15.75">
      <c r="A3037" s="157"/>
      <c r="B3037" s="519"/>
      <c r="J3037" s="524"/>
      <c r="K3037" s="525"/>
    </row>
    <row r="3038" spans="1:11" s="520" customFormat="1" ht="15.75">
      <c r="A3038" s="157"/>
      <c r="B3038" s="519"/>
      <c r="J3038" s="524"/>
      <c r="K3038" s="525"/>
    </row>
    <row r="3039" spans="1:11" s="520" customFormat="1" ht="15.75">
      <c r="A3039" s="157"/>
      <c r="B3039" s="519"/>
      <c r="J3039" s="524"/>
      <c r="K3039" s="525"/>
    </row>
    <row r="3040" spans="1:11" s="520" customFormat="1" ht="15.75">
      <c r="A3040" s="157"/>
      <c r="B3040" s="519"/>
      <c r="J3040" s="524"/>
      <c r="K3040" s="525"/>
    </row>
    <row r="3041" spans="1:11" s="520" customFormat="1" ht="15.75">
      <c r="A3041" s="157"/>
      <c r="B3041" s="519"/>
      <c r="J3041" s="524"/>
      <c r="K3041" s="525"/>
    </row>
    <row r="3042" spans="1:11" s="520" customFormat="1" ht="15.75">
      <c r="A3042" s="157"/>
      <c r="B3042" s="519"/>
      <c r="J3042" s="524"/>
      <c r="K3042" s="525"/>
    </row>
    <row r="3043" spans="1:11" s="520" customFormat="1" ht="15.75">
      <c r="A3043" s="157"/>
      <c r="B3043" s="519"/>
      <c r="J3043" s="524"/>
      <c r="K3043" s="525"/>
    </row>
    <row r="3044" spans="1:11" s="520" customFormat="1" ht="15.75">
      <c r="A3044" s="157"/>
      <c r="B3044" s="519"/>
      <c r="J3044" s="524"/>
      <c r="K3044" s="525"/>
    </row>
    <row r="3045" spans="1:11" s="520" customFormat="1" ht="15.75">
      <c r="A3045" s="157"/>
      <c r="B3045" s="519"/>
      <c r="J3045" s="524"/>
      <c r="K3045" s="525"/>
    </row>
    <row r="3046" spans="1:11" s="520" customFormat="1" ht="15.75">
      <c r="A3046" s="157"/>
      <c r="B3046" s="519"/>
      <c r="J3046" s="524"/>
      <c r="K3046" s="525"/>
    </row>
    <row r="3047" spans="1:11" s="520" customFormat="1" ht="15.75">
      <c r="A3047" s="157"/>
      <c r="B3047" s="519"/>
      <c r="J3047" s="524"/>
      <c r="K3047" s="525"/>
    </row>
    <row r="3048" spans="1:11" s="520" customFormat="1" ht="15.75">
      <c r="A3048" s="157"/>
      <c r="B3048" s="519"/>
      <c r="J3048" s="524"/>
      <c r="K3048" s="525"/>
    </row>
    <row r="3049" spans="1:11" s="520" customFormat="1" ht="15.75">
      <c r="A3049" s="157"/>
      <c r="B3049" s="519"/>
      <c r="J3049" s="524"/>
      <c r="K3049" s="525"/>
    </row>
    <row r="3050" spans="1:11" s="520" customFormat="1" ht="15.75">
      <c r="A3050" s="157"/>
      <c r="B3050" s="519"/>
      <c r="J3050" s="524"/>
      <c r="K3050" s="525"/>
    </row>
    <row r="3051" spans="1:11" s="520" customFormat="1" ht="15.75">
      <c r="A3051" s="157"/>
      <c r="B3051" s="519"/>
      <c r="J3051" s="524"/>
      <c r="K3051" s="525"/>
    </row>
    <row r="3052" spans="1:11" s="520" customFormat="1" ht="15.75">
      <c r="A3052" s="157"/>
      <c r="B3052" s="519"/>
      <c r="J3052" s="524"/>
      <c r="K3052" s="525"/>
    </row>
    <row r="3053" spans="1:11" s="520" customFormat="1" ht="15.75">
      <c r="A3053" s="157"/>
      <c r="B3053" s="519"/>
      <c r="J3053" s="524"/>
      <c r="K3053" s="525"/>
    </row>
    <row r="3054" spans="1:11" s="520" customFormat="1" ht="15.75">
      <c r="A3054" s="157"/>
      <c r="B3054" s="519"/>
      <c r="J3054" s="524"/>
      <c r="K3054" s="525"/>
    </row>
    <row r="3055" spans="1:11" s="520" customFormat="1" ht="15.75">
      <c r="A3055" s="157"/>
      <c r="B3055" s="519"/>
      <c r="J3055" s="524"/>
      <c r="K3055" s="525"/>
    </row>
    <row r="3056" spans="1:11" s="520" customFormat="1" ht="15.75">
      <c r="A3056" s="157"/>
      <c r="B3056" s="519"/>
      <c r="J3056" s="524"/>
      <c r="K3056" s="525"/>
    </row>
    <row r="3057" spans="1:11" s="520" customFormat="1" ht="15.75">
      <c r="A3057" s="157"/>
      <c r="B3057" s="519"/>
      <c r="J3057" s="524"/>
      <c r="K3057" s="525"/>
    </row>
    <row r="3058" spans="1:11" s="520" customFormat="1" ht="15.75">
      <c r="A3058" s="157"/>
      <c r="B3058" s="519"/>
      <c r="J3058" s="524"/>
      <c r="K3058" s="525"/>
    </row>
    <row r="3059" spans="1:11" s="520" customFormat="1" ht="15.75">
      <c r="A3059" s="157"/>
      <c r="B3059" s="519"/>
      <c r="J3059" s="524"/>
      <c r="K3059" s="525"/>
    </row>
    <row r="3060" spans="1:11" s="520" customFormat="1" ht="15.75">
      <c r="A3060" s="157"/>
      <c r="B3060" s="519"/>
      <c r="J3060" s="524"/>
      <c r="K3060" s="525"/>
    </row>
    <row r="3061" spans="1:11" s="520" customFormat="1" ht="15.75">
      <c r="A3061" s="157"/>
      <c r="B3061" s="519"/>
      <c r="J3061" s="524"/>
      <c r="K3061" s="525"/>
    </row>
    <row r="3062" spans="1:11" s="520" customFormat="1" ht="15.75">
      <c r="A3062" s="157"/>
      <c r="B3062" s="519"/>
      <c r="J3062" s="524"/>
      <c r="K3062" s="525"/>
    </row>
    <row r="3063" spans="1:11" s="520" customFormat="1" ht="15.75">
      <c r="A3063" s="157"/>
      <c r="B3063" s="519"/>
      <c r="J3063" s="524"/>
      <c r="K3063" s="525"/>
    </row>
    <row r="3064" spans="1:11" s="520" customFormat="1" ht="15.75">
      <c r="A3064" s="157"/>
      <c r="B3064" s="519"/>
      <c r="J3064" s="524"/>
      <c r="K3064" s="525"/>
    </row>
    <row r="3065" spans="1:11" s="520" customFormat="1" ht="15.75">
      <c r="A3065" s="157"/>
      <c r="B3065" s="519"/>
      <c r="J3065" s="524"/>
      <c r="K3065" s="525"/>
    </row>
    <row r="3066" spans="1:11" s="520" customFormat="1" ht="15.75">
      <c r="A3066" s="157"/>
      <c r="B3066" s="519"/>
      <c r="J3066" s="524"/>
      <c r="K3066" s="525"/>
    </row>
    <row r="3067" spans="1:11" s="520" customFormat="1" ht="15.75">
      <c r="A3067" s="157"/>
      <c r="B3067" s="519"/>
      <c r="J3067" s="524"/>
      <c r="K3067" s="525"/>
    </row>
    <row r="3068" spans="1:11" s="520" customFormat="1" ht="15.75">
      <c r="A3068" s="157"/>
      <c r="B3068" s="519"/>
      <c r="J3068" s="524"/>
      <c r="K3068" s="525"/>
    </row>
    <row r="3069" spans="1:11" s="520" customFormat="1" ht="15.75">
      <c r="A3069" s="157"/>
      <c r="B3069" s="519"/>
      <c r="J3069" s="524"/>
      <c r="K3069" s="525"/>
    </row>
    <row r="3070" spans="1:11" s="520" customFormat="1" ht="15.75">
      <c r="A3070" s="157"/>
      <c r="B3070" s="519"/>
      <c r="J3070" s="524"/>
      <c r="K3070" s="525"/>
    </row>
    <row r="3071" spans="1:11" s="520" customFormat="1" ht="15.75">
      <c r="A3071" s="157"/>
      <c r="B3071" s="519"/>
      <c r="J3071" s="524"/>
      <c r="K3071" s="525"/>
    </row>
    <row r="3072" spans="1:11" s="520" customFormat="1" ht="15.75">
      <c r="A3072" s="157"/>
      <c r="B3072" s="519"/>
      <c r="J3072" s="524"/>
      <c r="K3072" s="525"/>
    </row>
    <row r="3073" spans="1:11" s="520" customFormat="1" ht="15.75">
      <c r="A3073" s="157"/>
      <c r="B3073" s="519"/>
      <c r="J3073" s="524"/>
      <c r="K3073" s="525"/>
    </row>
    <row r="3074" spans="1:11" s="520" customFormat="1" ht="15.75">
      <c r="A3074" s="157"/>
      <c r="B3074" s="519"/>
      <c r="J3074" s="524"/>
      <c r="K3074" s="525"/>
    </row>
    <row r="3075" spans="1:11" s="520" customFormat="1" ht="15.75">
      <c r="A3075" s="157"/>
      <c r="B3075" s="519"/>
      <c r="J3075" s="524"/>
      <c r="K3075" s="525"/>
    </row>
    <row r="3076" spans="1:11" s="520" customFormat="1" ht="15.75">
      <c r="A3076" s="157"/>
      <c r="B3076" s="519"/>
      <c r="J3076" s="524"/>
      <c r="K3076" s="525"/>
    </row>
    <row r="3077" spans="1:11" s="520" customFormat="1" ht="15.75">
      <c r="A3077" s="157"/>
      <c r="B3077" s="519"/>
      <c r="J3077" s="524"/>
      <c r="K3077" s="525"/>
    </row>
    <row r="3078" spans="1:11" s="520" customFormat="1" ht="15.75">
      <c r="A3078" s="157"/>
      <c r="B3078" s="519"/>
      <c r="J3078" s="524"/>
      <c r="K3078" s="525"/>
    </row>
    <row r="3079" spans="1:11" s="520" customFormat="1" ht="15.75">
      <c r="A3079" s="157"/>
      <c r="B3079" s="519"/>
      <c r="J3079" s="524"/>
      <c r="K3079" s="525"/>
    </row>
    <row r="3080" spans="1:11" s="520" customFormat="1" ht="15.75">
      <c r="A3080" s="157"/>
      <c r="B3080" s="519"/>
      <c r="J3080" s="524"/>
      <c r="K3080" s="525"/>
    </row>
    <row r="3081" spans="1:11" s="520" customFormat="1" ht="15.75">
      <c r="A3081" s="157"/>
      <c r="B3081" s="519"/>
      <c r="J3081" s="524"/>
      <c r="K3081" s="525"/>
    </row>
    <row r="3082" spans="1:11" s="520" customFormat="1" ht="15.75">
      <c r="A3082" s="157"/>
      <c r="B3082" s="519"/>
      <c r="J3082" s="524"/>
      <c r="K3082" s="525"/>
    </row>
    <row r="3083" spans="1:11" s="520" customFormat="1" ht="15.75">
      <c r="A3083" s="157"/>
      <c r="B3083" s="519"/>
      <c r="J3083" s="524"/>
      <c r="K3083" s="525"/>
    </row>
    <row r="3084" spans="1:11" s="520" customFormat="1" ht="15.75">
      <c r="A3084" s="157"/>
      <c r="B3084" s="519"/>
      <c r="J3084" s="524"/>
      <c r="K3084" s="525"/>
    </row>
    <row r="3085" spans="1:11" s="520" customFormat="1" ht="15.75">
      <c r="A3085" s="157"/>
      <c r="B3085" s="519"/>
      <c r="J3085" s="524"/>
      <c r="K3085" s="525"/>
    </row>
    <row r="3086" spans="1:11" s="520" customFormat="1" ht="15.75">
      <c r="A3086" s="157"/>
      <c r="B3086" s="519"/>
      <c r="J3086" s="524"/>
      <c r="K3086" s="525"/>
    </row>
    <row r="3087" spans="1:11" s="520" customFormat="1" ht="15.75">
      <c r="A3087" s="157"/>
      <c r="B3087" s="519"/>
      <c r="J3087" s="524"/>
      <c r="K3087" s="525"/>
    </row>
    <row r="3088" spans="1:11" s="520" customFormat="1" ht="15.75">
      <c r="A3088" s="157"/>
      <c r="B3088" s="519"/>
      <c r="J3088" s="524"/>
      <c r="K3088" s="525"/>
    </row>
    <row r="3089" spans="1:11" s="520" customFormat="1" ht="15.75">
      <c r="A3089" s="157"/>
      <c r="B3089" s="519"/>
      <c r="J3089" s="524"/>
      <c r="K3089" s="525"/>
    </row>
    <row r="3090" spans="1:11" s="520" customFormat="1" ht="15.75">
      <c r="A3090" s="157"/>
      <c r="B3090" s="519"/>
      <c r="J3090" s="524"/>
      <c r="K3090" s="525"/>
    </row>
    <row r="3091" spans="1:11" s="520" customFormat="1" ht="15.75">
      <c r="A3091" s="157"/>
      <c r="B3091" s="519"/>
      <c r="J3091" s="524"/>
      <c r="K3091" s="525"/>
    </row>
    <row r="3092" spans="1:11" s="520" customFormat="1" ht="15.75">
      <c r="A3092" s="157"/>
      <c r="B3092" s="519"/>
      <c r="J3092" s="524"/>
      <c r="K3092" s="525"/>
    </row>
    <row r="3093" spans="1:11" s="520" customFormat="1" ht="15.75">
      <c r="A3093" s="157"/>
      <c r="B3093" s="519"/>
      <c r="J3093" s="524"/>
      <c r="K3093" s="525"/>
    </row>
    <row r="3094" spans="1:11" s="520" customFormat="1" ht="15.75">
      <c r="A3094" s="157"/>
      <c r="B3094" s="519"/>
      <c r="J3094" s="524"/>
      <c r="K3094" s="525"/>
    </row>
    <row r="3095" spans="1:11" s="520" customFormat="1" ht="15.75">
      <c r="A3095" s="157"/>
      <c r="B3095" s="519"/>
      <c r="J3095" s="524"/>
      <c r="K3095" s="525"/>
    </row>
    <row r="3096" spans="1:11" s="520" customFormat="1" ht="15.75">
      <c r="A3096" s="157"/>
      <c r="B3096" s="519"/>
      <c r="J3096" s="524"/>
      <c r="K3096" s="525"/>
    </row>
    <row r="3097" spans="1:11" s="520" customFormat="1" ht="15.75">
      <c r="A3097" s="157"/>
      <c r="B3097" s="519"/>
      <c r="J3097" s="524"/>
      <c r="K3097" s="525"/>
    </row>
    <row r="3098" spans="1:11" s="520" customFormat="1" ht="15.75">
      <c r="A3098" s="157"/>
      <c r="B3098" s="519"/>
      <c r="J3098" s="524"/>
      <c r="K3098" s="525"/>
    </row>
    <row r="3099" spans="1:11" s="520" customFormat="1" ht="15.75">
      <c r="A3099" s="157"/>
      <c r="B3099" s="519"/>
      <c r="J3099" s="524"/>
      <c r="K3099" s="525"/>
    </row>
    <row r="3100" spans="1:11" s="520" customFormat="1" ht="15.75">
      <c r="A3100" s="157"/>
      <c r="B3100" s="519"/>
      <c r="J3100" s="524"/>
      <c r="K3100" s="525"/>
    </row>
    <row r="3101" spans="1:11" s="520" customFormat="1" ht="15.75">
      <c r="A3101" s="157"/>
      <c r="B3101" s="519"/>
      <c r="J3101" s="524"/>
      <c r="K3101" s="525"/>
    </row>
    <row r="3102" spans="1:11" s="520" customFormat="1" ht="15.75">
      <c r="A3102" s="157"/>
      <c r="B3102" s="519"/>
      <c r="J3102" s="524"/>
      <c r="K3102" s="525"/>
    </row>
    <row r="3103" spans="1:11" s="520" customFormat="1" ht="15.75">
      <c r="A3103" s="157"/>
      <c r="B3103" s="519"/>
      <c r="J3103" s="524"/>
      <c r="K3103" s="525"/>
    </row>
    <row r="3104" spans="1:11" s="520" customFormat="1" ht="15.75">
      <c r="A3104" s="157"/>
      <c r="B3104" s="519"/>
      <c r="J3104" s="524"/>
      <c r="K3104" s="525"/>
    </row>
    <row r="3105" spans="1:11" s="520" customFormat="1" ht="15.75">
      <c r="A3105" s="157"/>
      <c r="B3105" s="519"/>
      <c r="J3105" s="524"/>
      <c r="K3105" s="525"/>
    </row>
    <row r="3106" spans="1:11" s="520" customFormat="1" ht="15.75">
      <c r="A3106" s="157"/>
      <c r="B3106" s="519"/>
      <c r="J3106" s="524"/>
      <c r="K3106" s="525"/>
    </row>
    <row r="3107" spans="1:11" s="520" customFormat="1" ht="15.75">
      <c r="A3107" s="157"/>
      <c r="B3107" s="519"/>
      <c r="J3107" s="524"/>
      <c r="K3107" s="525"/>
    </row>
    <row r="3108" spans="1:11" s="520" customFormat="1" ht="15.75">
      <c r="A3108" s="157"/>
      <c r="B3108" s="519"/>
      <c r="J3108" s="524"/>
      <c r="K3108" s="525"/>
    </row>
    <row r="3109" spans="1:11" s="520" customFormat="1" ht="15.75">
      <c r="A3109" s="157"/>
      <c r="B3109" s="519"/>
      <c r="J3109" s="524"/>
      <c r="K3109" s="525"/>
    </row>
    <row r="3110" spans="1:11" s="520" customFormat="1" ht="15.75">
      <c r="A3110" s="157"/>
      <c r="B3110" s="519"/>
      <c r="J3110" s="524"/>
      <c r="K3110" s="525"/>
    </row>
    <row r="3111" spans="1:11" s="520" customFormat="1" ht="15.75">
      <c r="A3111" s="157"/>
      <c r="B3111" s="519"/>
      <c r="J3111" s="524"/>
      <c r="K3111" s="525"/>
    </row>
    <row r="3112" spans="1:11" s="520" customFormat="1" ht="15.75">
      <c r="A3112" s="157"/>
      <c r="B3112" s="519"/>
      <c r="J3112" s="524"/>
      <c r="K3112" s="525"/>
    </row>
    <row r="3113" spans="1:11" s="520" customFormat="1" ht="15.75">
      <c r="A3113" s="157"/>
      <c r="B3113" s="519"/>
      <c r="J3113" s="524"/>
      <c r="K3113" s="525"/>
    </row>
    <row r="3114" spans="1:11" s="520" customFormat="1" ht="15.75">
      <c r="A3114" s="157"/>
      <c r="B3114" s="519"/>
      <c r="J3114" s="524"/>
      <c r="K3114" s="525"/>
    </row>
    <row r="3115" spans="1:11" s="520" customFormat="1" ht="15.75">
      <c r="A3115" s="157"/>
      <c r="B3115" s="519"/>
      <c r="J3115" s="524"/>
      <c r="K3115" s="525"/>
    </row>
    <row r="3116" spans="1:11" s="520" customFormat="1" ht="15.75">
      <c r="A3116" s="157"/>
      <c r="B3116" s="519"/>
      <c r="J3116" s="524"/>
      <c r="K3116" s="525"/>
    </row>
    <row r="3117" spans="1:11" s="520" customFormat="1" ht="15.75">
      <c r="A3117" s="157"/>
      <c r="B3117" s="519"/>
      <c r="J3117" s="524"/>
      <c r="K3117" s="525"/>
    </row>
    <row r="3118" spans="1:11" s="520" customFormat="1" ht="15.75">
      <c r="A3118" s="157"/>
      <c r="B3118" s="519"/>
      <c r="J3118" s="524"/>
      <c r="K3118" s="525"/>
    </row>
    <row r="3119" spans="1:11" s="520" customFormat="1" ht="15.75">
      <c r="A3119" s="157"/>
      <c r="B3119" s="519"/>
      <c r="J3119" s="524"/>
      <c r="K3119" s="525"/>
    </row>
    <row r="3120" spans="1:11" s="520" customFormat="1" ht="15.75">
      <c r="A3120" s="157"/>
      <c r="B3120" s="519"/>
      <c r="J3120" s="524"/>
      <c r="K3120" s="525"/>
    </row>
    <row r="3121" spans="1:11" s="520" customFormat="1" ht="15.75">
      <c r="A3121" s="157"/>
      <c r="B3121" s="519"/>
      <c r="J3121" s="524"/>
      <c r="K3121" s="525"/>
    </row>
    <row r="3122" spans="1:11" s="520" customFormat="1" ht="15.75">
      <c r="A3122" s="157"/>
      <c r="B3122" s="519"/>
      <c r="J3122" s="524"/>
      <c r="K3122" s="525"/>
    </row>
    <row r="3123" spans="1:11" s="520" customFormat="1" ht="15.75">
      <c r="A3123" s="157"/>
      <c r="B3123" s="519"/>
      <c r="J3123" s="524"/>
      <c r="K3123" s="525"/>
    </row>
    <row r="3124" spans="1:11" s="520" customFormat="1" ht="15.75">
      <c r="A3124" s="157"/>
      <c r="B3124" s="519"/>
      <c r="J3124" s="524"/>
      <c r="K3124" s="525"/>
    </row>
    <row r="3125" spans="1:11" s="520" customFormat="1" ht="15.75">
      <c r="A3125" s="157"/>
      <c r="B3125" s="519"/>
      <c r="J3125" s="524"/>
      <c r="K3125" s="525"/>
    </row>
    <row r="3126" spans="1:11" s="520" customFormat="1" ht="15.75">
      <c r="A3126" s="157"/>
      <c r="B3126" s="519"/>
      <c r="J3126" s="524"/>
      <c r="K3126" s="525"/>
    </row>
    <row r="3127" spans="1:11" s="520" customFormat="1" ht="15.75">
      <c r="A3127" s="157"/>
      <c r="B3127" s="519"/>
      <c r="J3127" s="524"/>
      <c r="K3127" s="525"/>
    </row>
    <row r="3128" spans="1:11" s="520" customFormat="1" ht="15.75">
      <c r="A3128" s="157"/>
      <c r="B3128" s="519"/>
      <c r="J3128" s="524"/>
      <c r="K3128" s="525"/>
    </row>
    <row r="3129" spans="1:11" s="520" customFormat="1" ht="15.75">
      <c r="A3129" s="157"/>
      <c r="B3129" s="519"/>
      <c r="J3129" s="524"/>
      <c r="K3129" s="525"/>
    </row>
    <row r="3130" spans="1:11" s="520" customFormat="1" ht="15.75">
      <c r="A3130" s="157"/>
      <c r="B3130" s="519"/>
      <c r="J3130" s="524"/>
      <c r="K3130" s="525"/>
    </row>
    <row r="3131" spans="1:11" s="520" customFormat="1" ht="15.75">
      <c r="A3131" s="157"/>
      <c r="B3131" s="519"/>
      <c r="J3131" s="524"/>
      <c r="K3131" s="525"/>
    </row>
    <row r="3132" spans="1:11" s="520" customFormat="1" ht="15.75">
      <c r="A3132" s="157"/>
      <c r="B3132" s="519"/>
      <c r="J3132" s="524"/>
      <c r="K3132" s="525"/>
    </row>
    <row r="3133" spans="1:11" s="520" customFormat="1" ht="15.75">
      <c r="A3133" s="157"/>
      <c r="B3133" s="519"/>
      <c r="J3133" s="524"/>
      <c r="K3133" s="525"/>
    </row>
    <row r="3134" spans="1:11" s="520" customFormat="1" ht="15.75">
      <c r="A3134" s="157"/>
      <c r="B3134" s="519"/>
      <c r="J3134" s="524"/>
      <c r="K3134" s="525"/>
    </row>
    <row r="3135" spans="1:11" s="520" customFormat="1" ht="15.75">
      <c r="A3135" s="157"/>
      <c r="B3135" s="519"/>
      <c r="J3135" s="524"/>
      <c r="K3135" s="525"/>
    </row>
    <row r="3136" spans="1:11" s="520" customFormat="1" ht="15.75">
      <c r="A3136" s="157"/>
      <c r="B3136" s="519"/>
      <c r="J3136" s="524"/>
      <c r="K3136" s="525"/>
    </row>
    <row r="3137" spans="1:11" s="520" customFormat="1" ht="15.75">
      <c r="A3137" s="157"/>
      <c r="B3137" s="519"/>
      <c r="J3137" s="524"/>
      <c r="K3137" s="525"/>
    </row>
    <row r="3138" spans="1:11" s="520" customFormat="1" ht="15.75">
      <c r="A3138" s="157"/>
      <c r="B3138" s="519"/>
      <c r="J3138" s="524"/>
      <c r="K3138" s="525"/>
    </row>
    <row r="3139" spans="1:11" s="520" customFormat="1" ht="15.75">
      <c r="A3139" s="157"/>
      <c r="B3139" s="519"/>
      <c r="J3139" s="524"/>
      <c r="K3139" s="525"/>
    </row>
    <row r="3140" spans="1:11" s="520" customFormat="1" ht="15.75">
      <c r="A3140" s="157"/>
      <c r="B3140" s="519"/>
      <c r="J3140" s="524"/>
      <c r="K3140" s="525"/>
    </row>
    <row r="3141" spans="1:11" s="520" customFormat="1" ht="15.75">
      <c r="A3141" s="157"/>
      <c r="B3141" s="519"/>
      <c r="J3141" s="524"/>
      <c r="K3141" s="525"/>
    </row>
    <row r="3142" spans="1:11" s="520" customFormat="1" ht="15.75">
      <c r="A3142" s="157"/>
      <c r="B3142" s="519"/>
      <c r="J3142" s="524"/>
      <c r="K3142" s="525"/>
    </row>
    <row r="3143" spans="1:11" s="520" customFormat="1" ht="15.75">
      <c r="A3143" s="157"/>
      <c r="B3143" s="519"/>
      <c r="J3143" s="524"/>
      <c r="K3143" s="525"/>
    </row>
    <row r="3144" spans="1:11" s="520" customFormat="1" ht="15.75">
      <c r="A3144" s="157"/>
      <c r="B3144" s="519"/>
      <c r="J3144" s="524"/>
      <c r="K3144" s="525"/>
    </row>
    <row r="3145" spans="1:11" s="520" customFormat="1" ht="15.75">
      <c r="A3145" s="157"/>
      <c r="B3145" s="519"/>
      <c r="J3145" s="524"/>
      <c r="K3145" s="525"/>
    </row>
    <row r="3146" spans="1:11" s="520" customFormat="1" ht="15.75">
      <c r="A3146" s="157"/>
      <c r="B3146" s="519"/>
      <c r="J3146" s="524"/>
      <c r="K3146" s="525"/>
    </row>
    <row r="3147" spans="1:11" s="520" customFormat="1" ht="15.75">
      <c r="A3147" s="157"/>
      <c r="B3147" s="519"/>
      <c r="J3147" s="524"/>
      <c r="K3147" s="525"/>
    </row>
    <row r="3148" spans="1:11" s="520" customFormat="1" ht="15.75">
      <c r="A3148" s="157"/>
      <c r="B3148" s="519"/>
      <c r="J3148" s="524"/>
      <c r="K3148" s="525"/>
    </row>
    <row r="3149" spans="1:11" s="520" customFormat="1" ht="15.75">
      <c r="A3149" s="157"/>
      <c r="B3149" s="519"/>
      <c r="J3149" s="524"/>
      <c r="K3149" s="525"/>
    </row>
    <row r="3150" spans="1:11" s="520" customFormat="1" ht="15.75">
      <c r="A3150" s="157"/>
      <c r="B3150" s="519"/>
      <c r="J3150" s="524"/>
      <c r="K3150" s="525"/>
    </row>
    <row r="3151" spans="1:11" s="520" customFormat="1" ht="15.75">
      <c r="A3151" s="157"/>
      <c r="B3151" s="519"/>
      <c r="J3151" s="524"/>
      <c r="K3151" s="525"/>
    </row>
    <row r="3152" spans="1:11" s="520" customFormat="1" ht="15.75">
      <c r="A3152" s="157"/>
      <c r="B3152" s="519"/>
      <c r="J3152" s="524"/>
      <c r="K3152" s="525"/>
    </row>
    <row r="3153" spans="1:11" s="520" customFormat="1" ht="15.75">
      <c r="A3153" s="157"/>
      <c r="B3153" s="519"/>
      <c r="J3153" s="524"/>
      <c r="K3153" s="525"/>
    </row>
    <row r="3154" spans="1:11" s="520" customFormat="1" ht="15.75">
      <c r="A3154" s="157"/>
      <c r="B3154" s="519"/>
      <c r="J3154" s="524"/>
      <c r="K3154" s="525"/>
    </row>
    <row r="3155" spans="1:11" s="520" customFormat="1" ht="15.75">
      <c r="A3155" s="157"/>
      <c r="B3155" s="519"/>
      <c r="J3155" s="524"/>
      <c r="K3155" s="525"/>
    </row>
    <row r="3156" spans="1:11" s="520" customFormat="1" ht="15.75">
      <c r="A3156" s="157"/>
      <c r="B3156" s="519"/>
      <c r="J3156" s="524"/>
      <c r="K3156" s="525"/>
    </row>
    <row r="3157" spans="1:11" s="520" customFormat="1" ht="15.75">
      <c r="A3157" s="157"/>
      <c r="B3157" s="519"/>
      <c r="J3157" s="524"/>
      <c r="K3157" s="525"/>
    </row>
    <row r="3158" spans="1:11" s="520" customFormat="1" ht="15.75">
      <c r="A3158" s="157"/>
      <c r="B3158" s="519"/>
      <c r="J3158" s="524"/>
      <c r="K3158" s="525"/>
    </row>
    <row r="3159" spans="1:11" s="520" customFormat="1" ht="15.75">
      <c r="A3159" s="157"/>
      <c r="B3159" s="519"/>
      <c r="J3159" s="524"/>
      <c r="K3159" s="525"/>
    </row>
    <row r="3160" spans="1:11" s="520" customFormat="1" ht="15.75">
      <c r="A3160" s="157"/>
      <c r="B3160" s="519"/>
      <c r="J3160" s="524"/>
      <c r="K3160" s="525"/>
    </row>
    <row r="3161" spans="1:11" s="520" customFormat="1" ht="15.75">
      <c r="A3161" s="157"/>
      <c r="B3161" s="519"/>
      <c r="J3161" s="524"/>
      <c r="K3161" s="525"/>
    </row>
    <row r="3162" spans="1:11" s="520" customFormat="1" ht="15.75">
      <c r="A3162" s="157"/>
      <c r="B3162" s="519"/>
      <c r="J3162" s="524"/>
      <c r="K3162" s="525"/>
    </row>
    <row r="3163" spans="1:11" s="520" customFormat="1" ht="15.75">
      <c r="A3163" s="157"/>
      <c r="B3163" s="519"/>
      <c r="J3163" s="524"/>
      <c r="K3163" s="525"/>
    </row>
    <row r="3164" spans="1:11" s="520" customFormat="1" ht="15.75">
      <c r="A3164" s="157"/>
      <c r="B3164" s="519"/>
      <c r="J3164" s="524"/>
      <c r="K3164" s="525"/>
    </row>
    <row r="3165" spans="1:11" s="520" customFormat="1" ht="15.75">
      <c r="A3165" s="157"/>
      <c r="B3165" s="519"/>
      <c r="J3165" s="524"/>
      <c r="K3165" s="525"/>
    </row>
    <row r="3166" spans="1:11" s="520" customFormat="1" ht="15.75">
      <c r="A3166" s="157"/>
      <c r="B3166" s="519"/>
      <c r="J3166" s="524"/>
      <c r="K3166" s="525"/>
    </row>
    <row r="3167" spans="1:11" s="520" customFormat="1" ht="15.75">
      <c r="A3167" s="157"/>
      <c r="B3167" s="519"/>
      <c r="J3167" s="524"/>
      <c r="K3167" s="525"/>
    </row>
    <row r="3168" spans="1:11" s="520" customFormat="1" ht="15.75">
      <c r="A3168" s="157"/>
      <c r="B3168" s="519"/>
      <c r="J3168" s="524"/>
      <c r="K3168" s="525"/>
    </row>
    <row r="3169" spans="1:11" s="520" customFormat="1" ht="15.75">
      <c r="A3169" s="157"/>
      <c r="B3169" s="519"/>
      <c r="J3169" s="524"/>
      <c r="K3169" s="525"/>
    </row>
    <row r="3170" spans="1:11" s="520" customFormat="1" ht="15.75">
      <c r="A3170" s="157"/>
      <c r="B3170" s="519"/>
      <c r="J3170" s="524"/>
      <c r="K3170" s="525"/>
    </row>
    <row r="3171" spans="1:11" s="520" customFormat="1" ht="15.75">
      <c r="A3171" s="157"/>
      <c r="B3171" s="519"/>
      <c r="J3171" s="524"/>
      <c r="K3171" s="525"/>
    </row>
    <row r="3172" spans="1:11" s="520" customFormat="1" ht="15.75">
      <c r="A3172" s="157"/>
      <c r="B3172" s="519"/>
      <c r="J3172" s="524"/>
      <c r="K3172" s="525"/>
    </row>
    <row r="3173" spans="1:11" s="520" customFormat="1" ht="15.75">
      <c r="A3173" s="157"/>
      <c r="B3173" s="519"/>
      <c r="J3173" s="524"/>
      <c r="K3173" s="525"/>
    </row>
    <row r="3174" spans="1:11" s="520" customFormat="1" ht="15.75">
      <c r="A3174" s="157"/>
      <c r="B3174" s="519"/>
      <c r="J3174" s="524"/>
      <c r="K3174" s="525"/>
    </row>
    <row r="3175" spans="1:11" s="520" customFormat="1" ht="15.75">
      <c r="A3175" s="157"/>
      <c r="B3175" s="519"/>
      <c r="J3175" s="524"/>
      <c r="K3175" s="525"/>
    </row>
    <row r="3176" spans="1:11" s="520" customFormat="1" ht="15.75">
      <c r="A3176" s="157"/>
      <c r="B3176" s="519"/>
      <c r="J3176" s="524"/>
      <c r="K3176" s="525"/>
    </row>
    <row r="3177" spans="1:11" s="520" customFormat="1" ht="15.75">
      <c r="A3177" s="157"/>
      <c r="B3177" s="519"/>
      <c r="J3177" s="524"/>
      <c r="K3177" s="525"/>
    </row>
    <row r="3178" spans="1:11" s="520" customFormat="1" ht="15.75">
      <c r="A3178" s="157"/>
      <c r="B3178" s="519"/>
      <c r="J3178" s="524"/>
      <c r="K3178" s="525"/>
    </row>
    <row r="3179" spans="1:11" s="520" customFormat="1" ht="15.75">
      <c r="A3179" s="157"/>
      <c r="B3179" s="519"/>
      <c r="J3179" s="524"/>
      <c r="K3179" s="525"/>
    </row>
    <row r="3180" spans="1:11" s="520" customFormat="1" ht="15.75">
      <c r="A3180" s="157"/>
      <c r="B3180" s="519"/>
      <c r="J3180" s="524"/>
      <c r="K3180" s="525"/>
    </row>
    <row r="3181" spans="1:11" s="520" customFormat="1" ht="15.75">
      <c r="A3181" s="157"/>
      <c r="B3181" s="519"/>
      <c r="J3181" s="524"/>
      <c r="K3181" s="525"/>
    </row>
    <row r="3182" spans="1:11" s="520" customFormat="1" ht="15.75">
      <c r="A3182" s="157"/>
      <c r="B3182" s="519"/>
      <c r="J3182" s="524"/>
      <c r="K3182" s="525"/>
    </row>
    <row r="3183" spans="1:11" s="520" customFormat="1" ht="15.75">
      <c r="A3183" s="157"/>
      <c r="B3183" s="519"/>
      <c r="J3183" s="524"/>
      <c r="K3183" s="525"/>
    </row>
    <row r="3184" spans="1:11" s="520" customFormat="1" ht="15.75">
      <c r="A3184" s="157"/>
      <c r="B3184" s="519"/>
      <c r="J3184" s="524"/>
      <c r="K3184" s="525"/>
    </row>
    <row r="3185" spans="1:11" s="520" customFormat="1" ht="15.75">
      <c r="A3185" s="157"/>
      <c r="B3185" s="519"/>
      <c r="J3185" s="524"/>
      <c r="K3185" s="525"/>
    </row>
    <row r="3186" spans="1:11" s="520" customFormat="1" ht="15.75">
      <c r="A3186" s="157"/>
      <c r="B3186" s="519"/>
      <c r="J3186" s="524"/>
      <c r="K3186" s="525"/>
    </row>
    <row r="3187" spans="1:11" s="520" customFormat="1" ht="15.75">
      <c r="A3187" s="157"/>
      <c r="B3187" s="519"/>
      <c r="J3187" s="524"/>
      <c r="K3187" s="525"/>
    </row>
    <row r="3188" spans="1:11" s="520" customFormat="1" ht="15.75">
      <c r="A3188" s="157"/>
      <c r="B3188" s="519"/>
      <c r="J3188" s="524"/>
      <c r="K3188" s="525"/>
    </row>
    <row r="3189" spans="1:11" s="520" customFormat="1" ht="15.75">
      <c r="A3189" s="157"/>
      <c r="B3189" s="519"/>
      <c r="J3189" s="524"/>
      <c r="K3189" s="525"/>
    </row>
    <row r="3190" spans="1:11" s="520" customFormat="1" ht="15.75">
      <c r="A3190" s="157"/>
      <c r="B3190" s="519"/>
      <c r="J3190" s="524"/>
      <c r="K3190" s="525"/>
    </row>
    <row r="3191" spans="1:11" s="520" customFormat="1" ht="15.75">
      <c r="A3191" s="157"/>
      <c r="B3191" s="519"/>
      <c r="J3191" s="524"/>
      <c r="K3191" s="525"/>
    </row>
    <row r="3192" spans="1:11" s="520" customFormat="1" ht="15.75">
      <c r="A3192" s="157"/>
      <c r="B3192" s="519"/>
      <c r="J3192" s="524"/>
      <c r="K3192" s="525"/>
    </row>
    <row r="3193" spans="1:11" s="520" customFormat="1" ht="15.75">
      <c r="A3193" s="157"/>
      <c r="B3193" s="519"/>
      <c r="J3193" s="524"/>
      <c r="K3193" s="525"/>
    </row>
    <row r="3194" spans="1:11" s="520" customFormat="1" ht="15.75">
      <c r="A3194" s="157"/>
      <c r="B3194" s="519"/>
      <c r="J3194" s="524"/>
      <c r="K3194" s="525"/>
    </row>
    <row r="3195" spans="1:11" s="520" customFormat="1" ht="15.75">
      <c r="A3195" s="157"/>
      <c r="B3195" s="519"/>
      <c r="J3195" s="524"/>
      <c r="K3195" s="525"/>
    </row>
    <row r="3196" spans="1:11" s="520" customFormat="1" ht="15.75">
      <c r="A3196" s="157"/>
      <c r="B3196" s="519"/>
      <c r="J3196" s="524"/>
      <c r="K3196" s="525"/>
    </row>
    <row r="3197" spans="1:11" s="520" customFormat="1" ht="15.75">
      <c r="A3197" s="157"/>
      <c r="B3197" s="519"/>
      <c r="J3197" s="524"/>
      <c r="K3197" s="525"/>
    </row>
    <row r="3198" spans="1:11" s="520" customFormat="1" ht="15.75">
      <c r="A3198" s="157"/>
      <c r="B3198" s="519"/>
      <c r="J3198" s="524"/>
      <c r="K3198" s="525"/>
    </row>
    <row r="3199" spans="1:11" s="520" customFormat="1" ht="15.75">
      <c r="A3199" s="157"/>
      <c r="B3199" s="519"/>
      <c r="J3199" s="524"/>
      <c r="K3199" s="525"/>
    </row>
    <row r="3200" spans="1:11" s="520" customFormat="1" ht="15.75">
      <c r="A3200" s="157"/>
      <c r="B3200" s="519"/>
      <c r="J3200" s="524"/>
      <c r="K3200" s="525"/>
    </row>
    <row r="3201" spans="1:11" s="520" customFormat="1" ht="15.75">
      <c r="A3201" s="157"/>
      <c r="B3201" s="519"/>
      <c r="J3201" s="524"/>
      <c r="K3201" s="525"/>
    </row>
    <row r="3202" spans="1:11" s="520" customFormat="1" ht="15.75">
      <c r="A3202" s="157"/>
      <c r="B3202" s="519"/>
      <c r="J3202" s="524"/>
      <c r="K3202" s="525"/>
    </row>
    <row r="3203" spans="1:11" s="520" customFormat="1" ht="15.75">
      <c r="A3203" s="157"/>
      <c r="B3203" s="519"/>
      <c r="J3203" s="524"/>
      <c r="K3203" s="525"/>
    </row>
    <row r="3204" spans="1:11" s="520" customFormat="1" ht="15.75">
      <c r="A3204" s="157"/>
      <c r="B3204" s="519"/>
      <c r="J3204" s="524"/>
      <c r="K3204" s="525"/>
    </row>
    <row r="3205" spans="1:11" s="520" customFormat="1" ht="15.75">
      <c r="A3205" s="157"/>
      <c r="B3205" s="519"/>
      <c r="J3205" s="524"/>
      <c r="K3205" s="525"/>
    </row>
    <row r="3206" spans="1:11" s="520" customFormat="1" ht="15.75">
      <c r="A3206" s="157"/>
      <c r="B3206" s="519"/>
      <c r="J3206" s="524"/>
      <c r="K3206" s="525"/>
    </row>
    <row r="3207" spans="1:11" s="520" customFormat="1" ht="15.75">
      <c r="A3207" s="157"/>
      <c r="B3207" s="519"/>
      <c r="J3207" s="524"/>
      <c r="K3207" s="525"/>
    </row>
    <row r="3208" spans="1:11" s="520" customFormat="1" ht="15.75">
      <c r="A3208" s="157"/>
      <c r="B3208" s="519"/>
      <c r="J3208" s="524"/>
      <c r="K3208" s="525"/>
    </row>
    <row r="3209" spans="1:11" s="520" customFormat="1" ht="15.75">
      <c r="A3209" s="157"/>
      <c r="B3209" s="519"/>
      <c r="J3209" s="524"/>
      <c r="K3209" s="525"/>
    </row>
    <row r="3210" spans="1:11" s="520" customFormat="1" ht="15.75">
      <c r="A3210" s="157"/>
      <c r="B3210" s="519"/>
      <c r="J3210" s="524"/>
      <c r="K3210" s="525"/>
    </row>
    <row r="3211" spans="1:11" s="520" customFormat="1" ht="15.75">
      <c r="A3211" s="157"/>
      <c r="B3211" s="519"/>
      <c r="J3211" s="524"/>
      <c r="K3211" s="525"/>
    </row>
    <row r="3212" spans="1:11" s="520" customFormat="1" ht="15.75">
      <c r="A3212" s="157"/>
      <c r="B3212" s="519"/>
      <c r="J3212" s="524"/>
      <c r="K3212" s="525"/>
    </row>
    <row r="3213" spans="1:11" s="520" customFormat="1" ht="15.75">
      <c r="A3213" s="157"/>
      <c r="B3213" s="519"/>
      <c r="J3213" s="524"/>
      <c r="K3213" s="525"/>
    </row>
    <row r="3214" spans="1:11" s="520" customFormat="1" ht="15.75">
      <c r="A3214" s="157"/>
      <c r="B3214" s="519"/>
      <c r="J3214" s="524"/>
      <c r="K3214" s="525"/>
    </row>
    <row r="3215" spans="1:11" s="520" customFormat="1" ht="15.75">
      <c r="A3215" s="157"/>
      <c r="B3215" s="519"/>
      <c r="J3215" s="524"/>
      <c r="K3215" s="525"/>
    </row>
    <row r="3216" spans="1:11" s="520" customFormat="1" ht="15.75">
      <c r="A3216" s="157"/>
      <c r="B3216" s="519"/>
      <c r="J3216" s="524"/>
      <c r="K3216" s="525"/>
    </row>
    <row r="3217" spans="1:11" s="520" customFormat="1" ht="15.75">
      <c r="A3217" s="157"/>
      <c r="B3217" s="519"/>
      <c r="J3217" s="524"/>
      <c r="K3217" s="525"/>
    </row>
    <row r="3218" spans="1:11" s="520" customFormat="1" ht="15.75">
      <c r="A3218" s="157"/>
      <c r="B3218" s="519"/>
      <c r="J3218" s="524"/>
      <c r="K3218" s="525"/>
    </row>
    <row r="3219" spans="1:11" s="520" customFormat="1" ht="15.75">
      <c r="A3219" s="157"/>
      <c r="B3219" s="519"/>
      <c r="J3219" s="524"/>
      <c r="K3219" s="525"/>
    </row>
    <row r="3220" spans="1:11" s="520" customFormat="1" ht="15.75">
      <c r="A3220" s="157"/>
      <c r="B3220" s="519"/>
      <c r="J3220" s="524"/>
      <c r="K3220" s="525"/>
    </row>
    <row r="3221" spans="1:11" s="520" customFormat="1" ht="15.75">
      <c r="A3221" s="157"/>
      <c r="B3221" s="519"/>
      <c r="J3221" s="524"/>
      <c r="K3221" s="525"/>
    </row>
    <row r="3222" spans="1:11" s="520" customFormat="1" ht="15.75">
      <c r="A3222" s="157"/>
      <c r="B3222" s="519"/>
      <c r="J3222" s="524"/>
      <c r="K3222" s="525"/>
    </row>
    <row r="3223" spans="1:11" s="520" customFormat="1" ht="15.75">
      <c r="A3223" s="157"/>
      <c r="B3223" s="519"/>
      <c r="J3223" s="524"/>
      <c r="K3223" s="525"/>
    </row>
    <row r="3224" spans="1:11" s="520" customFormat="1" ht="15.75">
      <c r="A3224" s="157"/>
      <c r="B3224" s="519"/>
      <c r="J3224" s="524"/>
      <c r="K3224" s="525"/>
    </row>
    <row r="3225" spans="1:11" s="520" customFormat="1" ht="15.75">
      <c r="A3225" s="157"/>
      <c r="B3225" s="519"/>
      <c r="J3225" s="524"/>
      <c r="K3225" s="525"/>
    </row>
    <row r="3226" spans="1:11" s="520" customFormat="1" ht="15.75">
      <c r="A3226" s="157"/>
      <c r="B3226" s="519"/>
      <c r="J3226" s="524"/>
      <c r="K3226" s="525"/>
    </row>
    <row r="3227" spans="1:11" s="520" customFormat="1" ht="15.75">
      <c r="A3227" s="157"/>
      <c r="B3227" s="519"/>
      <c r="J3227" s="524"/>
      <c r="K3227" s="525"/>
    </row>
    <row r="3228" spans="1:11" s="520" customFormat="1" ht="15.75">
      <c r="A3228" s="157"/>
      <c r="B3228" s="519"/>
      <c r="J3228" s="524"/>
      <c r="K3228" s="525"/>
    </row>
    <row r="3229" spans="1:11" s="520" customFormat="1" ht="15.75">
      <c r="A3229" s="157"/>
      <c r="B3229" s="519"/>
      <c r="J3229" s="524"/>
      <c r="K3229" s="525"/>
    </row>
    <row r="3230" spans="1:11" s="520" customFormat="1" ht="15.75">
      <c r="A3230" s="157"/>
      <c r="B3230" s="519"/>
      <c r="J3230" s="524"/>
      <c r="K3230" s="525"/>
    </row>
    <row r="3231" spans="1:11" s="520" customFormat="1" ht="15.75">
      <c r="A3231" s="157"/>
      <c r="B3231" s="519"/>
      <c r="J3231" s="524"/>
      <c r="K3231" s="525"/>
    </row>
    <row r="3232" spans="1:11" s="520" customFormat="1" ht="15.75">
      <c r="A3232" s="157"/>
      <c r="B3232" s="519"/>
      <c r="J3232" s="524"/>
      <c r="K3232" s="525"/>
    </row>
    <row r="3233" spans="1:11" s="520" customFormat="1" ht="15.75">
      <c r="A3233" s="157"/>
      <c r="B3233" s="519"/>
      <c r="J3233" s="524"/>
      <c r="K3233" s="525"/>
    </row>
    <row r="3234" spans="1:11" s="520" customFormat="1" ht="15.75">
      <c r="A3234" s="157"/>
      <c r="B3234" s="519"/>
      <c r="J3234" s="524"/>
      <c r="K3234" s="525"/>
    </row>
    <row r="3235" spans="1:11" s="520" customFormat="1" ht="15.75">
      <c r="A3235" s="157"/>
      <c r="B3235" s="519"/>
      <c r="J3235" s="524"/>
      <c r="K3235" s="525"/>
    </row>
    <row r="3236" spans="1:11" s="520" customFormat="1" ht="15.75">
      <c r="A3236" s="157"/>
      <c r="B3236" s="519"/>
      <c r="J3236" s="524"/>
      <c r="K3236" s="525"/>
    </row>
    <row r="3237" spans="1:11" s="520" customFormat="1" ht="15.75">
      <c r="A3237" s="157"/>
      <c r="B3237" s="519"/>
      <c r="J3237" s="524"/>
      <c r="K3237" s="525"/>
    </row>
    <row r="3238" spans="1:11" s="520" customFormat="1" ht="15.75">
      <c r="A3238" s="157"/>
      <c r="B3238" s="519"/>
      <c r="J3238" s="524"/>
      <c r="K3238" s="525"/>
    </row>
    <row r="3239" spans="1:11" s="520" customFormat="1" ht="15.75">
      <c r="A3239" s="157"/>
      <c r="B3239" s="519"/>
      <c r="J3239" s="524"/>
      <c r="K3239" s="525"/>
    </row>
    <row r="3240" spans="1:11" s="520" customFormat="1" ht="15.75">
      <c r="A3240" s="157"/>
      <c r="B3240" s="519"/>
      <c r="J3240" s="524"/>
      <c r="K3240" s="525"/>
    </row>
    <row r="3241" spans="1:11" s="520" customFormat="1" ht="15.75">
      <c r="A3241" s="157"/>
      <c r="B3241" s="519"/>
      <c r="J3241" s="524"/>
      <c r="K3241" s="525"/>
    </row>
    <row r="3242" spans="1:11" s="520" customFormat="1" ht="15.75">
      <c r="A3242" s="157"/>
      <c r="B3242" s="519"/>
      <c r="J3242" s="524"/>
      <c r="K3242" s="525"/>
    </row>
    <row r="3243" spans="1:11" s="520" customFormat="1" ht="15.75">
      <c r="A3243" s="157"/>
      <c r="B3243" s="519"/>
      <c r="J3243" s="524"/>
      <c r="K3243" s="525"/>
    </row>
    <row r="3244" spans="1:11" s="520" customFormat="1" ht="15.75">
      <c r="A3244" s="157"/>
      <c r="B3244" s="519"/>
      <c r="J3244" s="524"/>
      <c r="K3244" s="525"/>
    </row>
    <row r="3245" spans="1:11" s="520" customFormat="1" ht="15.75">
      <c r="A3245" s="157"/>
      <c r="B3245" s="519"/>
      <c r="J3245" s="524"/>
      <c r="K3245" s="525"/>
    </row>
    <row r="3246" spans="1:11" s="520" customFormat="1" ht="15.75">
      <c r="A3246" s="157"/>
      <c r="B3246" s="519"/>
      <c r="J3246" s="524"/>
      <c r="K3246" s="525"/>
    </row>
    <row r="3247" spans="1:11" s="520" customFormat="1" ht="15.75">
      <c r="A3247" s="157"/>
      <c r="B3247" s="519"/>
      <c r="J3247" s="524"/>
      <c r="K3247" s="525"/>
    </row>
    <row r="3248" spans="1:11" s="520" customFormat="1" ht="15.75">
      <c r="A3248" s="157"/>
      <c r="B3248" s="519"/>
      <c r="J3248" s="524"/>
      <c r="K3248" s="525"/>
    </row>
    <row r="3249" spans="1:11" s="520" customFormat="1" ht="15.75">
      <c r="A3249" s="157"/>
      <c r="B3249" s="519"/>
      <c r="J3249" s="524"/>
      <c r="K3249" s="525"/>
    </row>
    <row r="3250" spans="1:11" s="520" customFormat="1" ht="15.75">
      <c r="A3250" s="157"/>
      <c r="B3250" s="519"/>
      <c r="J3250" s="524"/>
      <c r="K3250" s="525"/>
    </row>
    <row r="3251" spans="1:11" s="520" customFormat="1" ht="15.75">
      <c r="A3251" s="157"/>
      <c r="B3251" s="519"/>
      <c r="J3251" s="524"/>
      <c r="K3251" s="525"/>
    </row>
    <row r="3252" spans="1:11" s="520" customFormat="1" ht="15.75">
      <c r="A3252" s="157"/>
      <c r="B3252" s="519"/>
      <c r="J3252" s="524"/>
      <c r="K3252" s="525"/>
    </row>
    <row r="3253" spans="1:11" s="520" customFormat="1" ht="15.75">
      <c r="A3253" s="157"/>
      <c r="B3253" s="519"/>
      <c r="J3253" s="524"/>
      <c r="K3253" s="525"/>
    </row>
    <row r="3254" spans="1:11" s="520" customFormat="1" ht="15.75">
      <c r="A3254" s="157"/>
      <c r="B3254" s="519"/>
      <c r="J3254" s="524"/>
      <c r="K3254" s="525"/>
    </row>
    <row r="3255" spans="1:11" s="520" customFormat="1" ht="15.75">
      <c r="A3255" s="157"/>
      <c r="B3255" s="519"/>
      <c r="J3255" s="524"/>
      <c r="K3255" s="525"/>
    </row>
    <row r="3256" spans="1:11" s="520" customFormat="1" ht="15.75">
      <c r="A3256" s="157"/>
      <c r="B3256" s="519"/>
      <c r="J3256" s="524"/>
      <c r="K3256" s="525"/>
    </row>
    <row r="3257" spans="1:11" s="520" customFormat="1" ht="15.75">
      <c r="A3257" s="157"/>
      <c r="B3257" s="519"/>
      <c r="J3257" s="524"/>
      <c r="K3257" s="525"/>
    </row>
    <row r="3258" spans="1:11" s="520" customFormat="1" ht="15.75">
      <c r="A3258" s="157"/>
      <c r="B3258" s="519"/>
      <c r="J3258" s="524"/>
      <c r="K3258" s="525"/>
    </row>
    <row r="3259" spans="1:11" s="520" customFormat="1" ht="15.75">
      <c r="A3259" s="157"/>
      <c r="B3259" s="519"/>
      <c r="J3259" s="524"/>
      <c r="K3259" s="525"/>
    </row>
    <row r="3260" spans="1:11" s="520" customFormat="1" ht="15.75">
      <c r="A3260" s="157"/>
      <c r="B3260" s="519"/>
      <c r="J3260" s="524"/>
      <c r="K3260" s="525"/>
    </row>
    <row r="3261" spans="1:11" s="520" customFormat="1" ht="15.75">
      <c r="A3261" s="157"/>
      <c r="B3261" s="519"/>
      <c r="J3261" s="524"/>
      <c r="K3261" s="525"/>
    </row>
    <row r="3262" spans="1:11" s="520" customFormat="1" ht="15.75">
      <c r="A3262" s="157"/>
      <c r="B3262" s="519"/>
      <c r="J3262" s="524"/>
      <c r="K3262" s="525"/>
    </row>
    <row r="3263" spans="1:11" s="520" customFormat="1" ht="15.75">
      <c r="A3263" s="157"/>
      <c r="B3263" s="519"/>
      <c r="J3263" s="524"/>
      <c r="K3263" s="525"/>
    </row>
    <row r="3264" spans="1:11" s="520" customFormat="1" ht="15.75">
      <c r="A3264" s="157"/>
      <c r="B3264" s="519"/>
      <c r="J3264" s="524"/>
      <c r="K3264" s="525"/>
    </row>
    <row r="3265" spans="1:11" s="520" customFormat="1" ht="15.75">
      <c r="A3265" s="157"/>
      <c r="B3265" s="519"/>
      <c r="J3265" s="524"/>
      <c r="K3265" s="525"/>
    </row>
    <row r="3266" spans="1:11" s="520" customFormat="1" ht="15.75">
      <c r="A3266" s="157"/>
      <c r="B3266" s="519"/>
      <c r="J3266" s="524"/>
      <c r="K3266" s="525"/>
    </row>
    <row r="3267" spans="1:11" s="520" customFormat="1" ht="15.75">
      <c r="A3267" s="157"/>
      <c r="B3267" s="519"/>
      <c r="J3267" s="524"/>
      <c r="K3267" s="525"/>
    </row>
    <row r="3268" spans="1:11" s="520" customFormat="1" ht="15.75">
      <c r="A3268" s="157"/>
      <c r="B3268" s="519"/>
      <c r="J3268" s="524"/>
      <c r="K3268" s="525"/>
    </row>
    <row r="3269" spans="1:11" s="520" customFormat="1" ht="15.75">
      <c r="A3269" s="157"/>
      <c r="B3269" s="519"/>
      <c r="J3269" s="524"/>
      <c r="K3269" s="525"/>
    </row>
    <row r="3270" spans="1:11" s="520" customFormat="1" ht="15.75">
      <c r="A3270" s="157"/>
      <c r="B3270" s="519"/>
      <c r="J3270" s="524"/>
      <c r="K3270" s="525"/>
    </row>
    <row r="3271" spans="1:11" s="520" customFormat="1" ht="15.75">
      <c r="A3271" s="157"/>
      <c r="B3271" s="519"/>
      <c r="J3271" s="524"/>
      <c r="K3271" s="525"/>
    </row>
    <row r="3272" spans="1:11" s="520" customFormat="1" ht="15.75">
      <c r="A3272" s="157"/>
      <c r="B3272" s="519"/>
      <c r="J3272" s="524"/>
      <c r="K3272" s="525"/>
    </row>
    <row r="3273" spans="1:11" s="520" customFormat="1" ht="15.75">
      <c r="A3273" s="157"/>
      <c r="B3273" s="519"/>
      <c r="J3273" s="524"/>
      <c r="K3273" s="525"/>
    </row>
    <row r="3274" spans="1:11" s="520" customFormat="1" ht="15.75">
      <c r="A3274" s="157"/>
      <c r="B3274" s="519"/>
      <c r="J3274" s="524"/>
      <c r="K3274" s="525"/>
    </row>
    <row r="3275" spans="1:11" s="520" customFormat="1" ht="15.75">
      <c r="A3275" s="157"/>
      <c r="B3275" s="519"/>
      <c r="J3275" s="524"/>
      <c r="K3275" s="525"/>
    </row>
    <row r="3276" spans="1:11" s="520" customFormat="1" ht="15.75">
      <c r="A3276" s="157"/>
      <c r="B3276" s="519"/>
      <c r="J3276" s="524"/>
      <c r="K3276" s="525"/>
    </row>
    <row r="3277" spans="1:11" s="520" customFormat="1" ht="15.75">
      <c r="A3277" s="157"/>
      <c r="B3277" s="519"/>
      <c r="J3277" s="524"/>
      <c r="K3277" s="525"/>
    </row>
    <row r="3278" spans="1:11" s="520" customFormat="1" ht="15.75">
      <c r="A3278" s="157"/>
      <c r="B3278" s="519"/>
      <c r="J3278" s="524"/>
      <c r="K3278" s="525"/>
    </row>
    <row r="3279" spans="1:11" s="520" customFormat="1" ht="15.75">
      <c r="A3279" s="157"/>
      <c r="B3279" s="519"/>
      <c r="J3279" s="524"/>
      <c r="K3279" s="525"/>
    </row>
    <row r="3280" spans="1:11" s="520" customFormat="1" ht="15.75">
      <c r="A3280" s="157"/>
      <c r="B3280" s="519"/>
      <c r="J3280" s="524"/>
      <c r="K3280" s="525"/>
    </row>
    <row r="3281" spans="1:11" s="520" customFormat="1" ht="15.75">
      <c r="A3281" s="157"/>
      <c r="B3281" s="519"/>
      <c r="J3281" s="524"/>
      <c r="K3281" s="525"/>
    </row>
    <row r="3282" spans="1:11" s="520" customFormat="1" ht="15.75">
      <c r="A3282" s="157"/>
      <c r="B3282" s="519"/>
      <c r="J3282" s="524"/>
      <c r="K3282" s="525"/>
    </row>
    <row r="3283" spans="1:11" s="520" customFormat="1" ht="15.75">
      <c r="A3283" s="157"/>
      <c r="B3283" s="519"/>
      <c r="J3283" s="524"/>
      <c r="K3283" s="525"/>
    </row>
    <row r="3284" spans="1:11" s="520" customFormat="1" ht="15.75">
      <c r="A3284" s="157"/>
      <c r="B3284" s="519"/>
      <c r="J3284" s="524"/>
      <c r="K3284" s="525"/>
    </row>
    <row r="3285" spans="1:11" s="520" customFormat="1" ht="15.75">
      <c r="A3285" s="157"/>
      <c r="B3285" s="519"/>
      <c r="J3285" s="524"/>
      <c r="K3285" s="525"/>
    </row>
    <row r="3286" spans="1:11" s="520" customFormat="1" ht="15.75">
      <c r="A3286" s="157"/>
      <c r="B3286" s="519"/>
      <c r="J3286" s="524"/>
      <c r="K3286" s="525"/>
    </row>
    <row r="3287" spans="1:11" s="520" customFormat="1" ht="15.75">
      <c r="A3287" s="157"/>
      <c r="B3287" s="519"/>
      <c r="J3287" s="524"/>
      <c r="K3287" s="525"/>
    </row>
    <row r="3288" spans="1:11" s="520" customFormat="1" ht="15.75">
      <c r="A3288" s="157"/>
      <c r="B3288" s="519"/>
      <c r="J3288" s="524"/>
      <c r="K3288" s="525"/>
    </row>
    <row r="3289" spans="1:11" s="520" customFormat="1" ht="15.75">
      <c r="A3289" s="157"/>
      <c r="B3289" s="519"/>
      <c r="J3289" s="524"/>
      <c r="K3289" s="525"/>
    </row>
    <row r="3290" spans="1:11" s="520" customFormat="1" ht="15.75">
      <c r="A3290" s="157"/>
      <c r="B3290" s="519"/>
      <c r="J3290" s="524"/>
      <c r="K3290" s="525"/>
    </row>
    <row r="3291" spans="1:11" s="520" customFormat="1" ht="15.75">
      <c r="A3291" s="157"/>
      <c r="B3291" s="519"/>
      <c r="J3291" s="524"/>
      <c r="K3291" s="525"/>
    </row>
    <row r="3292" spans="1:11" s="520" customFormat="1" ht="15.75">
      <c r="A3292" s="157"/>
      <c r="B3292" s="519"/>
      <c r="J3292" s="524"/>
      <c r="K3292" s="525"/>
    </row>
    <row r="3293" spans="1:11" s="520" customFormat="1" ht="15.75">
      <c r="A3293" s="157"/>
      <c r="B3293" s="519"/>
      <c r="J3293" s="524"/>
      <c r="K3293" s="525"/>
    </row>
    <row r="3294" spans="1:11" s="520" customFormat="1" ht="15.75">
      <c r="A3294" s="157"/>
      <c r="B3294" s="519"/>
      <c r="J3294" s="524"/>
      <c r="K3294" s="525"/>
    </row>
    <row r="3295" spans="1:11" s="520" customFormat="1" ht="15.75">
      <c r="A3295" s="157"/>
      <c r="B3295" s="519"/>
      <c r="J3295" s="524"/>
      <c r="K3295" s="525"/>
    </row>
    <row r="3296" spans="1:11" s="520" customFormat="1" ht="15.75">
      <c r="A3296" s="157"/>
      <c r="B3296" s="519"/>
      <c r="J3296" s="524"/>
      <c r="K3296" s="525"/>
    </row>
    <row r="3297" spans="1:11" s="520" customFormat="1" ht="15.75">
      <c r="A3297" s="157"/>
      <c r="B3297" s="519"/>
      <c r="J3297" s="524"/>
      <c r="K3297" s="525"/>
    </row>
    <row r="3298" spans="1:11" s="520" customFormat="1" ht="15.75">
      <c r="A3298" s="157"/>
      <c r="B3298" s="519"/>
      <c r="J3298" s="524"/>
      <c r="K3298" s="525"/>
    </row>
    <row r="3299" spans="1:11" s="520" customFormat="1" ht="15.75">
      <c r="A3299" s="157"/>
      <c r="B3299" s="519"/>
      <c r="J3299" s="524"/>
      <c r="K3299" s="525"/>
    </row>
    <row r="3300" spans="1:11" s="520" customFormat="1" ht="15.75">
      <c r="A3300" s="157"/>
      <c r="B3300" s="519"/>
      <c r="J3300" s="524"/>
      <c r="K3300" s="525"/>
    </row>
    <row r="3301" spans="1:11" s="520" customFormat="1" ht="15.75">
      <c r="A3301" s="157"/>
      <c r="B3301" s="519"/>
      <c r="J3301" s="524"/>
      <c r="K3301" s="525"/>
    </row>
    <row r="3302" spans="1:11" s="520" customFormat="1" ht="15.75">
      <c r="A3302" s="157"/>
      <c r="B3302" s="519"/>
      <c r="J3302" s="524"/>
      <c r="K3302" s="525"/>
    </row>
    <row r="3303" spans="1:11" s="520" customFormat="1" ht="15.75">
      <c r="A3303" s="157"/>
      <c r="B3303" s="519"/>
      <c r="J3303" s="524"/>
      <c r="K3303" s="525"/>
    </row>
    <row r="3304" spans="1:11" s="520" customFormat="1" ht="15.75">
      <c r="A3304" s="157"/>
      <c r="B3304" s="519"/>
      <c r="J3304" s="524"/>
      <c r="K3304" s="525"/>
    </row>
    <row r="3305" spans="1:11" s="520" customFormat="1" ht="15.75">
      <c r="A3305" s="157"/>
      <c r="B3305" s="519"/>
      <c r="J3305" s="524"/>
      <c r="K3305" s="525"/>
    </row>
    <row r="3306" spans="1:11" s="520" customFormat="1" ht="15.75">
      <c r="A3306" s="157"/>
      <c r="B3306" s="519"/>
      <c r="J3306" s="524"/>
      <c r="K3306" s="525"/>
    </row>
    <row r="3307" spans="1:11" s="520" customFormat="1" ht="15.75">
      <c r="A3307" s="157"/>
      <c r="B3307" s="519"/>
      <c r="J3307" s="524"/>
      <c r="K3307" s="525"/>
    </row>
    <row r="3308" spans="1:11" s="520" customFormat="1" ht="15.75">
      <c r="A3308" s="157"/>
      <c r="B3308" s="519"/>
      <c r="J3308" s="524"/>
      <c r="K3308" s="525"/>
    </row>
    <row r="3309" spans="1:11" s="520" customFormat="1" ht="15.75">
      <c r="A3309" s="157"/>
      <c r="B3309" s="519"/>
      <c r="J3309" s="524"/>
      <c r="K3309" s="525"/>
    </row>
    <row r="3310" spans="1:11" s="520" customFormat="1" ht="15.75">
      <c r="A3310" s="157"/>
      <c r="B3310" s="519"/>
      <c r="J3310" s="524"/>
      <c r="K3310" s="525"/>
    </row>
    <row r="3311" spans="1:11" s="520" customFormat="1" ht="15.75">
      <c r="A3311" s="157"/>
      <c r="B3311" s="519"/>
      <c r="J3311" s="524"/>
      <c r="K3311" s="525"/>
    </row>
    <row r="3312" spans="1:11" s="520" customFormat="1" ht="15.75">
      <c r="A3312" s="157"/>
      <c r="B3312" s="519"/>
      <c r="J3312" s="524"/>
      <c r="K3312" s="525"/>
    </row>
    <row r="3313" spans="1:11" s="520" customFormat="1" ht="15.75">
      <c r="A3313" s="157"/>
      <c r="B3313" s="519"/>
      <c r="J3313" s="524"/>
      <c r="K3313" s="525"/>
    </row>
    <row r="3314" spans="1:11" s="520" customFormat="1" ht="15.75">
      <c r="A3314" s="157"/>
      <c r="B3314" s="519"/>
      <c r="J3314" s="524"/>
      <c r="K3314" s="525"/>
    </row>
    <row r="3315" spans="1:11" s="520" customFormat="1" ht="15.75">
      <c r="A3315" s="157"/>
      <c r="B3315" s="519"/>
      <c r="J3315" s="524"/>
      <c r="K3315" s="525"/>
    </row>
    <row r="3316" spans="1:11" s="520" customFormat="1" ht="15.75">
      <c r="A3316" s="157"/>
      <c r="B3316" s="519"/>
      <c r="J3316" s="524"/>
      <c r="K3316" s="525"/>
    </row>
    <row r="3317" spans="1:11" s="520" customFormat="1" ht="15.75">
      <c r="A3317" s="157"/>
      <c r="B3317" s="519"/>
      <c r="J3317" s="524"/>
      <c r="K3317" s="525"/>
    </row>
    <row r="3318" spans="1:11" s="520" customFormat="1" ht="15.75">
      <c r="A3318" s="157"/>
      <c r="B3318" s="519"/>
      <c r="J3318" s="524"/>
      <c r="K3318" s="525"/>
    </row>
    <row r="3319" spans="1:11" s="520" customFormat="1" ht="15.75">
      <c r="A3319" s="157"/>
      <c r="B3319" s="519"/>
      <c r="J3319" s="524"/>
      <c r="K3319" s="525"/>
    </row>
    <row r="3320" spans="1:11" s="520" customFormat="1" ht="15.75">
      <c r="A3320" s="157"/>
      <c r="B3320" s="519"/>
      <c r="J3320" s="524"/>
      <c r="K3320" s="525"/>
    </row>
    <row r="3321" spans="1:11" s="520" customFormat="1" ht="15.75">
      <c r="A3321" s="157"/>
      <c r="B3321" s="519"/>
      <c r="J3321" s="524"/>
      <c r="K3321" s="525"/>
    </row>
    <row r="3322" spans="1:11" s="520" customFormat="1" ht="15.75">
      <c r="A3322" s="157"/>
      <c r="B3322" s="519"/>
      <c r="J3322" s="524"/>
      <c r="K3322" s="525"/>
    </row>
    <row r="3323" spans="1:11" s="520" customFormat="1" ht="15.75">
      <c r="A3323" s="157"/>
      <c r="B3323" s="519"/>
      <c r="J3323" s="524"/>
      <c r="K3323" s="525"/>
    </row>
    <row r="3324" spans="1:11" s="520" customFormat="1" ht="15.75">
      <c r="A3324" s="157"/>
      <c r="B3324" s="519"/>
      <c r="J3324" s="524"/>
      <c r="K3324" s="525"/>
    </row>
    <row r="3325" spans="1:11" s="520" customFormat="1" ht="15.75">
      <c r="A3325" s="157"/>
      <c r="B3325" s="519"/>
      <c r="J3325" s="524"/>
      <c r="K3325" s="525"/>
    </row>
    <row r="3326" spans="1:11" s="520" customFormat="1" ht="15.75">
      <c r="A3326" s="157"/>
      <c r="B3326" s="519"/>
      <c r="J3326" s="524"/>
      <c r="K3326" s="525"/>
    </row>
    <row r="3327" spans="1:11" s="520" customFormat="1" ht="15.75">
      <c r="A3327" s="157"/>
      <c r="B3327" s="519"/>
      <c r="J3327" s="524"/>
      <c r="K3327" s="525"/>
    </row>
    <row r="3328" spans="1:11" s="520" customFormat="1" ht="15.75">
      <c r="A3328" s="157"/>
      <c r="B3328" s="519"/>
      <c r="J3328" s="524"/>
      <c r="K3328" s="525"/>
    </row>
    <row r="3329" spans="1:11" s="520" customFormat="1" ht="15.75">
      <c r="A3329" s="157"/>
      <c r="B3329" s="519"/>
      <c r="J3329" s="524"/>
      <c r="K3329" s="525"/>
    </row>
    <row r="3330" spans="1:11" s="520" customFormat="1" ht="15.75">
      <c r="A3330" s="157"/>
      <c r="B3330" s="519"/>
      <c r="J3330" s="524"/>
      <c r="K3330" s="525"/>
    </row>
    <row r="3331" spans="1:11" s="520" customFormat="1" ht="15.75">
      <c r="A3331" s="157"/>
      <c r="B3331" s="519"/>
      <c r="J3331" s="524"/>
      <c r="K3331" s="525"/>
    </row>
    <row r="3332" spans="1:11" s="520" customFormat="1" ht="15.75">
      <c r="A3332" s="157"/>
      <c r="B3332" s="519"/>
      <c r="J3332" s="524"/>
      <c r="K3332" s="525"/>
    </row>
    <row r="3333" spans="1:11" s="520" customFormat="1" ht="15.75">
      <c r="A3333" s="157"/>
      <c r="B3333" s="519"/>
      <c r="J3333" s="524"/>
      <c r="K3333" s="525"/>
    </row>
    <row r="3334" spans="1:11" s="520" customFormat="1" ht="15.75">
      <c r="A3334" s="157"/>
      <c r="B3334" s="519"/>
      <c r="J3334" s="524"/>
      <c r="K3334" s="525"/>
    </row>
    <row r="3335" spans="1:11" s="520" customFormat="1" ht="15.75">
      <c r="A3335" s="157"/>
      <c r="B3335" s="519"/>
      <c r="J3335" s="524"/>
      <c r="K3335" s="525"/>
    </row>
    <row r="3336" spans="1:11" s="520" customFormat="1" ht="15.75">
      <c r="A3336" s="157"/>
      <c r="B3336" s="519"/>
      <c r="J3336" s="524"/>
      <c r="K3336" s="525"/>
    </row>
    <row r="3337" spans="1:11" s="520" customFormat="1" ht="15.75">
      <c r="A3337" s="157"/>
      <c r="B3337" s="519"/>
      <c r="J3337" s="524"/>
      <c r="K3337" s="525"/>
    </row>
    <row r="3338" spans="1:11" s="520" customFormat="1" ht="15.75">
      <c r="A3338" s="157"/>
      <c r="B3338" s="519"/>
      <c r="J3338" s="524"/>
      <c r="K3338" s="525"/>
    </row>
    <row r="3339" spans="1:11" s="520" customFormat="1" ht="15.75">
      <c r="A3339" s="157"/>
      <c r="B3339" s="519"/>
      <c r="J3339" s="524"/>
      <c r="K3339" s="525"/>
    </row>
  </sheetData>
  <mergeCells count="22">
    <mergeCell ref="B6:I6"/>
    <mergeCell ref="B100:I100"/>
    <mergeCell ref="B121:I121"/>
    <mergeCell ref="B149:I149"/>
    <mergeCell ref="B210:I210"/>
    <mergeCell ref="B213:I213"/>
    <mergeCell ref="C214:H214"/>
    <mergeCell ref="C215:H215"/>
    <mergeCell ref="C216:H216"/>
    <mergeCell ref="C217:H217"/>
    <mergeCell ref="C218:H218"/>
    <mergeCell ref="C219:H219"/>
    <mergeCell ref="C220:H220"/>
    <mergeCell ref="C221:H221"/>
    <mergeCell ref="C222:H222"/>
    <mergeCell ref="C223:H223"/>
    <mergeCell ref="C233:H233"/>
    <mergeCell ref="B234:I234"/>
    <mergeCell ref="C224:H224"/>
    <mergeCell ref="C225:H225"/>
    <mergeCell ref="B226:I226"/>
    <mergeCell ref="C232:H23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7"/>
  <sheetViews>
    <sheetView workbookViewId="0" topLeftCell="A1">
      <selection activeCell="E4" sqref="E4"/>
    </sheetView>
  </sheetViews>
  <sheetFormatPr defaultColWidth="9.00390625" defaultRowHeight="12.75"/>
  <cols>
    <col min="1" max="1" width="10.875" style="527" customWidth="1"/>
    <col min="2" max="2" width="57.125" style="528" customWidth="1"/>
    <col min="3" max="3" width="15.625" style="4" customWidth="1"/>
    <col min="4" max="7" width="9.125" style="4" customWidth="1"/>
  </cols>
  <sheetData>
    <row r="1" ht="24.75" customHeight="1">
      <c r="C1" s="529" t="s">
        <v>178</v>
      </c>
    </row>
    <row r="2" spans="2:3" ht="39.75" customHeight="1">
      <c r="B2" s="2100" t="s">
        <v>179</v>
      </c>
      <c r="C2" s="2101"/>
    </row>
    <row r="3" spans="2:3" ht="12.75">
      <c r="B3" s="2102" t="s">
        <v>180</v>
      </c>
      <c r="C3" s="2103"/>
    </row>
    <row r="4" spans="2:3" ht="12.75">
      <c r="B4" s="527"/>
      <c r="C4" s="530"/>
    </row>
    <row r="5" ht="13.5" thickBot="1">
      <c r="C5" s="531" t="s">
        <v>181</v>
      </c>
    </row>
    <row r="6" spans="1:3" ht="42" customHeight="1">
      <c r="A6" s="532" t="s">
        <v>182</v>
      </c>
      <c r="B6" s="533" t="s">
        <v>1316</v>
      </c>
      <c r="C6" s="534" t="s">
        <v>183</v>
      </c>
    </row>
    <row r="7" spans="1:7" s="539" customFormat="1" ht="12.75" thickBot="1">
      <c r="A7" s="535">
        <v>1</v>
      </c>
      <c r="B7" s="536">
        <v>2</v>
      </c>
      <c r="C7" s="537">
        <v>3</v>
      </c>
      <c r="D7" s="538"/>
      <c r="E7" s="538"/>
      <c r="F7" s="538"/>
      <c r="G7" s="538"/>
    </row>
    <row r="8" spans="1:7" s="544" customFormat="1" ht="24" customHeight="1" thickBot="1" thickTop="1">
      <c r="A8" s="540">
        <v>600</v>
      </c>
      <c r="B8" s="541" t="s">
        <v>184</v>
      </c>
      <c r="C8" s="542">
        <f>C9+C16+C24+C30</f>
        <v>29731.2</v>
      </c>
      <c r="D8" s="543"/>
      <c r="E8" s="543" t="s">
        <v>185</v>
      </c>
      <c r="F8" s="543"/>
      <c r="G8" s="543"/>
    </row>
    <row r="9" spans="1:7" s="551" customFormat="1" ht="15.75" thickTop="1">
      <c r="A9" s="545">
        <v>60015</v>
      </c>
      <c r="B9" s="546" t="s">
        <v>186</v>
      </c>
      <c r="C9" s="547">
        <f>SUM(C10:C15)</f>
        <v>23500</v>
      </c>
      <c r="D9" s="548"/>
      <c r="E9" s="548"/>
      <c r="F9" s="548"/>
      <c r="G9" s="548"/>
    </row>
    <row r="10" spans="1:7" s="556" customFormat="1" ht="15.75" customHeight="1">
      <c r="A10" s="552" t="s">
        <v>187</v>
      </c>
      <c r="B10" s="553" t="s">
        <v>188</v>
      </c>
      <c r="C10" s="554">
        <v>12000</v>
      </c>
      <c r="D10" s="555"/>
      <c r="E10" s="555"/>
      <c r="F10" s="555"/>
      <c r="G10" s="555"/>
    </row>
    <row r="11" spans="1:7" s="556" customFormat="1" ht="29.25" customHeight="1">
      <c r="A11" s="557" t="s">
        <v>189</v>
      </c>
      <c r="B11" s="558" t="s">
        <v>190</v>
      </c>
      <c r="C11" s="559">
        <v>5200</v>
      </c>
      <c r="D11" s="555"/>
      <c r="E11" s="555"/>
      <c r="F11" s="555"/>
      <c r="G11" s="555"/>
    </row>
    <row r="12" spans="1:7" s="556" customFormat="1" ht="15.75" customHeight="1">
      <c r="A12" s="552">
        <v>6050</v>
      </c>
      <c r="B12" s="560" t="s">
        <v>191</v>
      </c>
      <c r="C12" s="561">
        <v>1600</v>
      </c>
      <c r="D12" s="555"/>
      <c r="E12" s="555"/>
      <c r="F12" s="555"/>
      <c r="G12" s="555"/>
    </row>
    <row r="13" spans="1:7" s="556" customFormat="1" ht="15.75" customHeight="1">
      <c r="A13" s="562"/>
      <c r="B13" s="560" t="s">
        <v>192</v>
      </c>
      <c r="C13" s="561">
        <v>1600</v>
      </c>
      <c r="D13" s="555"/>
      <c r="E13" s="555"/>
      <c r="F13" s="555"/>
      <c r="G13" s="555"/>
    </row>
    <row r="14" spans="1:7" s="556" customFormat="1" ht="15.75" customHeight="1">
      <c r="A14" s="562"/>
      <c r="B14" s="560" t="s">
        <v>193</v>
      </c>
      <c r="C14" s="561">
        <v>3000</v>
      </c>
      <c r="D14" s="555"/>
      <c r="E14" s="555"/>
      <c r="F14" s="555"/>
      <c r="G14" s="555"/>
    </row>
    <row r="15" spans="1:7" s="556" customFormat="1" ht="14.25" customHeight="1">
      <c r="A15" s="562"/>
      <c r="B15" s="558" t="s">
        <v>194</v>
      </c>
      <c r="C15" s="561">
        <v>100</v>
      </c>
      <c r="D15" s="555"/>
      <c r="E15" s="555"/>
      <c r="F15" s="555"/>
      <c r="G15" s="555"/>
    </row>
    <row r="16" spans="1:7" s="551" customFormat="1" ht="15.75" customHeight="1">
      <c r="A16" s="563">
        <v>60016</v>
      </c>
      <c r="B16" s="564" t="s">
        <v>195</v>
      </c>
      <c r="C16" s="547">
        <f>SUM(C17:C23)</f>
        <v>4880.2</v>
      </c>
      <c r="D16" s="548"/>
      <c r="E16" s="548"/>
      <c r="F16" s="548"/>
      <c r="G16" s="548"/>
    </row>
    <row r="17" spans="1:7" s="556" customFormat="1" ht="29.25" customHeight="1">
      <c r="A17" s="557" t="s">
        <v>189</v>
      </c>
      <c r="B17" s="558" t="s">
        <v>196</v>
      </c>
      <c r="C17" s="559">
        <v>1980.2</v>
      </c>
      <c r="D17" s="555"/>
      <c r="E17" s="555"/>
      <c r="F17" s="555"/>
      <c r="G17" s="555"/>
    </row>
    <row r="18" spans="1:7" s="556" customFormat="1" ht="15" customHeight="1">
      <c r="A18" s="565">
        <v>6050</v>
      </c>
      <c r="B18" s="566" t="s">
        <v>197</v>
      </c>
      <c r="C18" s="554">
        <v>200</v>
      </c>
      <c r="D18" s="555"/>
      <c r="E18" s="555"/>
      <c r="F18" s="555"/>
      <c r="G18" s="555"/>
    </row>
    <row r="19" spans="1:7" s="569" customFormat="1" ht="13.5" customHeight="1">
      <c r="A19" s="567"/>
      <c r="B19" s="553" t="s">
        <v>198</v>
      </c>
      <c r="C19" s="561">
        <v>300</v>
      </c>
      <c r="D19" s="568"/>
      <c r="E19" s="568"/>
      <c r="F19" s="568"/>
      <c r="G19" s="568"/>
    </row>
    <row r="20" spans="1:7" s="569" customFormat="1" ht="13.5" customHeight="1">
      <c r="A20" s="567"/>
      <c r="B20" s="553" t="s">
        <v>199</v>
      </c>
      <c r="C20" s="561">
        <v>500</v>
      </c>
      <c r="D20" s="568"/>
      <c r="E20" s="568"/>
      <c r="F20" s="568"/>
      <c r="G20" s="568"/>
    </row>
    <row r="21" spans="1:7" s="569" customFormat="1" ht="13.5" customHeight="1">
      <c r="A21" s="567"/>
      <c r="B21" s="553" t="s">
        <v>200</v>
      </c>
      <c r="C21" s="561">
        <v>250</v>
      </c>
      <c r="D21" s="568"/>
      <c r="E21" s="568"/>
      <c r="F21" s="568"/>
      <c r="G21" s="568"/>
    </row>
    <row r="22" spans="1:7" s="569" customFormat="1" ht="13.5" customHeight="1">
      <c r="A22" s="570"/>
      <c r="B22" s="553" t="s">
        <v>201</v>
      </c>
      <c r="C22" s="561">
        <v>150</v>
      </c>
      <c r="D22" s="568"/>
      <c r="E22" s="568"/>
      <c r="F22" s="568"/>
      <c r="G22" s="568"/>
    </row>
    <row r="23" spans="1:7" s="571" customFormat="1" ht="13.5" customHeight="1">
      <c r="A23" s="570"/>
      <c r="B23" s="553" t="s">
        <v>202</v>
      </c>
      <c r="C23" s="561">
        <v>1500</v>
      </c>
      <c r="D23" s="4"/>
      <c r="E23" s="4"/>
      <c r="F23" s="4"/>
      <c r="G23" s="4"/>
    </row>
    <row r="24" spans="1:7" s="551" customFormat="1" ht="15.75" customHeight="1">
      <c r="A24" s="563">
        <v>60017</v>
      </c>
      <c r="B24" s="564" t="s">
        <v>203</v>
      </c>
      <c r="C24" s="547">
        <f>SUM(C25:C29)</f>
        <v>1350</v>
      </c>
      <c r="D24" s="548"/>
      <c r="E24" s="548"/>
      <c r="F24" s="548"/>
      <c r="G24" s="548"/>
    </row>
    <row r="25" spans="1:7" s="556" customFormat="1" ht="12.75" customHeight="1">
      <c r="A25" s="552">
        <v>6050</v>
      </c>
      <c r="B25" s="572" t="s">
        <v>204</v>
      </c>
      <c r="C25" s="554">
        <v>400</v>
      </c>
      <c r="D25" s="555"/>
      <c r="E25" s="555"/>
      <c r="F25" s="555"/>
      <c r="G25" s="555"/>
    </row>
    <row r="26" spans="1:7" s="571" customFormat="1" ht="12.75" customHeight="1">
      <c r="A26" s="570"/>
      <c r="B26" s="553" t="s">
        <v>205</v>
      </c>
      <c r="C26" s="561">
        <v>600</v>
      </c>
      <c r="D26" s="4"/>
      <c r="E26" s="4"/>
      <c r="F26" s="4"/>
      <c r="G26" s="4"/>
    </row>
    <row r="27" spans="1:7" s="571" customFormat="1" ht="12.75" customHeight="1">
      <c r="A27" s="570"/>
      <c r="B27" s="553" t="s">
        <v>206</v>
      </c>
      <c r="C27" s="561">
        <v>170</v>
      </c>
      <c r="D27" s="4"/>
      <c r="E27" s="4"/>
      <c r="F27" s="4"/>
      <c r="G27" s="4"/>
    </row>
    <row r="28" spans="1:7" s="571" customFormat="1" ht="12.75" customHeight="1">
      <c r="A28" s="570"/>
      <c r="B28" s="553" t="s">
        <v>207</v>
      </c>
      <c r="C28" s="561">
        <v>100</v>
      </c>
      <c r="D28" s="4"/>
      <c r="E28" s="4"/>
      <c r="F28" s="4"/>
      <c r="G28" s="4"/>
    </row>
    <row r="29" spans="1:7" s="571" customFormat="1" ht="16.5" customHeight="1">
      <c r="A29" s="573"/>
      <c r="B29" s="574" t="s">
        <v>208</v>
      </c>
      <c r="C29" s="559">
        <v>80</v>
      </c>
      <c r="D29" s="4"/>
      <c r="E29" s="4"/>
      <c r="F29" s="4"/>
      <c r="G29" s="4"/>
    </row>
    <row r="30" spans="1:7" s="551" customFormat="1" ht="15.75" customHeight="1">
      <c r="A30" s="563">
        <v>60095</v>
      </c>
      <c r="B30" s="564" t="s">
        <v>209</v>
      </c>
      <c r="C30" s="547">
        <f>SUM(C31)</f>
        <v>1</v>
      </c>
      <c r="D30" s="548"/>
      <c r="E30" s="548"/>
      <c r="F30" s="548"/>
      <c r="G30" s="548"/>
    </row>
    <row r="31" spans="1:7" s="556" customFormat="1" ht="20.25" customHeight="1" thickBot="1">
      <c r="A31" s="552">
        <v>6050</v>
      </c>
      <c r="B31" s="572" t="s">
        <v>210</v>
      </c>
      <c r="C31" s="554">
        <v>1</v>
      </c>
      <c r="D31" s="555"/>
      <c r="E31" s="555"/>
      <c r="F31" s="555"/>
      <c r="G31" s="555"/>
    </row>
    <row r="32" spans="1:7" s="578" customFormat="1" ht="20.25" customHeight="1" thickBot="1" thickTop="1">
      <c r="A32" s="540">
        <v>700</v>
      </c>
      <c r="B32" s="575" t="s">
        <v>211</v>
      </c>
      <c r="C32" s="576">
        <f>C33+C35</f>
        <v>8070</v>
      </c>
      <c r="D32" s="577"/>
      <c r="E32" s="577"/>
      <c r="F32" s="577"/>
      <c r="G32" s="577"/>
    </row>
    <row r="33" spans="1:7" s="551" customFormat="1" ht="15.75" thickTop="1">
      <c r="A33" s="545">
        <v>70001</v>
      </c>
      <c r="B33" s="546" t="s">
        <v>212</v>
      </c>
      <c r="C33" s="579">
        <f>SUM(C34)</f>
        <v>6500</v>
      </c>
      <c r="D33" s="548"/>
      <c r="E33" s="548"/>
      <c r="F33" s="548"/>
      <c r="G33" s="548"/>
    </row>
    <row r="34" spans="1:7" s="581" customFormat="1" ht="14.25" customHeight="1">
      <c r="A34" s="565">
        <v>6210</v>
      </c>
      <c r="B34" s="566" t="s">
        <v>213</v>
      </c>
      <c r="C34" s="554">
        <v>6500</v>
      </c>
      <c r="D34" s="580"/>
      <c r="E34" s="580"/>
      <c r="F34" s="580"/>
      <c r="G34" s="580"/>
    </row>
    <row r="35" spans="1:7" s="551" customFormat="1" ht="15">
      <c r="A35" s="563">
        <v>70095</v>
      </c>
      <c r="B35" s="564" t="s">
        <v>209</v>
      </c>
      <c r="C35" s="582">
        <f>SUM(C36:C37)</f>
        <v>1570</v>
      </c>
      <c r="D35" s="548"/>
      <c r="E35" s="548"/>
      <c r="F35" s="548"/>
      <c r="G35" s="548"/>
    </row>
    <row r="36" spans="1:7" s="556" customFormat="1" ht="15" customHeight="1">
      <c r="A36" s="565">
        <v>6050</v>
      </c>
      <c r="B36" s="566" t="s">
        <v>214</v>
      </c>
      <c r="C36" s="554">
        <v>1500</v>
      </c>
      <c r="D36" s="555"/>
      <c r="E36" s="555"/>
      <c r="F36" s="555"/>
      <c r="G36" s="555"/>
    </row>
    <row r="37" spans="1:7" s="556" customFormat="1" ht="13.5" thickBot="1">
      <c r="A37" s="562"/>
      <c r="B37" s="553" t="s">
        <v>215</v>
      </c>
      <c r="C37" s="561">
        <v>70</v>
      </c>
      <c r="D37" s="555"/>
      <c r="E37" s="555"/>
      <c r="F37" s="555"/>
      <c r="G37" s="555"/>
    </row>
    <row r="38" spans="1:7" s="578" customFormat="1" ht="33" customHeight="1" thickBot="1" thickTop="1">
      <c r="A38" s="540">
        <v>754</v>
      </c>
      <c r="B38" s="583" t="s">
        <v>216</v>
      </c>
      <c r="C38" s="576">
        <f>SUM(C41+C39)</f>
        <v>280</v>
      </c>
      <c r="D38" s="577"/>
      <c r="E38" s="577"/>
      <c r="F38" s="577"/>
      <c r="G38" s="577"/>
    </row>
    <row r="39" spans="1:7" s="551" customFormat="1" ht="15.75" thickTop="1">
      <c r="A39" s="563">
        <v>75405</v>
      </c>
      <c r="B39" s="564" t="s">
        <v>217</v>
      </c>
      <c r="C39" s="582">
        <f>SUM(C40)</f>
        <v>250</v>
      </c>
      <c r="D39" s="548"/>
      <c r="E39" s="548"/>
      <c r="F39" s="548"/>
      <c r="G39" s="548"/>
    </row>
    <row r="40" spans="1:7" s="581" customFormat="1" ht="18.75" customHeight="1">
      <c r="A40" s="584">
        <v>6170</v>
      </c>
      <c r="B40" s="585" t="s">
        <v>218</v>
      </c>
      <c r="C40" s="586">
        <v>250</v>
      </c>
      <c r="D40" s="580"/>
      <c r="E40" s="580"/>
      <c r="F40" s="580"/>
      <c r="G40" s="580"/>
    </row>
    <row r="41" spans="1:7" s="551" customFormat="1" ht="15">
      <c r="A41" s="563">
        <v>75411</v>
      </c>
      <c r="B41" s="564" t="s">
        <v>219</v>
      </c>
      <c r="C41" s="582">
        <f>SUM(C42)</f>
        <v>30</v>
      </c>
      <c r="D41" s="548"/>
      <c r="E41" s="548"/>
      <c r="F41" s="548"/>
      <c r="G41" s="548"/>
    </row>
    <row r="42" spans="1:7" s="581" customFormat="1" ht="13.5" thickBot="1">
      <c r="A42" s="587">
        <v>6050</v>
      </c>
      <c r="B42" s="588" t="s">
        <v>220</v>
      </c>
      <c r="C42" s="589">
        <v>30</v>
      </c>
      <c r="D42" s="580"/>
      <c r="E42" s="580"/>
      <c r="F42" s="580"/>
      <c r="G42" s="580"/>
    </row>
    <row r="43" spans="1:7" s="578" customFormat="1" ht="22.5" customHeight="1" thickBot="1" thickTop="1">
      <c r="A43" s="540">
        <v>801</v>
      </c>
      <c r="B43" s="575" t="s">
        <v>221</v>
      </c>
      <c r="C43" s="576">
        <f>C44+C46+C48</f>
        <v>1605.9</v>
      </c>
      <c r="D43" s="577"/>
      <c r="E43" s="577"/>
      <c r="F43" s="577"/>
      <c r="G43" s="577"/>
    </row>
    <row r="44" spans="1:7" s="551" customFormat="1" ht="16.5" customHeight="1" thickTop="1">
      <c r="A44" s="545">
        <v>80101</v>
      </c>
      <c r="B44" s="546" t="s">
        <v>222</v>
      </c>
      <c r="C44" s="579">
        <f>SUM(C45)</f>
        <v>69</v>
      </c>
      <c r="D44" s="548"/>
      <c r="E44" s="548"/>
      <c r="F44" s="548"/>
      <c r="G44" s="548"/>
    </row>
    <row r="45" spans="1:7" s="581" customFormat="1" ht="15.75" customHeight="1">
      <c r="A45" s="565">
        <v>6050</v>
      </c>
      <c r="B45" s="566" t="s">
        <v>223</v>
      </c>
      <c r="C45" s="554">
        <v>69</v>
      </c>
      <c r="D45" s="580"/>
      <c r="E45" s="580"/>
      <c r="F45" s="580"/>
      <c r="G45" s="580"/>
    </row>
    <row r="46" spans="1:7" s="551" customFormat="1" ht="16.5" customHeight="1">
      <c r="A46" s="563">
        <v>80110</v>
      </c>
      <c r="B46" s="564" t="s">
        <v>224</v>
      </c>
      <c r="C46" s="582">
        <f>SUM(C47)</f>
        <v>24.4</v>
      </c>
      <c r="D46" s="548"/>
      <c r="E46" s="548"/>
      <c r="F46" s="548"/>
      <c r="G46" s="548"/>
    </row>
    <row r="47" spans="1:7" s="581" customFormat="1" ht="14.25" customHeight="1">
      <c r="A47" s="587">
        <v>6050</v>
      </c>
      <c r="B47" s="566" t="s">
        <v>225</v>
      </c>
      <c r="C47" s="589">
        <v>24.4</v>
      </c>
      <c r="D47" s="580"/>
      <c r="E47" s="580"/>
      <c r="F47" s="580"/>
      <c r="G47" s="580"/>
    </row>
    <row r="48" spans="1:7" s="551" customFormat="1" ht="16.5" customHeight="1">
      <c r="A48" s="563">
        <v>80195</v>
      </c>
      <c r="B48" s="564" t="s">
        <v>209</v>
      </c>
      <c r="C48" s="582">
        <f>SUM(C49)</f>
        <v>1512.5</v>
      </c>
      <c r="D48" s="548"/>
      <c r="E48" s="548"/>
      <c r="F48" s="548"/>
      <c r="G48" s="548"/>
    </row>
    <row r="49" spans="1:7" s="581" customFormat="1" ht="15.75" customHeight="1" thickBot="1">
      <c r="A49" s="587">
        <v>6050</v>
      </c>
      <c r="B49" s="588" t="s">
        <v>226</v>
      </c>
      <c r="C49" s="589">
        <v>1512.5</v>
      </c>
      <c r="D49" s="580"/>
      <c r="E49" s="580"/>
      <c r="F49" s="580"/>
      <c r="G49" s="580"/>
    </row>
    <row r="50" spans="1:7" s="578" customFormat="1" ht="24" customHeight="1" thickBot="1" thickTop="1">
      <c r="A50" s="540">
        <v>851</v>
      </c>
      <c r="B50" s="575" t="s">
        <v>227</v>
      </c>
      <c r="C50" s="576">
        <f>SUM(C51)</f>
        <v>120</v>
      </c>
      <c r="D50" s="577"/>
      <c r="E50" s="577"/>
      <c r="F50" s="577"/>
      <c r="G50" s="577"/>
    </row>
    <row r="51" spans="1:7" s="551" customFormat="1" ht="16.5" customHeight="1" thickTop="1">
      <c r="A51" s="545">
        <v>85154</v>
      </c>
      <c r="B51" s="546" t="s">
        <v>228</v>
      </c>
      <c r="C51" s="579">
        <f>SUM(C52)</f>
        <v>120</v>
      </c>
      <c r="D51" s="548"/>
      <c r="E51" s="548"/>
      <c r="F51" s="548"/>
      <c r="G51" s="548"/>
    </row>
    <row r="52" spans="1:7" s="581" customFormat="1" ht="27.75" customHeight="1" thickBot="1">
      <c r="A52" s="587">
        <v>6050</v>
      </c>
      <c r="B52" s="590" t="s">
        <v>229</v>
      </c>
      <c r="C52" s="589">
        <v>120</v>
      </c>
      <c r="D52" s="580"/>
      <c r="E52" s="580"/>
      <c r="F52" s="580"/>
      <c r="G52" s="580"/>
    </row>
    <row r="53" spans="1:7" s="578" customFormat="1" ht="18" customHeight="1" thickBot="1" thickTop="1">
      <c r="A53" s="540">
        <v>852</v>
      </c>
      <c r="B53" s="575" t="s">
        <v>230</v>
      </c>
      <c r="C53" s="576">
        <f>SUM(C54)</f>
        <v>1000</v>
      </c>
      <c r="D53" s="577"/>
      <c r="E53" s="577"/>
      <c r="F53" s="577"/>
      <c r="G53" s="577"/>
    </row>
    <row r="54" spans="1:7" s="551" customFormat="1" ht="15.75" thickTop="1">
      <c r="A54" s="545">
        <v>85295</v>
      </c>
      <c r="B54" s="564" t="s">
        <v>209</v>
      </c>
      <c r="C54" s="579">
        <f>SUM(C55)</f>
        <v>1000</v>
      </c>
      <c r="D54" s="548"/>
      <c r="E54" s="548"/>
      <c r="F54" s="548"/>
      <c r="G54" s="548"/>
    </row>
    <row r="55" spans="1:7" s="581" customFormat="1" ht="26.25" thickBot="1">
      <c r="A55" s="587">
        <v>6050</v>
      </c>
      <c r="B55" s="591" t="s">
        <v>231</v>
      </c>
      <c r="C55" s="589">
        <v>1000</v>
      </c>
      <c r="D55" s="580"/>
      <c r="E55" s="580"/>
      <c r="F55" s="580"/>
      <c r="G55" s="580"/>
    </row>
    <row r="56" spans="1:7" s="578" customFormat="1" ht="22.5" customHeight="1" thickBot="1" thickTop="1">
      <c r="A56" s="540">
        <v>854</v>
      </c>
      <c r="B56" s="575" t="s">
        <v>232</v>
      </c>
      <c r="C56" s="576">
        <f>C57+C59</f>
        <v>195</v>
      </c>
      <c r="D56" s="577"/>
      <c r="E56" s="577"/>
      <c r="F56" s="577"/>
      <c r="G56" s="577"/>
    </row>
    <row r="57" spans="1:7" s="551" customFormat="1" ht="16.5" customHeight="1" thickTop="1">
      <c r="A57" s="545">
        <v>85410</v>
      </c>
      <c r="B57" s="564" t="s">
        <v>233</v>
      </c>
      <c r="C57" s="579">
        <f>SUM(C58)</f>
        <v>160</v>
      </c>
      <c r="D57" s="548"/>
      <c r="E57" s="548"/>
      <c r="F57" s="548"/>
      <c r="G57" s="548"/>
    </row>
    <row r="58" spans="1:7" s="581" customFormat="1" ht="15.75" customHeight="1">
      <c r="A58" s="565">
        <v>6050</v>
      </c>
      <c r="B58" s="592" t="s">
        <v>234</v>
      </c>
      <c r="C58" s="554">
        <v>160</v>
      </c>
      <c r="D58" s="580"/>
      <c r="E58" s="580"/>
      <c r="F58" s="580"/>
      <c r="G58" s="580"/>
    </row>
    <row r="59" spans="1:7" s="551" customFormat="1" ht="16.5" customHeight="1">
      <c r="A59" s="563">
        <v>85495</v>
      </c>
      <c r="B59" s="564" t="s">
        <v>209</v>
      </c>
      <c r="C59" s="582">
        <f>SUM(C60)</f>
        <v>35</v>
      </c>
      <c r="D59" s="548"/>
      <c r="E59" s="548"/>
      <c r="F59" s="548"/>
      <c r="G59" s="548"/>
    </row>
    <row r="60" spans="1:7" s="581" customFormat="1" ht="15.75" customHeight="1" thickBot="1">
      <c r="A60" s="587">
        <v>6050</v>
      </c>
      <c r="B60" s="591" t="s">
        <v>235</v>
      </c>
      <c r="C60" s="589">
        <v>35</v>
      </c>
      <c r="D60" s="580"/>
      <c r="E60" s="580"/>
      <c r="F60" s="580"/>
      <c r="G60" s="580"/>
    </row>
    <row r="61" spans="1:7" s="578" customFormat="1" ht="36.75" customHeight="1" thickBot="1" thickTop="1">
      <c r="A61" s="540">
        <v>900</v>
      </c>
      <c r="B61" s="593" t="s">
        <v>236</v>
      </c>
      <c r="C61" s="594">
        <f>C62+C69+C71+C73</f>
        <v>6505</v>
      </c>
      <c r="D61" s="577"/>
      <c r="E61" s="577"/>
      <c r="F61" s="577"/>
      <c r="G61" s="577"/>
    </row>
    <row r="62" spans="1:7" s="598" customFormat="1" ht="16.5" customHeight="1" thickTop="1">
      <c r="A62" s="545">
        <v>90001</v>
      </c>
      <c r="B62" s="595" t="s">
        <v>237</v>
      </c>
      <c r="C62" s="596">
        <f>SUM(C63:C68)</f>
        <v>4850</v>
      </c>
      <c r="D62" s="597"/>
      <c r="E62" s="597"/>
      <c r="F62" s="597"/>
      <c r="G62" s="597"/>
    </row>
    <row r="63" spans="1:7" s="569" customFormat="1" ht="25.5">
      <c r="A63" s="565">
        <v>6050</v>
      </c>
      <c r="B63" s="599" t="s">
        <v>238</v>
      </c>
      <c r="C63" s="554">
        <v>3000</v>
      </c>
      <c r="D63" s="568"/>
      <c r="E63" s="568"/>
      <c r="F63" s="568"/>
      <c r="G63" s="568"/>
    </row>
    <row r="64" spans="1:7" s="569" customFormat="1" ht="12.75">
      <c r="A64" s="562"/>
      <c r="B64" s="553" t="s">
        <v>239</v>
      </c>
      <c r="C64" s="600">
        <v>500</v>
      </c>
      <c r="D64" s="568"/>
      <c r="E64" s="568"/>
      <c r="F64" s="568"/>
      <c r="G64" s="568"/>
    </row>
    <row r="65" spans="1:7" s="569" customFormat="1" ht="12.75">
      <c r="A65" s="562"/>
      <c r="B65" s="553" t="s">
        <v>240</v>
      </c>
      <c r="C65" s="600">
        <v>200</v>
      </c>
      <c r="D65" s="568"/>
      <c r="E65" s="568"/>
      <c r="F65" s="568"/>
      <c r="G65" s="568"/>
    </row>
    <row r="66" spans="1:7" s="569" customFormat="1" ht="12.75">
      <c r="A66" s="562"/>
      <c r="B66" s="553" t="s">
        <v>241</v>
      </c>
      <c r="C66" s="600">
        <v>1000</v>
      </c>
      <c r="D66" s="568"/>
      <c r="E66" s="568"/>
      <c r="F66" s="568"/>
      <c r="G66" s="568"/>
    </row>
    <row r="67" spans="1:7" s="571" customFormat="1" ht="12.75">
      <c r="A67" s="562"/>
      <c r="B67" s="601" t="s">
        <v>242</v>
      </c>
      <c r="C67" s="602">
        <v>50</v>
      </c>
      <c r="D67" s="4"/>
      <c r="E67" s="4"/>
      <c r="F67" s="4"/>
      <c r="G67" s="4"/>
    </row>
    <row r="68" spans="1:7" s="571" customFormat="1" ht="12.75">
      <c r="A68" s="562"/>
      <c r="B68" s="553" t="s">
        <v>243</v>
      </c>
      <c r="C68" s="561">
        <v>100</v>
      </c>
      <c r="D68" s="4"/>
      <c r="E68" s="4"/>
      <c r="F68" s="4"/>
      <c r="G68" s="4"/>
    </row>
    <row r="69" spans="1:3" s="597" customFormat="1" ht="14.25">
      <c r="A69" s="603">
        <v>90013</v>
      </c>
      <c r="B69" s="604" t="s">
        <v>244</v>
      </c>
      <c r="C69" s="547">
        <f>SUM(C70)</f>
        <v>200</v>
      </c>
    </row>
    <row r="70" spans="1:3" s="606" customFormat="1" ht="15" customHeight="1">
      <c r="A70" s="605">
        <v>6050</v>
      </c>
      <c r="B70" s="585" t="s">
        <v>245</v>
      </c>
      <c r="C70" s="586">
        <v>200</v>
      </c>
    </row>
    <row r="71" spans="1:3" s="597" customFormat="1" ht="14.25">
      <c r="A71" s="603">
        <v>90015</v>
      </c>
      <c r="B71" s="604" t="s">
        <v>246</v>
      </c>
      <c r="C71" s="547">
        <f>SUM(C72)</f>
        <v>75</v>
      </c>
    </row>
    <row r="72" spans="1:3" s="606" customFormat="1" ht="15" customHeight="1">
      <c r="A72" s="605">
        <v>6050</v>
      </c>
      <c r="B72" s="585" t="s">
        <v>247</v>
      </c>
      <c r="C72" s="586">
        <v>75</v>
      </c>
    </row>
    <row r="73" spans="1:3" s="597" customFormat="1" ht="14.25">
      <c r="A73" s="603">
        <v>90095</v>
      </c>
      <c r="B73" s="604" t="s">
        <v>209</v>
      </c>
      <c r="C73" s="547">
        <f>SUM(C74:C79)</f>
        <v>1380</v>
      </c>
    </row>
    <row r="74" spans="1:3" s="608" customFormat="1" ht="15" customHeight="1">
      <c r="A74" s="607">
        <v>6050</v>
      </c>
      <c r="B74" s="566" t="s">
        <v>248</v>
      </c>
      <c r="C74" s="554">
        <v>100</v>
      </c>
    </row>
    <row r="75" spans="1:3" s="608" customFormat="1" ht="15" customHeight="1">
      <c r="A75" s="609"/>
      <c r="B75" s="553" t="s">
        <v>249</v>
      </c>
      <c r="C75" s="561">
        <v>200</v>
      </c>
    </row>
    <row r="76" spans="1:7" s="569" customFormat="1" ht="15" customHeight="1">
      <c r="A76" s="570"/>
      <c r="B76" s="553" t="s">
        <v>250</v>
      </c>
      <c r="C76" s="561">
        <v>150</v>
      </c>
      <c r="D76" s="568"/>
      <c r="E76" s="568"/>
      <c r="F76" s="568"/>
      <c r="G76" s="568"/>
    </row>
    <row r="77" spans="1:7" s="569" customFormat="1" ht="15" customHeight="1">
      <c r="A77" s="570"/>
      <c r="B77" s="553" t="s">
        <v>251</v>
      </c>
      <c r="C77" s="561">
        <v>100</v>
      </c>
      <c r="D77" s="568"/>
      <c r="E77" s="568"/>
      <c r="F77" s="568"/>
      <c r="G77" s="568"/>
    </row>
    <row r="78" spans="1:7" s="569" customFormat="1" ht="15" customHeight="1">
      <c r="A78" s="570"/>
      <c r="B78" s="553" t="s">
        <v>252</v>
      </c>
      <c r="C78" s="561">
        <v>600</v>
      </c>
      <c r="D78" s="568"/>
      <c r="E78" s="568"/>
      <c r="F78" s="568"/>
      <c r="G78" s="568"/>
    </row>
    <row r="79" spans="1:7" s="571" customFormat="1" ht="12.75" customHeight="1">
      <c r="A79" s="557"/>
      <c r="B79" s="574" t="s">
        <v>253</v>
      </c>
      <c r="C79" s="559">
        <v>230</v>
      </c>
      <c r="D79" s="4"/>
      <c r="E79" s="4"/>
      <c r="F79" s="4"/>
      <c r="G79" s="4"/>
    </row>
    <row r="80" spans="1:7" s="578" customFormat="1" ht="39" customHeight="1" thickBot="1">
      <c r="A80" s="610">
        <v>921</v>
      </c>
      <c r="B80" s="611" t="s">
        <v>254</v>
      </c>
      <c r="C80" s="612">
        <f>C81+C83+C86</f>
        <v>2370</v>
      </c>
      <c r="D80" s="577"/>
      <c r="E80" s="577"/>
      <c r="F80" s="577"/>
      <c r="G80" s="577"/>
    </row>
    <row r="81" spans="1:7" s="551" customFormat="1" ht="18" customHeight="1" thickTop="1">
      <c r="A81" s="613">
        <v>92106</v>
      </c>
      <c r="B81" s="614" t="s">
        <v>255</v>
      </c>
      <c r="C81" s="615">
        <f>C82</f>
        <v>200</v>
      </c>
      <c r="D81" s="548"/>
      <c r="E81" s="548"/>
      <c r="F81" s="548"/>
      <c r="G81" s="548"/>
    </row>
    <row r="82" spans="1:7" s="618" customFormat="1" ht="21" customHeight="1">
      <c r="A82" s="584">
        <v>6050</v>
      </c>
      <c r="B82" s="616" t="s">
        <v>256</v>
      </c>
      <c r="C82" s="586">
        <v>200</v>
      </c>
      <c r="D82" s="617"/>
      <c r="E82" s="617"/>
      <c r="F82" s="617"/>
      <c r="G82" s="617"/>
    </row>
    <row r="83" spans="1:7" s="551" customFormat="1" ht="17.25" customHeight="1">
      <c r="A83" s="619">
        <v>92109</v>
      </c>
      <c r="B83" s="604" t="s">
        <v>257</v>
      </c>
      <c r="C83" s="620">
        <f>SUM(C84:C85)</f>
        <v>276</v>
      </c>
      <c r="D83" s="548"/>
      <c r="E83" s="548"/>
      <c r="F83" s="548"/>
      <c r="G83" s="548"/>
    </row>
    <row r="84" spans="1:7" s="556" customFormat="1" ht="20.25" customHeight="1">
      <c r="A84" s="565">
        <v>6050</v>
      </c>
      <c r="B84" s="599" t="s">
        <v>258</v>
      </c>
      <c r="C84" s="554">
        <v>100</v>
      </c>
      <c r="D84" s="555"/>
      <c r="E84" s="555"/>
      <c r="F84" s="555"/>
      <c r="G84" s="555"/>
    </row>
    <row r="85" spans="1:7" s="581" customFormat="1" ht="15.75" customHeight="1">
      <c r="A85" s="552">
        <v>6220</v>
      </c>
      <c r="B85" s="560" t="s">
        <v>259</v>
      </c>
      <c r="C85" s="561">
        <v>176</v>
      </c>
      <c r="D85" s="580"/>
      <c r="E85" s="580"/>
      <c r="F85" s="580"/>
      <c r="G85" s="580"/>
    </row>
    <row r="86" spans="1:7" s="551" customFormat="1" ht="15">
      <c r="A86" s="619">
        <v>92118</v>
      </c>
      <c r="B86" s="604" t="s">
        <v>260</v>
      </c>
      <c r="C86" s="620">
        <f>SUM(C87)</f>
        <v>1894</v>
      </c>
      <c r="D86" s="548"/>
      <c r="E86" s="548"/>
      <c r="F86" s="548"/>
      <c r="G86" s="548"/>
    </row>
    <row r="87" spans="1:7" s="581" customFormat="1" ht="31.5" customHeight="1" thickBot="1">
      <c r="A87" s="609" t="s">
        <v>261</v>
      </c>
      <c r="B87" s="560" t="s">
        <v>262</v>
      </c>
      <c r="C87" s="561">
        <v>1894</v>
      </c>
      <c r="D87" s="580"/>
      <c r="E87" s="580"/>
      <c r="F87" s="580"/>
      <c r="G87" s="580"/>
    </row>
    <row r="88" spans="1:7" s="578" customFormat="1" ht="18" customHeight="1" thickBot="1" thickTop="1">
      <c r="A88" s="540">
        <v>926</v>
      </c>
      <c r="B88" s="621" t="s">
        <v>263</v>
      </c>
      <c r="C88" s="542">
        <f>C89</f>
        <v>7500</v>
      </c>
      <c r="D88" s="577"/>
      <c r="E88" s="577"/>
      <c r="F88" s="577"/>
      <c r="G88" s="577"/>
    </row>
    <row r="89" spans="1:7" s="551" customFormat="1" ht="16.5" customHeight="1" thickTop="1">
      <c r="A89" s="545">
        <v>92601</v>
      </c>
      <c r="B89" s="595" t="s">
        <v>264</v>
      </c>
      <c r="C89" s="622">
        <f>SUM(C90:C91)</f>
        <v>7500</v>
      </c>
      <c r="D89" s="548"/>
      <c r="E89" s="548"/>
      <c r="F89" s="548"/>
      <c r="G89" s="548"/>
    </row>
    <row r="90" spans="1:3" s="606" customFormat="1" ht="20.25" customHeight="1">
      <c r="A90" s="565">
        <v>6050</v>
      </c>
      <c r="B90" s="566" t="s">
        <v>265</v>
      </c>
      <c r="C90" s="554">
        <v>3500</v>
      </c>
    </row>
    <row r="91" spans="1:3" s="606" customFormat="1" ht="20.25" customHeight="1" thickBot="1">
      <c r="A91" s="562"/>
      <c r="B91" s="574" t="s">
        <v>266</v>
      </c>
      <c r="C91" s="602">
        <v>4000</v>
      </c>
    </row>
    <row r="92" spans="1:3" s="626" customFormat="1" ht="21" customHeight="1" thickBot="1" thickTop="1">
      <c r="A92" s="623"/>
      <c r="B92" s="624" t="s">
        <v>1312</v>
      </c>
      <c r="C92" s="625">
        <f>C88+C80+C61+C56+C53+C50+C43+C38+C32+C8</f>
        <v>57377.100000000006</v>
      </c>
    </row>
    <row r="93" spans="1:3" s="528" customFormat="1" ht="13.5" thickTop="1">
      <c r="A93" s="627"/>
      <c r="B93" s="628"/>
      <c r="C93" s="628"/>
    </row>
    <row r="94" spans="1:3" ht="14.25" customHeight="1">
      <c r="A94" s="152"/>
      <c r="C94" s="629"/>
    </row>
    <row r="95" spans="1:3" ht="13.5" customHeight="1">
      <c r="A95" s="152"/>
      <c r="B95" s="630"/>
      <c r="C95" s="629"/>
    </row>
    <row r="96" spans="1:7" s="634" customFormat="1" ht="18.75">
      <c r="A96" s="631"/>
      <c r="B96" s="632"/>
      <c r="C96" s="633"/>
      <c r="D96" s="633"/>
      <c r="E96" s="633"/>
      <c r="F96" s="633"/>
      <c r="G96" s="633"/>
    </row>
    <row r="97" spans="1:7" s="636" customFormat="1" ht="12.75">
      <c r="A97" s="635"/>
      <c r="B97" s="608"/>
      <c r="C97" s="608"/>
      <c r="D97" s="568"/>
      <c r="E97" s="568"/>
      <c r="F97" s="568"/>
      <c r="G97" s="568"/>
    </row>
    <row r="98" spans="1:7" s="636" customFormat="1" ht="12.75">
      <c r="A98" s="635"/>
      <c r="B98" s="608"/>
      <c r="C98" s="608"/>
      <c r="D98" s="568"/>
      <c r="E98" s="568"/>
      <c r="F98" s="568"/>
      <c r="G98" s="568"/>
    </row>
    <row r="99" spans="1:7" s="636" customFormat="1" ht="12.75">
      <c r="A99" s="635"/>
      <c r="B99" s="608"/>
      <c r="C99" s="608"/>
      <c r="D99" s="568"/>
      <c r="E99" s="568"/>
      <c r="F99" s="568"/>
      <c r="G99" s="568"/>
    </row>
    <row r="100" spans="1:7" s="636" customFormat="1" ht="12.75">
      <c r="A100" s="635"/>
      <c r="B100" s="608"/>
      <c r="C100" s="608"/>
      <c r="D100" s="568"/>
      <c r="E100" s="568"/>
      <c r="F100" s="568"/>
      <c r="G100" s="568"/>
    </row>
    <row r="101" spans="1:3" s="608" customFormat="1" ht="12.75">
      <c r="A101" s="637"/>
      <c r="B101" s="638"/>
      <c r="C101" s="638"/>
    </row>
    <row r="102" spans="1:3" s="608" customFormat="1" ht="12.75">
      <c r="A102" s="637"/>
      <c r="B102" s="638"/>
      <c r="C102" s="638"/>
    </row>
    <row r="103" spans="1:7" s="636" customFormat="1" ht="12.75">
      <c r="A103" s="635"/>
      <c r="B103" s="608"/>
      <c r="C103" s="608"/>
      <c r="D103" s="568"/>
      <c r="E103" s="568"/>
      <c r="F103" s="568"/>
      <c r="G103" s="568"/>
    </row>
    <row r="104" spans="1:7" s="636" customFormat="1" ht="12.75">
      <c r="A104" s="635"/>
      <c r="B104" s="608"/>
      <c r="C104" s="608"/>
      <c r="D104" s="568"/>
      <c r="E104" s="568"/>
      <c r="F104" s="568"/>
      <c r="G104" s="568"/>
    </row>
    <row r="105" spans="1:7" s="636" customFormat="1" ht="12.75">
      <c r="A105" s="635"/>
      <c r="B105" s="608"/>
      <c r="C105" s="608"/>
      <c r="D105" s="568"/>
      <c r="E105" s="568"/>
      <c r="F105" s="568"/>
      <c r="G105" s="568"/>
    </row>
    <row r="106" spans="1:7" s="636" customFormat="1" ht="12.75">
      <c r="A106" s="635"/>
      <c r="B106" s="608"/>
      <c r="C106" s="608"/>
      <c r="D106" s="568"/>
      <c r="E106" s="568"/>
      <c r="F106" s="568"/>
      <c r="G106" s="568"/>
    </row>
    <row r="107" spans="1:7" s="636" customFormat="1" ht="12.75">
      <c r="A107" s="635"/>
      <c r="B107" s="608"/>
      <c r="C107" s="608"/>
      <c r="D107" s="568"/>
      <c r="E107" s="568"/>
      <c r="F107" s="568"/>
      <c r="G107" s="568"/>
    </row>
    <row r="108" spans="1:7" s="636" customFormat="1" ht="12.75">
      <c r="A108" s="635"/>
      <c r="B108" s="608"/>
      <c r="C108" s="608"/>
      <c r="D108" s="568"/>
      <c r="E108" s="568"/>
      <c r="F108" s="568"/>
      <c r="G108" s="568"/>
    </row>
    <row r="109" spans="1:7" s="642" customFormat="1" ht="12.75">
      <c r="A109" s="639"/>
      <c r="B109" s="639"/>
      <c r="C109" s="640"/>
      <c r="D109" s="641"/>
      <c r="E109" s="641"/>
      <c r="F109" s="641"/>
      <c r="G109" s="641"/>
    </row>
    <row r="110" spans="1:7" s="642" customFormat="1" ht="12.75">
      <c r="A110" s="639"/>
      <c r="B110" s="639"/>
      <c r="C110" s="640"/>
      <c r="D110" s="641"/>
      <c r="E110" s="641"/>
      <c r="F110" s="641"/>
      <c r="G110" s="641"/>
    </row>
    <row r="111" spans="1:7" s="642" customFormat="1" ht="12.75">
      <c r="A111" s="639"/>
      <c r="B111" s="639"/>
      <c r="C111" s="640"/>
      <c r="D111" s="641"/>
      <c r="E111" s="641"/>
      <c r="F111" s="641"/>
      <c r="G111" s="641"/>
    </row>
    <row r="112" spans="1:7" s="642" customFormat="1" ht="12.75">
      <c r="A112" s="639"/>
      <c r="B112" s="639"/>
      <c r="C112" s="643"/>
      <c r="D112" s="641"/>
      <c r="E112" s="641"/>
      <c r="F112" s="641"/>
      <c r="G112" s="641"/>
    </row>
    <row r="113" spans="1:7" s="642" customFormat="1" ht="12.75">
      <c r="A113" s="639"/>
      <c r="B113" s="639"/>
      <c r="C113" s="640"/>
      <c r="D113" s="641"/>
      <c r="E113" s="641"/>
      <c r="F113" s="641"/>
      <c r="G113" s="641"/>
    </row>
    <row r="114" spans="1:7" s="642" customFormat="1" ht="12.75">
      <c r="A114" s="639"/>
      <c r="B114" s="639"/>
      <c r="C114" s="640"/>
      <c r="D114" s="641"/>
      <c r="E114" s="641"/>
      <c r="F114" s="641"/>
      <c r="G114" s="641"/>
    </row>
    <row r="115" spans="1:7" s="642" customFormat="1" ht="12.75">
      <c r="A115" s="639"/>
      <c r="B115" s="639"/>
      <c r="C115" s="640"/>
      <c r="D115" s="641"/>
      <c r="E115" s="641"/>
      <c r="F115" s="641"/>
      <c r="G115" s="641"/>
    </row>
    <row r="116" spans="1:7" s="642" customFormat="1" ht="12.75">
      <c r="A116" s="639"/>
      <c r="B116" s="639"/>
      <c r="C116" s="640"/>
      <c r="D116" s="641"/>
      <c r="E116" s="641"/>
      <c r="F116" s="641"/>
      <c r="G116" s="641"/>
    </row>
    <row r="117" spans="1:7" s="642" customFormat="1" ht="12.75">
      <c r="A117" s="639"/>
      <c r="B117" s="639"/>
      <c r="C117" s="640"/>
      <c r="D117" s="641"/>
      <c r="E117" s="641"/>
      <c r="F117" s="641"/>
      <c r="G117" s="641"/>
    </row>
  </sheetData>
  <mergeCells count="2">
    <mergeCell ref="B2:C2"/>
    <mergeCell ref="B3:C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110"/>
  <sheetViews>
    <sheetView workbookViewId="0" topLeftCell="A1">
      <selection activeCell="G1" sqref="G1"/>
    </sheetView>
  </sheetViews>
  <sheetFormatPr defaultColWidth="9.00390625" defaultRowHeight="12.75"/>
  <cols>
    <col min="1" max="1" width="5.375" style="527" customWidth="1"/>
    <col min="2" max="2" width="54.875" style="528" customWidth="1"/>
    <col min="3" max="3" width="7.125" style="647" hidden="1" customWidth="1"/>
    <col min="4" max="4" width="8.00390625" style="4" customWidth="1"/>
    <col min="5" max="5" width="10.25390625" style="4" customWidth="1"/>
    <col min="6" max="6" width="13.25390625" style="4" customWidth="1"/>
    <col min="7" max="7" width="47.25390625" style="648" customWidth="1"/>
    <col min="8" max="11" width="9.125" style="4" customWidth="1"/>
  </cols>
  <sheetData>
    <row r="1" spans="2:8" ht="24.75" customHeight="1">
      <c r="B1" s="543" t="s">
        <v>267</v>
      </c>
      <c r="C1" s="644"/>
      <c r="D1" s="577"/>
      <c r="E1" s="577"/>
      <c r="F1" s="645"/>
      <c r="G1" s="646" t="s">
        <v>268</v>
      </c>
      <c r="H1" s="645"/>
    </row>
    <row r="2" ht="13.5" thickBot="1">
      <c r="F2" s="531" t="s">
        <v>181</v>
      </c>
    </row>
    <row r="3" spans="1:7" ht="51">
      <c r="A3" s="649" t="s">
        <v>1315</v>
      </c>
      <c r="B3" s="533" t="s">
        <v>1316</v>
      </c>
      <c r="C3" s="650" t="s">
        <v>269</v>
      </c>
      <c r="D3" s="651" t="s">
        <v>270</v>
      </c>
      <c r="E3" s="651" t="s">
        <v>271</v>
      </c>
      <c r="F3" s="533" t="s">
        <v>272</v>
      </c>
      <c r="G3" s="652" t="s">
        <v>273</v>
      </c>
    </row>
    <row r="4" spans="1:11" s="658" customFormat="1" ht="11.25">
      <c r="A4" s="653">
        <v>1</v>
      </c>
      <c r="B4" s="654">
        <v>2</v>
      </c>
      <c r="C4" s="655">
        <v>3</v>
      </c>
      <c r="D4" s="654">
        <v>4</v>
      </c>
      <c r="E4" s="654">
        <v>5</v>
      </c>
      <c r="F4" s="654">
        <v>6</v>
      </c>
      <c r="G4" s="656">
        <v>7</v>
      </c>
      <c r="H4" s="657"/>
      <c r="I4" s="657"/>
      <c r="J4" s="657"/>
      <c r="K4" s="657"/>
    </row>
    <row r="5" spans="1:11" s="634" customFormat="1" ht="21" customHeight="1" thickBot="1">
      <c r="A5" s="659" t="s">
        <v>1325</v>
      </c>
      <c r="B5" s="660" t="s">
        <v>274</v>
      </c>
      <c r="C5" s="661"/>
      <c r="D5" s="662"/>
      <c r="E5" s="662"/>
      <c r="F5" s="663">
        <f>F6+F14+F17+F19+F23+F25+F37+F40</f>
        <v>26366.9</v>
      </c>
      <c r="G5" s="664"/>
      <c r="H5" s="633"/>
      <c r="I5" s="633"/>
      <c r="J5" s="633"/>
      <c r="K5" s="633"/>
    </row>
    <row r="6" spans="1:11" s="636" customFormat="1" ht="18.75" customHeight="1" thickBot="1" thickTop="1">
      <c r="A6" s="665">
        <v>600</v>
      </c>
      <c r="B6" s="666" t="s">
        <v>184</v>
      </c>
      <c r="C6" s="667"/>
      <c r="D6" s="666"/>
      <c r="E6" s="666"/>
      <c r="F6" s="668">
        <f>SUM(F10:F13)+F7</f>
        <v>13400</v>
      </c>
      <c r="G6" s="669"/>
      <c r="H6" s="568"/>
      <c r="I6" s="568"/>
      <c r="J6" s="568"/>
      <c r="K6" s="568"/>
    </row>
    <row r="7" spans="1:54" s="528" customFormat="1" ht="18.75" customHeight="1" thickTop="1">
      <c r="A7" s="570">
        <v>1</v>
      </c>
      <c r="B7" s="670" t="s">
        <v>275</v>
      </c>
      <c r="C7" s="671" t="s">
        <v>276</v>
      </c>
      <c r="D7" s="672">
        <v>27000</v>
      </c>
      <c r="E7" s="672">
        <v>15000</v>
      </c>
      <c r="F7" s="672">
        <f>SUM(F8:F9)</f>
        <v>12000</v>
      </c>
      <c r="G7" s="673" t="s">
        <v>277</v>
      </c>
      <c r="H7" s="4"/>
      <c r="I7" s="4"/>
      <c r="J7" s="4"/>
      <c r="K7" s="4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</row>
    <row r="8" spans="1:54" s="528" customFormat="1" ht="19.5" customHeight="1">
      <c r="A8" s="570"/>
      <c r="B8" s="553" t="s">
        <v>278</v>
      </c>
      <c r="C8" s="674" t="s">
        <v>279</v>
      </c>
      <c r="D8" s="675"/>
      <c r="E8" s="675">
        <v>5000</v>
      </c>
      <c r="F8" s="675">
        <v>9500</v>
      </c>
      <c r="G8" s="673" t="s">
        <v>280</v>
      </c>
      <c r="H8" s="4"/>
      <c r="I8" s="4"/>
      <c r="J8" s="4"/>
      <c r="K8" s="4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</row>
    <row r="9" spans="1:54" s="528" customFormat="1" ht="23.25" customHeight="1">
      <c r="A9" s="573"/>
      <c r="B9" s="574" t="s">
        <v>281</v>
      </c>
      <c r="C9" s="676" t="s">
        <v>282</v>
      </c>
      <c r="D9" s="677"/>
      <c r="E9" s="677">
        <v>10000</v>
      </c>
      <c r="F9" s="677">
        <v>2500</v>
      </c>
      <c r="G9" s="678" t="s">
        <v>283</v>
      </c>
      <c r="H9" s="4"/>
      <c r="I9" s="4"/>
      <c r="J9" s="4"/>
      <c r="K9" s="4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</row>
    <row r="10" spans="1:54" s="528" customFormat="1" ht="28.5" customHeight="1">
      <c r="A10" s="679">
        <v>2</v>
      </c>
      <c r="B10" s="680" t="s">
        <v>197</v>
      </c>
      <c r="C10" s="681" t="s">
        <v>284</v>
      </c>
      <c r="D10" s="682">
        <v>4000</v>
      </c>
      <c r="E10" s="682">
        <v>1925</v>
      </c>
      <c r="F10" s="682">
        <v>200</v>
      </c>
      <c r="G10" s="683" t="s">
        <v>285</v>
      </c>
      <c r="H10" s="4"/>
      <c r="I10" s="4"/>
      <c r="J10" s="4"/>
      <c r="K10" s="4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</row>
    <row r="11" spans="1:54" s="528" customFormat="1" ht="21.75" customHeight="1">
      <c r="A11" s="679">
        <v>3</v>
      </c>
      <c r="B11" s="680" t="s">
        <v>198</v>
      </c>
      <c r="C11" s="681" t="s">
        <v>284</v>
      </c>
      <c r="D11" s="682">
        <v>3800</v>
      </c>
      <c r="E11" s="682">
        <v>1600</v>
      </c>
      <c r="F11" s="682">
        <v>300</v>
      </c>
      <c r="G11" s="683" t="s">
        <v>286</v>
      </c>
      <c r="H11" s="4"/>
      <c r="I11" s="4"/>
      <c r="J11" s="4"/>
      <c r="K11" s="4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</row>
    <row r="12" spans="1:54" s="528" customFormat="1" ht="15.75" customHeight="1">
      <c r="A12" s="679">
        <v>4</v>
      </c>
      <c r="B12" s="680" t="s">
        <v>199</v>
      </c>
      <c r="C12" s="681" t="s">
        <v>284</v>
      </c>
      <c r="D12" s="682">
        <v>1510</v>
      </c>
      <c r="E12" s="682">
        <v>100</v>
      </c>
      <c r="F12" s="682">
        <v>500</v>
      </c>
      <c r="G12" s="683" t="s">
        <v>287</v>
      </c>
      <c r="H12" s="4"/>
      <c r="I12" s="4"/>
      <c r="J12" s="4"/>
      <c r="K12" s="4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</row>
    <row r="13" spans="1:54" s="528" customFormat="1" ht="19.5" customHeight="1" thickBot="1">
      <c r="A13" s="679">
        <v>5</v>
      </c>
      <c r="B13" s="680" t="s">
        <v>204</v>
      </c>
      <c r="C13" s="681"/>
      <c r="D13" s="682">
        <v>1000</v>
      </c>
      <c r="E13" s="682">
        <v>466</v>
      </c>
      <c r="F13" s="682">
        <v>400</v>
      </c>
      <c r="G13" s="683" t="s">
        <v>288</v>
      </c>
      <c r="H13" s="4"/>
      <c r="I13" s="4"/>
      <c r="J13" s="4"/>
      <c r="K13" s="4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</row>
    <row r="14" spans="1:54" s="528" customFormat="1" ht="19.5" customHeight="1" thickBot="1" thickTop="1">
      <c r="A14" s="665">
        <v>700</v>
      </c>
      <c r="B14" s="666" t="s">
        <v>211</v>
      </c>
      <c r="C14" s="667"/>
      <c r="D14" s="666"/>
      <c r="E14" s="666"/>
      <c r="F14" s="668">
        <f>F15+F16</f>
        <v>1570</v>
      </c>
      <c r="G14" s="684"/>
      <c r="H14" s="4"/>
      <c r="I14" s="4"/>
      <c r="J14" s="4"/>
      <c r="K14" s="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</row>
    <row r="15" spans="1:54" s="528" customFormat="1" ht="27" customHeight="1" thickTop="1">
      <c r="A15" s="685">
        <v>6</v>
      </c>
      <c r="B15" s="585" t="s">
        <v>214</v>
      </c>
      <c r="C15" s="681" t="s">
        <v>289</v>
      </c>
      <c r="D15" s="686">
        <v>6500</v>
      </c>
      <c r="E15" s="686">
        <v>2600</v>
      </c>
      <c r="F15" s="686">
        <v>1500</v>
      </c>
      <c r="G15" s="683" t="s">
        <v>290</v>
      </c>
      <c r="H15" s="4"/>
      <c r="I15" s="4"/>
      <c r="J15" s="4"/>
      <c r="K15" s="4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</row>
    <row r="16" spans="1:54" s="528" customFormat="1" ht="18" customHeight="1" thickBot="1">
      <c r="A16" s="679">
        <v>7</v>
      </c>
      <c r="B16" s="680" t="s">
        <v>291</v>
      </c>
      <c r="C16" s="681"/>
      <c r="D16" s="682">
        <v>300</v>
      </c>
      <c r="E16" s="682">
        <v>190</v>
      </c>
      <c r="F16" s="682">
        <v>70</v>
      </c>
      <c r="G16" s="683" t="s">
        <v>292</v>
      </c>
      <c r="H16" s="4"/>
      <c r="I16" s="4"/>
      <c r="J16" s="4"/>
      <c r="K16" s="4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</row>
    <row r="17" spans="1:54" ht="29.25" customHeight="1" thickBot="1" thickTop="1">
      <c r="A17" s="665">
        <v>754</v>
      </c>
      <c r="B17" s="687" t="s">
        <v>293</v>
      </c>
      <c r="C17" s="667"/>
      <c r="D17" s="688"/>
      <c r="E17" s="688"/>
      <c r="F17" s="689">
        <f>F18</f>
        <v>250</v>
      </c>
      <c r="G17" s="690"/>
      <c r="H17" s="528"/>
      <c r="I17" s="528"/>
      <c r="J17" s="528"/>
      <c r="K17" s="528"/>
      <c r="L17" s="691"/>
      <c r="M17" s="691"/>
      <c r="N17" s="691"/>
      <c r="O17" s="691"/>
      <c r="P17" s="691"/>
      <c r="Q17" s="691"/>
      <c r="R17" s="691"/>
      <c r="S17" s="691"/>
      <c r="T17" s="691"/>
      <c r="U17" s="691"/>
      <c r="V17" s="691"/>
      <c r="W17" s="691"/>
      <c r="X17" s="691"/>
      <c r="Y17" s="691"/>
      <c r="Z17" s="691"/>
      <c r="AA17" s="691"/>
      <c r="AB17" s="691"/>
      <c r="AC17" s="691"/>
      <c r="AD17" s="691"/>
      <c r="AE17" s="691"/>
      <c r="AF17" s="691"/>
      <c r="AG17" s="691"/>
      <c r="AH17" s="691"/>
      <c r="AI17" s="691"/>
      <c r="AJ17" s="691"/>
      <c r="AK17" s="691"/>
      <c r="AL17" s="691"/>
      <c r="AM17" s="691"/>
      <c r="AN17" s="691"/>
      <c r="AO17" s="691"/>
      <c r="AP17" s="691"/>
      <c r="AQ17" s="691"/>
      <c r="AR17" s="691"/>
      <c r="AS17" s="691"/>
      <c r="AT17" s="691"/>
      <c r="AU17" s="691"/>
      <c r="AV17" s="691"/>
      <c r="AW17" s="691"/>
      <c r="AX17" s="691"/>
      <c r="AY17" s="691"/>
      <c r="AZ17" s="691"/>
      <c r="BA17" s="691"/>
      <c r="BB17" s="691"/>
    </row>
    <row r="18" spans="1:7" s="606" customFormat="1" ht="27.75" customHeight="1" thickBot="1" thickTop="1">
      <c r="A18" s="692">
        <v>8</v>
      </c>
      <c r="B18" s="693" t="s">
        <v>294</v>
      </c>
      <c r="C18" s="694" t="s">
        <v>295</v>
      </c>
      <c r="D18" s="695">
        <v>300</v>
      </c>
      <c r="E18" s="696"/>
      <c r="F18" s="697">
        <v>250</v>
      </c>
      <c r="G18" s="698" t="s">
        <v>296</v>
      </c>
    </row>
    <row r="19" spans="1:7" s="606" customFormat="1" ht="19.5" customHeight="1" thickBot="1" thickTop="1">
      <c r="A19" s="665">
        <v>801</v>
      </c>
      <c r="B19" s="699" t="s">
        <v>221</v>
      </c>
      <c r="C19" s="667"/>
      <c r="D19" s="700"/>
      <c r="E19" s="701"/>
      <c r="F19" s="689">
        <f>F20+F21+F22</f>
        <v>1605.9</v>
      </c>
      <c r="G19" s="702"/>
    </row>
    <row r="20" spans="1:7" s="606" customFormat="1" ht="18" customHeight="1" thickTop="1">
      <c r="A20" s="573">
        <v>9</v>
      </c>
      <c r="B20" s="703" t="s">
        <v>223</v>
      </c>
      <c r="C20" s="676"/>
      <c r="D20" s="704">
        <v>69</v>
      </c>
      <c r="E20" s="705"/>
      <c r="F20" s="706">
        <v>69</v>
      </c>
      <c r="G20" s="678" t="s">
        <v>297</v>
      </c>
    </row>
    <row r="21" spans="1:7" s="606" customFormat="1" ht="20.25" customHeight="1">
      <c r="A21" s="573">
        <v>10</v>
      </c>
      <c r="B21" s="703" t="s">
        <v>298</v>
      </c>
      <c r="C21" s="676"/>
      <c r="D21" s="704">
        <v>24.4</v>
      </c>
      <c r="E21" s="705"/>
      <c r="F21" s="706">
        <v>24.4</v>
      </c>
      <c r="G21" s="678" t="s">
        <v>299</v>
      </c>
    </row>
    <row r="22" spans="1:7" s="606" customFormat="1" ht="20.25" customHeight="1">
      <c r="A22" s="685">
        <v>11</v>
      </c>
      <c r="B22" s="707" t="s">
        <v>300</v>
      </c>
      <c r="C22" s="681"/>
      <c r="D22" s="708">
        <v>1600</v>
      </c>
      <c r="E22" s="709"/>
      <c r="F22" s="686">
        <v>1512.5</v>
      </c>
      <c r="G22" s="683" t="s">
        <v>301</v>
      </c>
    </row>
    <row r="23" spans="1:7" s="606" customFormat="1" ht="21" customHeight="1" thickBot="1">
      <c r="A23" s="710">
        <v>854</v>
      </c>
      <c r="B23" s="711" t="s">
        <v>232</v>
      </c>
      <c r="C23" s="712"/>
      <c r="D23" s="713"/>
      <c r="E23" s="714"/>
      <c r="F23" s="715">
        <f>F24</f>
        <v>160</v>
      </c>
      <c r="G23" s="716"/>
    </row>
    <row r="24" spans="1:7" s="606" customFormat="1" ht="19.5" customHeight="1" thickBot="1" thickTop="1">
      <c r="A24" s="573">
        <v>12</v>
      </c>
      <c r="B24" s="717" t="s">
        <v>234</v>
      </c>
      <c r="C24" s="676"/>
      <c r="D24" s="718">
        <v>400</v>
      </c>
      <c r="E24" s="677">
        <v>147</v>
      </c>
      <c r="F24" s="677">
        <v>160</v>
      </c>
      <c r="G24" s="678" t="s">
        <v>302</v>
      </c>
    </row>
    <row r="25" spans="1:7" s="606" customFormat="1" ht="32.25" customHeight="1" thickBot="1" thickTop="1">
      <c r="A25" s="665">
        <v>900</v>
      </c>
      <c r="B25" s="719" t="s">
        <v>236</v>
      </c>
      <c r="C25" s="667"/>
      <c r="D25" s="700"/>
      <c r="E25" s="701"/>
      <c r="F25" s="668">
        <f>SUM(F26:F36)</f>
        <v>5605</v>
      </c>
      <c r="G25" s="720"/>
    </row>
    <row r="26" spans="1:7" s="606" customFormat="1" ht="24.75" customHeight="1" thickTop="1">
      <c r="A26" s="721">
        <v>13</v>
      </c>
      <c r="B26" s="722" t="s">
        <v>238</v>
      </c>
      <c r="C26" s="723"/>
      <c r="D26" s="724">
        <v>22604</v>
      </c>
      <c r="E26" s="725">
        <v>3114</v>
      </c>
      <c r="F26" s="726">
        <v>3000</v>
      </c>
      <c r="G26" s="727" t="s">
        <v>303</v>
      </c>
    </row>
    <row r="27" spans="1:7" ht="37.5" customHeight="1">
      <c r="A27" s="728">
        <v>14</v>
      </c>
      <c r="B27" s="729" t="s">
        <v>304</v>
      </c>
      <c r="C27" s="676" t="s">
        <v>295</v>
      </c>
      <c r="D27" s="730">
        <v>1250</v>
      </c>
      <c r="E27" s="730">
        <v>50</v>
      </c>
      <c r="F27" s="730">
        <v>500</v>
      </c>
      <c r="G27" s="678" t="s">
        <v>305</v>
      </c>
    </row>
    <row r="28" spans="1:54" s="606" customFormat="1" ht="27" customHeight="1">
      <c r="A28" s="731">
        <v>15</v>
      </c>
      <c r="B28" s="732" t="s">
        <v>242</v>
      </c>
      <c r="C28" s="681" t="s">
        <v>295</v>
      </c>
      <c r="D28" s="733">
        <v>5250</v>
      </c>
      <c r="E28" s="733">
        <v>550</v>
      </c>
      <c r="F28" s="733">
        <v>50</v>
      </c>
      <c r="G28" s="734" t="s">
        <v>306</v>
      </c>
      <c r="H28" s="4"/>
      <c r="I28" s="4"/>
      <c r="J28" s="4"/>
      <c r="K28" s="4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</row>
    <row r="29" spans="1:54" s="606" customFormat="1" ht="19.5" customHeight="1">
      <c r="A29" s="735">
        <v>16</v>
      </c>
      <c r="B29" s="736" t="s">
        <v>307</v>
      </c>
      <c r="C29" s="681"/>
      <c r="D29" s="737">
        <v>1000</v>
      </c>
      <c r="E29" s="737">
        <v>180</v>
      </c>
      <c r="F29" s="737">
        <v>200</v>
      </c>
      <c r="G29" s="738" t="s">
        <v>308</v>
      </c>
      <c r="H29" s="4"/>
      <c r="I29" s="4"/>
      <c r="J29" s="4"/>
      <c r="K29" s="4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</row>
    <row r="30" spans="1:54" s="606" customFormat="1" ht="30" customHeight="1">
      <c r="A30" s="735">
        <v>17</v>
      </c>
      <c r="B30" s="736" t="s">
        <v>241</v>
      </c>
      <c r="C30" s="681"/>
      <c r="D30" s="737">
        <v>7678.3</v>
      </c>
      <c r="E30" s="737">
        <v>498.3</v>
      </c>
      <c r="F30" s="737">
        <v>1000</v>
      </c>
      <c r="G30" s="738" t="s">
        <v>309</v>
      </c>
      <c r="H30" s="4"/>
      <c r="I30" s="4"/>
      <c r="J30" s="4"/>
      <c r="K30" s="4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</row>
    <row r="31" spans="1:54" s="606" customFormat="1" ht="21" customHeight="1">
      <c r="A31" s="735">
        <v>18</v>
      </c>
      <c r="B31" s="736" t="s">
        <v>247</v>
      </c>
      <c r="C31" s="681"/>
      <c r="D31" s="737" t="s">
        <v>310</v>
      </c>
      <c r="E31" s="737"/>
      <c r="F31" s="737">
        <v>75</v>
      </c>
      <c r="G31" s="738" t="s">
        <v>247</v>
      </c>
      <c r="H31" s="4"/>
      <c r="I31" s="4"/>
      <c r="J31" s="4"/>
      <c r="K31" s="4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</row>
    <row r="32" spans="1:54" s="606" customFormat="1" ht="26.25" customHeight="1">
      <c r="A32" s="735">
        <v>19</v>
      </c>
      <c r="B32" s="736" t="s">
        <v>249</v>
      </c>
      <c r="C32" s="681" t="s">
        <v>311</v>
      </c>
      <c r="D32" s="737">
        <v>7390</v>
      </c>
      <c r="E32" s="737">
        <v>1300</v>
      </c>
      <c r="F32" s="737">
        <v>200</v>
      </c>
      <c r="G32" s="738" t="s">
        <v>312</v>
      </c>
      <c r="H32" s="4"/>
      <c r="I32" s="4"/>
      <c r="J32" s="4"/>
      <c r="K32" s="4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</row>
    <row r="33" spans="1:7" ht="26.25" customHeight="1">
      <c r="A33" s="679">
        <v>20</v>
      </c>
      <c r="B33" s="680" t="s">
        <v>248</v>
      </c>
      <c r="C33" s="681" t="s">
        <v>311</v>
      </c>
      <c r="D33" s="682">
        <v>1500</v>
      </c>
      <c r="E33" s="682">
        <v>1560</v>
      </c>
      <c r="F33" s="682">
        <v>100</v>
      </c>
      <c r="G33" s="683" t="s">
        <v>313</v>
      </c>
    </row>
    <row r="34" spans="1:7" ht="18" customHeight="1">
      <c r="A34" s="679">
        <v>21</v>
      </c>
      <c r="B34" s="680" t="s">
        <v>250</v>
      </c>
      <c r="C34" s="681" t="s">
        <v>311</v>
      </c>
      <c r="D34" s="739" t="s">
        <v>314</v>
      </c>
      <c r="E34" s="680"/>
      <c r="F34" s="682">
        <v>150</v>
      </c>
      <c r="G34" s="683" t="s">
        <v>315</v>
      </c>
    </row>
    <row r="35" spans="1:7" ht="20.25" customHeight="1">
      <c r="A35" s="679">
        <v>22</v>
      </c>
      <c r="B35" s="680" t="s">
        <v>251</v>
      </c>
      <c r="C35" s="681" t="s">
        <v>311</v>
      </c>
      <c r="D35" s="739" t="s">
        <v>314</v>
      </c>
      <c r="E35" s="680"/>
      <c r="F35" s="682">
        <v>100</v>
      </c>
      <c r="G35" s="683" t="s">
        <v>316</v>
      </c>
    </row>
    <row r="36" spans="1:7" ht="18" customHeight="1" thickBot="1">
      <c r="A36" s="740">
        <v>23</v>
      </c>
      <c r="B36" s="736" t="s">
        <v>253</v>
      </c>
      <c r="C36" s="741" t="s">
        <v>317</v>
      </c>
      <c r="D36" s="742" t="s">
        <v>314</v>
      </c>
      <c r="E36" s="736"/>
      <c r="F36" s="737">
        <v>230</v>
      </c>
      <c r="G36" s="738" t="s">
        <v>318</v>
      </c>
    </row>
    <row r="37" spans="1:7" ht="30.75" customHeight="1" thickBot="1" thickTop="1">
      <c r="A37" s="665">
        <v>921</v>
      </c>
      <c r="B37" s="743" t="s">
        <v>254</v>
      </c>
      <c r="C37" s="667"/>
      <c r="D37" s="744"/>
      <c r="E37" s="666"/>
      <c r="F37" s="668">
        <f>F38+F39</f>
        <v>276</v>
      </c>
      <c r="G37" s="720"/>
    </row>
    <row r="38" spans="1:7" ht="26.25" customHeight="1" thickTop="1">
      <c r="A38" s="728">
        <v>24</v>
      </c>
      <c r="B38" s="729" t="s">
        <v>258</v>
      </c>
      <c r="C38" s="745" t="s">
        <v>319</v>
      </c>
      <c r="D38" s="730">
        <v>1118</v>
      </c>
      <c r="E38" s="730">
        <v>118</v>
      </c>
      <c r="F38" s="730">
        <v>100</v>
      </c>
      <c r="G38" s="678" t="s">
        <v>320</v>
      </c>
    </row>
    <row r="39" spans="1:7" ht="19.5" customHeight="1" thickBot="1">
      <c r="A39" s="746">
        <v>25</v>
      </c>
      <c r="B39" s="747" t="s">
        <v>259</v>
      </c>
      <c r="C39" s="748"/>
      <c r="D39" s="749"/>
      <c r="E39" s="749"/>
      <c r="F39" s="750">
        <v>176</v>
      </c>
      <c r="G39" s="673" t="s">
        <v>321</v>
      </c>
    </row>
    <row r="40" spans="1:7" ht="21.75" customHeight="1" thickBot="1" thickTop="1">
      <c r="A40" s="665">
        <v>926</v>
      </c>
      <c r="B40" s="751" t="s">
        <v>263</v>
      </c>
      <c r="C40" s="667"/>
      <c r="D40" s="666"/>
      <c r="E40" s="666"/>
      <c r="F40" s="668">
        <f>F41</f>
        <v>3500</v>
      </c>
      <c r="G40" s="702"/>
    </row>
    <row r="41" spans="1:7" ht="54.75" customHeight="1" thickTop="1">
      <c r="A41" s="752">
        <v>26</v>
      </c>
      <c r="B41" s="753" t="s">
        <v>322</v>
      </c>
      <c r="C41" s="745" t="s">
        <v>323</v>
      </c>
      <c r="D41" s="754">
        <v>15000</v>
      </c>
      <c r="E41" s="754">
        <v>1250</v>
      </c>
      <c r="F41" s="754">
        <v>3500</v>
      </c>
      <c r="G41" s="678" t="s">
        <v>324</v>
      </c>
    </row>
    <row r="42" spans="1:11" s="761" customFormat="1" ht="21.75" customHeight="1" thickBot="1">
      <c r="A42" s="755" t="s">
        <v>1309</v>
      </c>
      <c r="B42" s="756" t="s">
        <v>325</v>
      </c>
      <c r="C42" s="661"/>
      <c r="D42" s="757"/>
      <c r="E42" s="758"/>
      <c r="F42" s="663">
        <f>F43+F60+F62+F66+F68+F70+F74+F79+F64</f>
        <v>31010.2</v>
      </c>
      <c r="G42" s="759"/>
      <c r="H42" s="760"/>
      <c r="I42" s="760"/>
      <c r="J42" s="760"/>
      <c r="K42" s="760"/>
    </row>
    <row r="43" spans="1:7" s="764" customFormat="1" ht="24.75" customHeight="1" thickBot="1" thickTop="1">
      <c r="A43" s="665">
        <v>600</v>
      </c>
      <c r="B43" s="666" t="s">
        <v>184</v>
      </c>
      <c r="C43" s="667"/>
      <c r="D43" s="762"/>
      <c r="E43" s="666"/>
      <c r="F43" s="763">
        <f>SUM(F44:F49)+F52+F53+F54+F55+F56+F57+F58+F59</f>
        <v>16331.2</v>
      </c>
      <c r="G43" s="669"/>
    </row>
    <row r="44" spans="1:7" s="764" customFormat="1" ht="26.25" customHeight="1" thickTop="1">
      <c r="A44" s="679">
        <v>27</v>
      </c>
      <c r="B44" s="765" t="s">
        <v>326</v>
      </c>
      <c r="C44" s="681"/>
      <c r="D44" s="682">
        <v>5200</v>
      </c>
      <c r="E44" s="680"/>
      <c r="F44" s="682">
        <v>5200</v>
      </c>
      <c r="G44" s="683" t="s">
        <v>327</v>
      </c>
    </row>
    <row r="45" spans="1:7" s="764" customFormat="1" ht="18" customHeight="1">
      <c r="A45" s="679">
        <v>28</v>
      </c>
      <c r="B45" s="680" t="s">
        <v>328</v>
      </c>
      <c r="C45" s="681"/>
      <c r="D45" s="682"/>
      <c r="E45" s="680"/>
      <c r="F45" s="682">
        <v>1600</v>
      </c>
      <c r="G45" s="683" t="s">
        <v>329</v>
      </c>
    </row>
    <row r="46" spans="1:7" s="764" customFormat="1" ht="17.25" customHeight="1">
      <c r="A46" s="679">
        <v>29</v>
      </c>
      <c r="B46" s="680" t="s">
        <v>330</v>
      </c>
      <c r="C46" s="681"/>
      <c r="D46" s="682"/>
      <c r="E46" s="680"/>
      <c r="F46" s="682">
        <v>1600</v>
      </c>
      <c r="G46" s="683" t="s">
        <v>331</v>
      </c>
    </row>
    <row r="47" spans="1:7" s="764" customFormat="1" ht="17.25" customHeight="1">
      <c r="A47" s="679">
        <v>30</v>
      </c>
      <c r="B47" s="680" t="s">
        <v>193</v>
      </c>
      <c r="C47" s="681"/>
      <c r="D47" s="682">
        <v>5300</v>
      </c>
      <c r="E47" s="680"/>
      <c r="F47" s="682">
        <v>3000</v>
      </c>
      <c r="G47" s="683" t="s">
        <v>331</v>
      </c>
    </row>
    <row r="48" spans="1:7" s="764" customFormat="1" ht="20.25" customHeight="1">
      <c r="A48" s="679">
        <v>31</v>
      </c>
      <c r="B48" s="766" t="s">
        <v>194</v>
      </c>
      <c r="C48" s="681"/>
      <c r="D48" s="682"/>
      <c r="E48" s="680"/>
      <c r="F48" s="682">
        <v>100</v>
      </c>
      <c r="G48" s="683"/>
    </row>
    <row r="49" spans="1:7" s="764" customFormat="1" ht="25.5" customHeight="1">
      <c r="A49" s="567">
        <v>32</v>
      </c>
      <c r="B49" s="767" t="s">
        <v>332</v>
      </c>
      <c r="C49" s="674" t="s">
        <v>284</v>
      </c>
      <c r="D49" s="768">
        <v>2045.2</v>
      </c>
      <c r="E49" s="769">
        <v>65</v>
      </c>
      <c r="F49" s="768">
        <f>SUM(F50:F51)</f>
        <v>1980.2</v>
      </c>
      <c r="G49" s="2104" t="s">
        <v>333</v>
      </c>
    </row>
    <row r="50" spans="1:11" s="691" customFormat="1" ht="20.25" customHeight="1">
      <c r="A50" s="567"/>
      <c r="B50" s="767" t="s">
        <v>334</v>
      </c>
      <c r="C50" s="674" t="s">
        <v>335</v>
      </c>
      <c r="D50" s="770"/>
      <c r="E50" s="770"/>
      <c r="F50" s="767">
        <v>1485.2</v>
      </c>
      <c r="G50" s="2105"/>
      <c r="H50" s="528"/>
      <c r="I50" s="528"/>
      <c r="J50" s="528"/>
      <c r="K50" s="528"/>
    </row>
    <row r="51" spans="1:11" s="691" customFormat="1" ht="19.5" customHeight="1">
      <c r="A51" s="728"/>
      <c r="B51" s="729" t="s">
        <v>336</v>
      </c>
      <c r="C51" s="676" t="s">
        <v>337</v>
      </c>
      <c r="D51" s="730"/>
      <c r="E51" s="730">
        <v>65</v>
      </c>
      <c r="F51" s="729">
        <v>495</v>
      </c>
      <c r="G51" s="678"/>
      <c r="H51" s="528"/>
      <c r="I51" s="528"/>
      <c r="J51" s="528"/>
      <c r="K51" s="528"/>
    </row>
    <row r="52" spans="1:11" s="691" customFormat="1" ht="19.5" customHeight="1">
      <c r="A52" s="679">
        <v>33</v>
      </c>
      <c r="B52" s="680" t="s">
        <v>338</v>
      </c>
      <c r="C52" s="681" t="s">
        <v>284</v>
      </c>
      <c r="D52" s="682">
        <v>260</v>
      </c>
      <c r="E52" s="682">
        <v>10</v>
      </c>
      <c r="F52" s="680">
        <v>250</v>
      </c>
      <c r="G52" s="683" t="s">
        <v>339</v>
      </c>
      <c r="H52" s="528"/>
      <c r="I52" s="528"/>
      <c r="J52" s="528"/>
      <c r="K52" s="528"/>
    </row>
    <row r="53" spans="1:11" s="691" customFormat="1" ht="31.5">
      <c r="A53" s="740">
        <v>34</v>
      </c>
      <c r="B53" s="736" t="s">
        <v>201</v>
      </c>
      <c r="C53" s="741" t="s">
        <v>284</v>
      </c>
      <c r="D53" s="737">
        <v>150</v>
      </c>
      <c r="E53" s="737"/>
      <c r="F53" s="736">
        <v>150</v>
      </c>
      <c r="G53" s="738" t="s">
        <v>340</v>
      </c>
      <c r="H53" s="528"/>
      <c r="I53" s="528"/>
      <c r="J53" s="528"/>
      <c r="K53" s="528"/>
    </row>
    <row r="54" spans="1:11" s="691" customFormat="1" ht="16.5" customHeight="1">
      <c r="A54" s="679">
        <v>35</v>
      </c>
      <c r="B54" s="680" t="s">
        <v>341</v>
      </c>
      <c r="C54" s="681"/>
      <c r="D54" s="682">
        <v>1500</v>
      </c>
      <c r="E54" s="680"/>
      <c r="F54" s="682">
        <v>1500</v>
      </c>
      <c r="G54" s="683" t="s">
        <v>342</v>
      </c>
      <c r="H54" s="528"/>
      <c r="I54" s="528"/>
      <c r="J54" s="528"/>
      <c r="K54" s="528"/>
    </row>
    <row r="55" spans="1:11" s="691" customFormat="1" ht="18.75" customHeight="1">
      <c r="A55" s="679">
        <v>36</v>
      </c>
      <c r="B55" s="680" t="s">
        <v>343</v>
      </c>
      <c r="C55" s="681"/>
      <c r="D55" s="682">
        <v>600</v>
      </c>
      <c r="E55" s="682"/>
      <c r="F55" s="682">
        <v>600</v>
      </c>
      <c r="G55" s="683" t="s">
        <v>344</v>
      </c>
      <c r="H55" s="528"/>
      <c r="I55" s="528"/>
      <c r="J55" s="528"/>
      <c r="K55" s="528"/>
    </row>
    <row r="56" spans="1:11" s="691" customFormat="1" ht="24" customHeight="1">
      <c r="A56" s="679">
        <v>37</v>
      </c>
      <c r="B56" s="680" t="s">
        <v>206</v>
      </c>
      <c r="C56" s="681"/>
      <c r="D56" s="682">
        <v>170</v>
      </c>
      <c r="E56" s="680"/>
      <c r="F56" s="682">
        <v>170</v>
      </c>
      <c r="G56" s="683" t="s">
        <v>344</v>
      </c>
      <c r="H56" s="528"/>
      <c r="I56" s="528"/>
      <c r="J56" s="528"/>
      <c r="K56" s="528"/>
    </row>
    <row r="57" spans="1:11" s="691" customFormat="1" ht="22.5" customHeight="1">
      <c r="A57" s="679">
        <v>38</v>
      </c>
      <c r="B57" s="680" t="s">
        <v>345</v>
      </c>
      <c r="C57" s="681"/>
      <c r="D57" s="682">
        <v>100</v>
      </c>
      <c r="E57" s="680"/>
      <c r="F57" s="682">
        <v>100</v>
      </c>
      <c r="G57" s="683" t="s">
        <v>344</v>
      </c>
      <c r="H57" s="528"/>
      <c r="I57" s="528"/>
      <c r="J57" s="528"/>
      <c r="K57" s="528"/>
    </row>
    <row r="58" spans="1:11" s="691" customFormat="1" ht="19.5" customHeight="1">
      <c r="A58" s="679">
        <v>39</v>
      </c>
      <c r="B58" s="680" t="s">
        <v>346</v>
      </c>
      <c r="C58" s="681"/>
      <c r="D58" s="682">
        <v>100</v>
      </c>
      <c r="E58" s="680"/>
      <c r="F58" s="682">
        <v>80</v>
      </c>
      <c r="G58" s="683" t="s">
        <v>347</v>
      </c>
      <c r="H58" s="528"/>
      <c r="I58" s="528"/>
      <c r="J58" s="528"/>
      <c r="K58" s="528"/>
    </row>
    <row r="59" spans="1:11" s="691" customFormat="1" ht="21.75" customHeight="1" thickBot="1">
      <c r="A59" s="740">
        <v>40</v>
      </c>
      <c r="B59" s="736" t="s">
        <v>348</v>
      </c>
      <c r="C59" s="741"/>
      <c r="D59" s="737">
        <v>1</v>
      </c>
      <c r="E59" s="736"/>
      <c r="F59" s="737">
        <v>1</v>
      </c>
      <c r="G59" s="738" t="s">
        <v>349</v>
      </c>
      <c r="H59" s="528"/>
      <c r="I59" s="528"/>
      <c r="J59" s="528"/>
      <c r="K59" s="528"/>
    </row>
    <row r="60" spans="1:11" s="691" customFormat="1" ht="18.75" customHeight="1" thickBot="1" thickTop="1">
      <c r="A60" s="665">
        <v>700</v>
      </c>
      <c r="B60" s="666" t="s">
        <v>211</v>
      </c>
      <c r="C60" s="667"/>
      <c r="D60" s="666"/>
      <c r="E60" s="666"/>
      <c r="F60" s="668">
        <f>F61</f>
        <v>6500</v>
      </c>
      <c r="G60" s="720"/>
      <c r="H60" s="528"/>
      <c r="I60" s="528"/>
      <c r="J60" s="528"/>
      <c r="K60" s="528"/>
    </row>
    <row r="61" spans="1:11" s="691" customFormat="1" ht="21" customHeight="1" thickBot="1" thickTop="1">
      <c r="A61" s="567">
        <v>41</v>
      </c>
      <c r="B61" s="767" t="s">
        <v>213</v>
      </c>
      <c r="C61" s="674"/>
      <c r="D61" s="770">
        <v>6500</v>
      </c>
      <c r="E61" s="767"/>
      <c r="F61" s="770">
        <v>6500</v>
      </c>
      <c r="G61" s="673" t="s">
        <v>213</v>
      </c>
      <c r="H61" s="528"/>
      <c r="I61" s="528"/>
      <c r="J61" s="528"/>
      <c r="K61" s="528"/>
    </row>
    <row r="62" spans="1:11" s="691" customFormat="1" ht="33" customHeight="1" thickBot="1" thickTop="1">
      <c r="A62" s="665">
        <v>754</v>
      </c>
      <c r="B62" s="687" t="s">
        <v>293</v>
      </c>
      <c r="C62" s="667"/>
      <c r="D62" s="763"/>
      <c r="E62" s="688"/>
      <c r="F62" s="668">
        <f>F63</f>
        <v>30</v>
      </c>
      <c r="G62" s="684"/>
      <c r="H62" s="528"/>
      <c r="I62" s="528"/>
      <c r="J62" s="528"/>
      <c r="K62" s="528"/>
    </row>
    <row r="63" spans="1:11" s="691" customFormat="1" ht="30" customHeight="1" thickBot="1" thickTop="1">
      <c r="A63" s="771">
        <v>42</v>
      </c>
      <c r="B63" s="772" t="s">
        <v>220</v>
      </c>
      <c r="C63" s="671"/>
      <c r="D63" s="775">
        <v>1161</v>
      </c>
      <c r="E63" s="776"/>
      <c r="F63" s="777">
        <v>30</v>
      </c>
      <c r="G63" s="778" t="s">
        <v>350</v>
      </c>
      <c r="H63" s="528"/>
      <c r="I63" s="528"/>
      <c r="J63" s="528"/>
      <c r="K63" s="528"/>
    </row>
    <row r="64" spans="1:11" s="691" customFormat="1" ht="24" customHeight="1" thickBot="1" thickTop="1">
      <c r="A64" s="665">
        <v>851</v>
      </c>
      <c r="B64" s="699" t="s">
        <v>227</v>
      </c>
      <c r="C64" s="667"/>
      <c r="D64" s="779"/>
      <c r="E64" s="701"/>
      <c r="F64" s="689">
        <f>F65</f>
        <v>120</v>
      </c>
      <c r="G64" s="702"/>
      <c r="H64" s="528"/>
      <c r="I64" s="528"/>
      <c r="J64" s="528"/>
      <c r="K64" s="528"/>
    </row>
    <row r="65" spans="1:11" s="691" customFormat="1" ht="30" customHeight="1" thickBot="1" thickTop="1">
      <c r="A65" s="570">
        <v>43</v>
      </c>
      <c r="B65" s="780" t="s">
        <v>351</v>
      </c>
      <c r="C65" s="781"/>
      <c r="D65" s="782">
        <v>120</v>
      </c>
      <c r="E65" s="783"/>
      <c r="F65" s="784">
        <v>120</v>
      </c>
      <c r="G65" s="673"/>
      <c r="H65" s="528"/>
      <c r="I65" s="528"/>
      <c r="J65" s="528"/>
      <c r="K65" s="528"/>
    </row>
    <row r="66" spans="1:11" s="691" customFormat="1" ht="23.25" customHeight="1" thickBot="1" thickTop="1">
      <c r="A66" s="665">
        <v>852</v>
      </c>
      <c r="B66" s="699" t="s">
        <v>230</v>
      </c>
      <c r="C66" s="667"/>
      <c r="D66" s="785"/>
      <c r="E66" s="701"/>
      <c r="F66" s="668">
        <f>F67</f>
        <v>1000</v>
      </c>
      <c r="G66" s="702"/>
      <c r="H66" s="528"/>
      <c r="I66" s="528"/>
      <c r="J66" s="528"/>
      <c r="K66" s="528"/>
    </row>
    <row r="67" spans="1:11" s="691" customFormat="1" ht="25.5" customHeight="1" thickBot="1" thickTop="1">
      <c r="A67" s="570">
        <v>44</v>
      </c>
      <c r="B67" s="786" t="s">
        <v>352</v>
      </c>
      <c r="C67" s="674"/>
      <c r="D67" s="787"/>
      <c r="E67" s="788"/>
      <c r="F67" s="675">
        <v>1000</v>
      </c>
      <c r="G67" s="673" t="s">
        <v>353</v>
      </c>
      <c r="H67" s="528"/>
      <c r="I67" s="528"/>
      <c r="J67" s="528"/>
      <c r="K67" s="528"/>
    </row>
    <row r="68" spans="1:11" s="691" customFormat="1" ht="22.5" customHeight="1" thickBot="1" thickTop="1">
      <c r="A68" s="665">
        <v>854</v>
      </c>
      <c r="B68" s="719" t="s">
        <v>232</v>
      </c>
      <c r="C68" s="667"/>
      <c r="D68" s="700"/>
      <c r="E68" s="701"/>
      <c r="F68" s="789">
        <f>F69</f>
        <v>35</v>
      </c>
      <c r="G68" s="702"/>
      <c r="H68" s="528"/>
      <c r="I68" s="528"/>
      <c r="J68" s="528"/>
      <c r="K68" s="528"/>
    </row>
    <row r="69" spans="1:11" s="691" customFormat="1" ht="27" customHeight="1" thickBot="1" thickTop="1">
      <c r="A69" s="570">
        <v>45</v>
      </c>
      <c r="B69" s="786" t="s">
        <v>354</v>
      </c>
      <c r="C69" s="674"/>
      <c r="D69" s="790"/>
      <c r="E69" s="788"/>
      <c r="F69" s="675">
        <v>35</v>
      </c>
      <c r="G69" s="673" t="s">
        <v>355</v>
      </c>
      <c r="H69" s="528"/>
      <c r="I69" s="528"/>
      <c r="J69" s="528"/>
      <c r="K69" s="528"/>
    </row>
    <row r="70" spans="1:11" s="691" customFormat="1" ht="33" customHeight="1" thickBot="1" thickTop="1">
      <c r="A70" s="665">
        <v>900</v>
      </c>
      <c r="B70" s="719" t="s">
        <v>236</v>
      </c>
      <c r="C70" s="667"/>
      <c r="D70" s="700"/>
      <c r="E70" s="701"/>
      <c r="F70" s="668">
        <f>SUM(F71:F73)</f>
        <v>900</v>
      </c>
      <c r="G70" s="720"/>
      <c r="H70" s="528"/>
      <c r="I70" s="528"/>
      <c r="J70" s="528"/>
      <c r="K70" s="528"/>
    </row>
    <row r="71" spans="1:11" s="691" customFormat="1" ht="24.75" customHeight="1" thickTop="1">
      <c r="A71" s="791">
        <v>46</v>
      </c>
      <c r="B71" s="792" t="s">
        <v>243</v>
      </c>
      <c r="C71" s="793"/>
      <c r="D71" s="794">
        <v>2460</v>
      </c>
      <c r="E71" s="794"/>
      <c r="F71" s="794">
        <v>100</v>
      </c>
      <c r="G71" s="727" t="s">
        <v>356</v>
      </c>
      <c r="H71" s="528"/>
      <c r="I71" s="528"/>
      <c r="J71" s="528"/>
      <c r="K71" s="528"/>
    </row>
    <row r="72" spans="1:11" s="691" customFormat="1" ht="21" customHeight="1">
      <c r="A72" s="795">
        <v>47</v>
      </c>
      <c r="B72" s="729" t="s">
        <v>245</v>
      </c>
      <c r="C72" s="676"/>
      <c r="D72" s="730">
        <v>200</v>
      </c>
      <c r="E72" s="730"/>
      <c r="F72" s="730">
        <v>200</v>
      </c>
      <c r="G72" s="678" t="s">
        <v>357</v>
      </c>
      <c r="H72" s="528"/>
      <c r="I72" s="528"/>
      <c r="J72" s="528"/>
      <c r="K72" s="528"/>
    </row>
    <row r="73" spans="1:11" s="691" customFormat="1" ht="27.75" customHeight="1" thickBot="1">
      <c r="A73" s="679">
        <v>48</v>
      </c>
      <c r="B73" s="680" t="s">
        <v>252</v>
      </c>
      <c r="C73" s="681"/>
      <c r="D73" s="796">
        <v>3008.3</v>
      </c>
      <c r="E73" s="682"/>
      <c r="F73" s="682">
        <v>600</v>
      </c>
      <c r="G73" s="683" t="s">
        <v>358</v>
      </c>
      <c r="H73" s="528"/>
      <c r="I73" s="528"/>
      <c r="J73" s="528"/>
      <c r="K73" s="528"/>
    </row>
    <row r="74" spans="1:20" s="691" customFormat="1" ht="35.25" customHeight="1" thickBot="1" thickTop="1">
      <c r="A74" s="665">
        <v>921</v>
      </c>
      <c r="B74" s="743" t="s">
        <v>254</v>
      </c>
      <c r="C74" s="667"/>
      <c r="D74" s="744"/>
      <c r="E74" s="666"/>
      <c r="F74" s="797">
        <f>SUM(F75:F76)</f>
        <v>2094</v>
      </c>
      <c r="G74" s="720"/>
      <c r="H74" s="4"/>
      <c r="I74" s="4"/>
      <c r="J74" s="4"/>
      <c r="K74" s="4"/>
      <c r="L74"/>
      <c r="M74"/>
      <c r="N74"/>
      <c r="O74"/>
      <c r="P74"/>
      <c r="Q74"/>
      <c r="R74"/>
      <c r="S74"/>
      <c r="T74"/>
    </row>
    <row r="75" spans="1:20" s="691" customFormat="1" ht="18" customHeight="1" thickTop="1">
      <c r="A75" s="798">
        <v>49</v>
      </c>
      <c r="B75" s="799" t="s">
        <v>256</v>
      </c>
      <c r="C75" s="676" t="s">
        <v>359</v>
      </c>
      <c r="D75" s="677">
        <v>8500</v>
      </c>
      <c r="E75" s="677">
        <v>650</v>
      </c>
      <c r="F75" s="677">
        <v>200</v>
      </c>
      <c r="G75" s="800" t="s">
        <v>360</v>
      </c>
      <c r="H75" s="4"/>
      <c r="I75" s="4"/>
      <c r="J75" s="4"/>
      <c r="K75" s="4"/>
      <c r="L75"/>
      <c r="M75"/>
      <c r="N75"/>
      <c r="O75"/>
      <c r="P75"/>
      <c r="Q75"/>
      <c r="R75"/>
      <c r="S75"/>
      <c r="T75"/>
    </row>
    <row r="76" spans="1:7" ht="20.25" customHeight="1">
      <c r="A76" s="584">
        <v>50</v>
      </c>
      <c r="B76" s="801" t="s">
        <v>361</v>
      </c>
      <c r="C76" s="681" t="s">
        <v>362</v>
      </c>
      <c r="D76" s="686">
        <v>2080</v>
      </c>
      <c r="E76" s="686">
        <v>75</v>
      </c>
      <c r="F76" s="802">
        <f>SUM(F77:F78)</f>
        <v>1894</v>
      </c>
      <c r="G76" s="683" t="s">
        <v>363</v>
      </c>
    </row>
    <row r="77" spans="1:7" ht="24.75" customHeight="1">
      <c r="A77" s="565"/>
      <c r="B77" s="803" t="s">
        <v>364</v>
      </c>
      <c r="C77" s="741" t="s">
        <v>335</v>
      </c>
      <c r="D77" s="804"/>
      <c r="E77" s="805">
        <v>0</v>
      </c>
      <c r="F77" s="806">
        <v>1126.6</v>
      </c>
      <c r="G77" s="738" t="s">
        <v>365</v>
      </c>
    </row>
    <row r="78" spans="1:7" ht="15" customHeight="1" thickBot="1">
      <c r="A78" s="552"/>
      <c r="B78" s="807" t="s">
        <v>366</v>
      </c>
      <c r="C78" s="674" t="s">
        <v>367</v>
      </c>
      <c r="D78" s="675"/>
      <c r="E78" s="675">
        <v>75</v>
      </c>
      <c r="F78" s="553">
        <v>767.4</v>
      </c>
      <c r="G78" s="808"/>
    </row>
    <row r="79" spans="1:7" ht="19.5" customHeight="1" thickBot="1" thickTop="1">
      <c r="A79" s="809">
        <v>926</v>
      </c>
      <c r="B79" s="743" t="s">
        <v>263</v>
      </c>
      <c r="C79" s="667"/>
      <c r="D79" s="810"/>
      <c r="E79" s="810"/>
      <c r="F79" s="668">
        <f>F80</f>
        <v>4000</v>
      </c>
      <c r="G79" s="811"/>
    </row>
    <row r="80" spans="1:7" ht="26.25" customHeight="1" thickTop="1">
      <c r="A80" s="557">
        <v>51</v>
      </c>
      <c r="B80" s="799" t="s">
        <v>266</v>
      </c>
      <c r="C80" s="676" t="s">
        <v>368</v>
      </c>
      <c r="D80" s="677">
        <v>18000</v>
      </c>
      <c r="E80" s="677">
        <v>0</v>
      </c>
      <c r="F80" s="677">
        <v>4000</v>
      </c>
      <c r="G80" s="678" t="s">
        <v>369</v>
      </c>
    </row>
    <row r="81" spans="1:7" ht="32.25" customHeight="1" thickBot="1">
      <c r="A81" s="812"/>
      <c r="B81" s="813" t="s">
        <v>370</v>
      </c>
      <c r="C81" s="814"/>
      <c r="D81" s="815"/>
      <c r="E81" s="815"/>
      <c r="F81" s="816">
        <f>F5+F42</f>
        <v>57377.100000000006</v>
      </c>
      <c r="G81" s="817"/>
    </row>
    <row r="82" spans="1:20" s="691" customFormat="1" ht="24.75" customHeight="1">
      <c r="A82" s="152"/>
      <c r="B82" s="4"/>
      <c r="C82" s="4"/>
      <c r="D82" s="4"/>
      <c r="E82" s="4"/>
      <c r="F82"/>
      <c r="G82"/>
      <c r="H82" s="606"/>
      <c r="I82" s="606"/>
      <c r="J82" s="606"/>
      <c r="K82" s="606"/>
      <c r="L82" s="606"/>
      <c r="M82" s="606"/>
      <c r="N82" s="606"/>
      <c r="O82" s="606"/>
      <c r="P82" s="606"/>
      <c r="Q82" s="606"/>
      <c r="R82" s="606"/>
      <c r="S82" s="606"/>
      <c r="T82" s="606"/>
    </row>
    <row r="83" spans="1:48" s="606" customFormat="1" ht="12.75">
      <c r="A83" s="152"/>
      <c r="B83" s="818"/>
      <c r="C83" s="4"/>
      <c r="D83" s="4"/>
      <c r="E83" s="4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</row>
    <row r="84" spans="1:11" ht="12.75">
      <c r="A84" s="819"/>
      <c r="B84" s="4"/>
      <c r="C84" s="4"/>
      <c r="F84" t="s">
        <v>185</v>
      </c>
      <c r="G84"/>
      <c r="H84"/>
      <c r="I84"/>
      <c r="J84"/>
      <c r="K84"/>
    </row>
    <row r="85" spans="1:11" ht="12.75">
      <c r="A85" s="635"/>
      <c r="B85" s="4"/>
      <c r="C85" s="4"/>
      <c r="F85"/>
      <c r="G85"/>
      <c r="H85"/>
      <c r="I85"/>
      <c r="J85"/>
      <c r="K85"/>
    </row>
    <row r="86" spans="1:11" ht="18.75">
      <c r="A86" s="635"/>
      <c r="B86" s="633"/>
      <c r="C86" s="633"/>
      <c r="D86" s="633"/>
      <c r="E86" s="633"/>
      <c r="F86" s="634"/>
      <c r="G86" s="634"/>
      <c r="H86"/>
      <c r="I86"/>
      <c r="J86"/>
      <c r="K86"/>
    </row>
    <row r="87" spans="1:14" ht="18">
      <c r="A87" s="635"/>
      <c r="B87" s="568"/>
      <c r="C87" s="568"/>
      <c r="D87" s="568"/>
      <c r="E87" s="568"/>
      <c r="F87" s="636"/>
      <c r="G87" s="636"/>
      <c r="H87" s="634"/>
      <c r="I87" s="634"/>
      <c r="J87" s="634"/>
      <c r="K87" s="634"/>
      <c r="L87" s="634"/>
      <c r="M87" s="634"/>
      <c r="N87" s="634"/>
    </row>
    <row r="88" spans="1:48" ht="18">
      <c r="A88" s="635"/>
      <c r="B88" s="568"/>
      <c r="C88" s="568"/>
      <c r="D88" s="568"/>
      <c r="E88" s="568"/>
      <c r="F88" s="636"/>
      <c r="G88" s="636"/>
      <c r="H88" s="636"/>
      <c r="I88" s="636"/>
      <c r="J88" s="636"/>
      <c r="K88" s="636"/>
      <c r="L88" s="636"/>
      <c r="M88" s="636"/>
      <c r="N88" s="636"/>
      <c r="O88" s="634"/>
      <c r="P88" s="634"/>
      <c r="Q88" s="634"/>
      <c r="R88" s="634"/>
      <c r="S88" s="634"/>
      <c r="T88" s="634"/>
      <c r="U88" s="634"/>
      <c r="V88" s="634"/>
      <c r="W88" s="634"/>
      <c r="X88" s="634"/>
      <c r="Y88" s="634"/>
      <c r="Z88" s="634"/>
      <c r="AA88" s="634"/>
      <c r="AB88" s="634"/>
      <c r="AC88" s="634"/>
      <c r="AD88" s="634"/>
      <c r="AE88" s="634"/>
      <c r="AF88" s="634"/>
      <c r="AG88" s="634"/>
      <c r="AH88" s="634"/>
      <c r="AI88" s="634"/>
      <c r="AJ88" s="634"/>
      <c r="AK88" s="634"/>
      <c r="AL88" s="634"/>
      <c r="AM88" s="634"/>
      <c r="AN88" s="634"/>
      <c r="AO88" s="634"/>
      <c r="AP88" s="634"/>
      <c r="AQ88" s="634"/>
      <c r="AR88" s="634"/>
      <c r="AS88" s="634"/>
      <c r="AT88" s="634"/>
      <c r="AU88" s="634"/>
      <c r="AV88" s="634"/>
    </row>
    <row r="89" spans="1:48" s="634" customFormat="1" ht="18">
      <c r="A89" s="637"/>
      <c r="B89" s="568"/>
      <c r="C89" s="568"/>
      <c r="D89" s="568"/>
      <c r="E89" s="568"/>
      <c r="F89" s="636"/>
      <c r="G89" s="636"/>
      <c r="H89" s="636"/>
      <c r="I89" s="636"/>
      <c r="J89" s="636"/>
      <c r="K89" s="636"/>
      <c r="L89" s="636"/>
      <c r="M89" s="636"/>
      <c r="N89" s="636"/>
      <c r="O89" s="636"/>
      <c r="P89" s="636"/>
      <c r="Q89" s="636"/>
      <c r="R89" s="636"/>
      <c r="S89" s="636"/>
      <c r="T89" s="636"/>
      <c r="U89" s="636"/>
      <c r="V89" s="636"/>
      <c r="W89" s="636"/>
      <c r="X89" s="636"/>
      <c r="Y89" s="636"/>
      <c r="Z89" s="636"/>
      <c r="AA89" s="636"/>
      <c r="AB89" s="636"/>
      <c r="AC89" s="636"/>
      <c r="AD89" s="636"/>
      <c r="AE89" s="636"/>
      <c r="AF89" s="636"/>
      <c r="AG89" s="636"/>
      <c r="AH89" s="636"/>
      <c r="AI89" s="636"/>
      <c r="AJ89" s="636"/>
      <c r="AK89" s="636"/>
      <c r="AL89" s="636"/>
      <c r="AM89" s="636"/>
      <c r="AN89" s="636"/>
      <c r="AO89" s="636"/>
      <c r="AP89" s="636"/>
      <c r="AQ89" s="636"/>
      <c r="AR89" s="636"/>
      <c r="AS89" s="636"/>
      <c r="AT89" s="636"/>
      <c r="AU89" s="636"/>
      <c r="AV89" s="636"/>
    </row>
    <row r="90" spans="1:5" s="636" customFormat="1" ht="12.75">
      <c r="A90" s="637"/>
      <c r="B90" s="568"/>
      <c r="C90" s="568"/>
      <c r="D90" s="568"/>
      <c r="E90" s="568"/>
    </row>
    <row r="91" spans="1:7" s="636" customFormat="1" ht="12.75">
      <c r="A91" s="635"/>
      <c r="B91" s="608"/>
      <c r="C91" s="608"/>
      <c r="D91" s="608"/>
      <c r="E91" s="608"/>
      <c r="F91" s="608"/>
      <c r="G91" s="608"/>
    </row>
    <row r="92" spans="1:14" s="636" customFormat="1" ht="12.75">
      <c r="A92" s="635"/>
      <c r="B92" s="608"/>
      <c r="C92" s="608"/>
      <c r="D92" s="608"/>
      <c r="E92" s="608"/>
      <c r="F92" s="608"/>
      <c r="G92" s="608"/>
      <c r="H92" s="608"/>
      <c r="I92" s="608"/>
      <c r="J92" s="608"/>
      <c r="K92" s="608"/>
      <c r="L92" s="608"/>
      <c r="M92" s="608"/>
      <c r="N92" s="608"/>
    </row>
    <row r="93" spans="1:48" s="636" customFormat="1" ht="12.75">
      <c r="A93" s="635"/>
      <c r="D93" s="608"/>
      <c r="E93" s="608"/>
      <c r="F93" s="608"/>
      <c r="G93" s="820"/>
      <c r="H93" s="608"/>
      <c r="I93" s="608"/>
      <c r="J93" s="608"/>
      <c r="K93" s="608"/>
      <c r="L93" s="608"/>
      <c r="M93" s="608"/>
      <c r="N93" s="608"/>
      <c r="O93" s="608"/>
      <c r="P93" s="608"/>
      <c r="Q93" s="608"/>
      <c r="R93" s="608"/>
      <c r="S93" s="608"/>
      <c r="T93" s="608"/>
      <c r="U93" s="608"/>
      <c r="V93" s="608"/>
      <c r="W93" s="608"/>
      <c r="X93" s="608"/>
      <c r="Y93" s="608"/>
      <c r="Z93" s="608"/>
      <c r="AA93" s="608"/>
      <c r="AB93" s="608"/>
      <c r="AC93" s="608"/>
      <c r="AD93" s="608"/>
      <c r="AE93" s="608"/>
      <c r="AF93" s="608"/>
      <c r="AG93" s="608"/>
      <c r="AH93" s="608"/>
      <c r="AI93" s="608"/>
      <c r="AJ93" s="608"/>
      <c r="AK93" s="608"/>
      <c r="AL93" s="608"/>
      <c r="AM93" s="608"/>
      <c r="AN93" s="608"/>
      <c r="AO93" s="608"/>
      <c r="AP93" s="608"/>
      <c r="AQ93" s="608"/>
      <c r="AR93" s="608"/>
      <c r="AS93" s="608"/>
      <c r="AT93" s="608"/>
      <c r="AU93" s="608"/>
      <c r="AV93" s="608"/>
    </row>
    <row r="94" spans="1:20" s="608" customFormat="1" ht="12.75">
      <c r="A94" s="635"/>
      <c r="B94" s="636"/>
      <c r="C94" s="636"/>
      <c r="G94" s="820"/>
      <c r="H94" s="568"/>
      <c r="I94" s="568"/>
      <c r="J94" s="568"/>
      <c r="K94" s="568"/>
      <c r="L94" s="636"/>
      <c r="M94" s="636"/>
      <c r="N94" s="636"/>
      <c r="O94" s="636"/>
      <c r="P94" s="636"/>
      <c r="Q94" s="636"/>
      <c r="R94" s="636"/>
      <c r="S94" s="636"/>
      <c r="T94" s="636"/>
    </row>
    <row r="95" spans="1:54" s="608" customFormat="1" ht="12.75">
      <c r="A95" s="635"/>
      <c r="B95" s="636"/>
      <c r="C95" s="636"/>
      <c r="G95" s="820"/>
      <c r="H95" s="568"/>
      <c r="I95" s="568"/>
      <c r="J95" s="568"/>
      <c r="K95" s="568"/>
      <c r="L95" s="636"/>
      <c r="M95" s="636"/>
      <c r="N95" s="636"/>
      <c r="O95" s="636"/>
      <c r="P95" s="636"/>
      <c r="Q95" s="636"/>
      <c r="R95" s="636"/>
      <c r="S95" s="636"/>
      <c r="T95" s="636"/>
      <c r="U95" s="636"/>
      <c r="V95" s="636"/>
      <c r="W95" s="636"/>
      <c r="X95" s="636"/>
      <c r="Y95" s="636"/>
      <c r="Z95" s="636"/>
      <c r="AA95" s="636"/>
      <c r="AB95" s="636"/>
      <c r="AC95" s="636"/>
      <c r="AD95" s="636"/>
      <c r="AE95" s="636"/>
      <c r="AF95" s="636"/>
      <c r="AG95" s="636"/>
      <c r="AH95" s="636"/>
      <c r="AI95" s="636"/>
      <c r="AJ95" s="636"/>
      <c r="AK95" s="636"/>
      <c r="AL95" s="636"/>
      <c r="AM95" s="636"/>
      <c r="AN95" s="636"/>
      <c r="AO95" s="636"/>
      <c r="AP95" s="636"/>
      <c r="AQ95" s="636"/>
      <c r="AR95" s="636"/>
      <c r="AS95" s="636"/>
      <c r="AT95" s="636"/>
      <c r="AU95" s="636"/>
      <c r="AV95" s="636"/>
      <c r="AW95" s="636"/>
      <c r="AX95" s="636"/>
      <c r="AY95" s="636"/>
      <c r="AZ95" s="636"/>
      <c r="BA95" s="636"/>
      <c r="BB95" s="636"/>
    </row>
    <row r="96" spans="1:11" s="636" customFormat="1" ht="12.75">
      <c r="A96" s="635"/>
      <c r="B96" s="642"/>
      <c r="C96" s="781"/>
      <c r="D96" s="640"/>
      <c r="E96" s="640"/>
      <c r="F96" s="640"/>
      <c r="G96" s="639"/>
      <c r="H96" s="568"/>
      <c r="I96" s="568"/>
      <c r="J96" s="568"/>
      <c r="K96" s="568"/>
    </row>
    <row r="97" spans="1:11" s="636" customFormat="1" ht="12.75">
      <c r="A97" s="639"/>
      <c r="B97" s="642"/>
      <c r="C97" s="781"/>
      <c r="D97" s="640"/>
      <c r="E97" s="640"/>
      <c r="F97" s="640"/>
      <c r="G97" s="639"/>
      <c r="H97" s="568"/>
      <c r="I97" s="568"/>
      <c r="J97" s="568"/>
      <c r="K97" s="568"/>
    </row>
    <row r="98" spans="1:11" s="636" customFormat="1" ht="12.75">
      <c r="A98" s="639"/>
      <c r="B98" s="642"/>
      <c r="C98" s="781"/>
      <c r="D98" s="640"/>
      <c r="E98" s="640"/>
      <c r="F98" s="640"/>
      <c r="G98" s="639"/>
      <c r="H98" s="568"/>
      <c r="I98" s="568"/>
      <c r="J98" s="568"/>
      <c r="K98" s="568"/>
    </row>
    <row r="99" spans="1:11" s="636" customFormat="1" ht="12.75">
      <c r="A99" s="639"/>
      <c r="B99" s="642"/>
      <c r="C99" s="781"/>
      <c r="D99" s="640"/>
      <c r="E99" s="640"/>
      <c r="F99" s="643"/>
      <c r="G99" s="821"/>
      <c r="H99" s="568"/>
      <c r="I99" s="568"/>
      <c r="J99" s="568"/>
      <c r="K99" s="568"/>
    </row>
    <row r="100" spans="1:20" s="636" customFormat="1" ht="12.75">
      <c r="A100" s="639"/>
      <c r="B100" s="642"/>
      <c r="C100" s="781"/>
      <c r="D100" s="640"/>
      <c r="E100" s="640"/>
      <c r="F100" s="640"/>
      <c r="G100" s="639"/>
      <c r="H100" s="640"/>
      <c r="I100" s="641"/>
      <c r="J100" s="641"/>
      <c r="K100" s="641"/>
      <c r="L100" s="642"/>
      <c r="M100" s="642"/>
      <c r="N100" s="642"/>
      <c r="O100" s="642"/>
      <c r="P100" s="642"/>
      <c r="Q100" s="642"/>
      <c r="R100" s="642"/>
      <c r="S100" s="642"/>
      <c r="T100" s="642"/>
    </row>
    <row r="101" spans="1:54" s="636" customFormat="1" ht="12.75">
      <c r="A101" s="639"/>
      <c r="B101" s="642"/>
      <c r="C101" s="781"/>
      <c r="D101" s="640"/>
      <c r="E101" s="640"/>
      <c r="F101" s="640"/>
      <c r="G101" s="639"/>
      <c r="H101" s="640"/>
      <c r="I101" s="641"/>
      <c r="J101" s="641"/>
      <c r="K101" s="641"/>
      <c r="L101" s="642"/>
      <c r="M101" s="642"/>
      <c r="N101" s="642"/>
      <c r="O101" s="642"/>
      <c r="P101" s="642"/>
      <c r="Q101" s="642"/>
      <c r="R101" s="642"/>
      <c r="S101" s="642"/>
      <c r="T101" s="642"/>
      <c r="U101" s="642"/>
      <c r="V101" s="642"/>
      <c r="W101" s="642"/>
      <c r="X101" s="642"/>
      <c r="Y101" s="642"/>
      <c r="Z101" s="642"/>
      <c r="AA101" s="642"/>
      <c r="AB101" s="642"/>
      <c r="AC101" s="642"/>
      <c r="AD101" s="642"/>
      <c r="AE101" s="642"/>
      <c r="AF101" s="642"/>
      <c r="AG101" s="642"/>
      <c r="AH101" s="642"/>
      <c r="AI101" s="642"/>
      <c r="AJ101" s="642"/>
      <c r="AK101" s="642"/>
      <c r="AL101" s="642"/>
      <c r="AM101" s="642"/>
      <c r="AN101" s="642"/>
      <c r="AO101" s="642"/>
      <c r="AP101" s="642"/>
      <c r="AQ101" s="642"/>
      <c r="AR101" s="642"/>
      <c r="AS101" s="642"/>
      <c r="AT101" s="642"/>
      <c r="AU101" s="642"/>
      <c r="AV101" s="642"/>
      <c r="AW101" s="642"/>
      <c r="AX101" s="642"/>
      <c r="AY101" s="642"/>
      <c r="AZ101" s="642"/>
      <c r="BA101" s="642"/>
      <c r="BB101" s="642"/>
    </row>
    <row r="102" spans="1:11" s="642" customFormat="1" ht="12.75">
      <c r="A102" s="639"/>
      <c r="C102" s="781"/>
      <c r="D102" s="640"/>
      <c r="E102" s="640"/>
      <c r="F102" s="640"/>
      <c r="G102" s="639"/>
      <c r="H102" s="640"/>
      <c r="I102" s="641"/>
      <c r="J102" s="641"/>
      <c r="K102" s="641"/>
    </row>
    <row r="103" spans="1:11" s="642" customFormat="1" ht="12.75">
      <c r="A103" s="639"/>
      <c r="C103" s="781"/>
      <c r="D103" s="640"/>
      <c r="E103" s="640"/>
      <c r="F103" s="640"/>
      <c r="G103" s="639"/>
      <c r="H103" s="640"/>
      <c r="I103" s="641"/>
      <c r="J103" s="641"/>
      <c r="K103" s="641"/>
    </row>
    <row r="104" spans="1:11" s="642" customFormat="1" ht="12.75">
      <c r="A104" s="639"/>
      <c r="C104" s="781"/>
      <c r="D104" s="640"/>
      <c r="E104" s="640"/>
      <c r="F104" s="640"/>
      <c r="G104" s="639"/>
      <c r="H104" s="640"/>
      <c r="I104" s="641"/>
      <c r="J104" s="641"/>
      <c r="K104" s="641"/>
    </row>
    <row r="105" spans="1:11" s="642" customFormat="1" ht="12.75">
      <c r="A105" s="639"/>
      <c r="B105" s="528"/>
      <c r="C105" s="647"/>
      <c r="D105" s="4"/>
      <c r="E105" s="4"/>
      <c r="F105" s="4"/>
      <c r="G105" s="648"/>
      <c r="H105" s="640"/>
      <c r="I105" s="641"/>
      <c r="J105" s="641"/>
      <c r="K105" s="641"/>
    </row>
    <row r="106" spans="1:11" s="642" customFormat="1" ht="12.75">
      <c r="A106" s="527"/>
      <c r="B106" s="528"/>
      <c r="C106" s="647"/>
      <c r="D106" s="4"/>
      <c r="E106" s="4"/>
      <c r="F106" s="4"/>
      <c r="G106" s="648"/>
      <c r="H106" s="640"/>
      <c r="I106" s="641"/>
      <c r="J106" s="641"/>
      <c r="K106" s="641"/>
    </row>
    <row r="107" spans="1:11" s="642" customFormat="1" ht="12.75">
      <c r="A107" s="527"/>
      <c r="B107" s="528"/>
      <c r="C107" s="647"/>
      <c r="D107" s="4"/>
      <c r="E107" s="4"/>
      <c r="F107" s="4"/>
      <c r="G107" s="648"/>
      <c r="H107" s="640"/>
      <c r="I107" s="641"/>
      <c r="J107" s="641"/>
      <c r="K107" s="641"/>
    </row>
    <row r="108" spans="1:11" s="642" customFormat="1" ht="12.75">
      <c r="A108" s="527"/>
      <c r="B108" s="528"/>
      <c r="C108" s="647"/>
      <c r="D108" s="4"/>
      <c r="E108" s="4"/>
      <c r="F108" s="4"/>
      <c r="G108" s="648"/>
      <c r="H108" s="640"/>
      <c r="I108" s="641"/>
      <c r="J108" s="641"/>
      <c r="K108" s="641"/>
    </row>
    <row r="109" spans="1:20" s="642" customFormat="1" ht="12.75">
      <c r="A109" s="527"/>
      <c r="B109" s="528"/>
      <c r="C109" s="647"/>
      <c r="D109" s="4"/>
      <c r="E109" s="4"/>
      <c r="F109" s="4"/>
      <c r="G109" s="648"/>
      <c r="H109" s="4"/>
      <c r="I109" s="4"/>
      <c r="J109" s="4"/>
      <c r="K109" s="4"/>
      <c r="L109"/>
      <c r="M109"/>
      <c r="N109"/>
      <c r="O109"/>
      <c r="P109"/>
      <c r="Q109"/>
      <c r="R109"/>
      <c r="S109"/>
      <c r="T109"/>
    </row>
    <row r="110" spans="1:54" s="642" customFormat="1" ht="12.75">
      <c r="A110" s="527"/>
      <c r="B110" s="528"/>
      <c r="C110" s="647"/>
      <c r="D110" s="4"/>
      <c r="E110" s="4"/>
      <c r="F110" s="4"/>
      <c r="G110" s="648"/>
      <c r="H110" s="4"/>
      <c r="I110" s="4"/>
      <c r="J110" s="4"/>
      <c r="K110" s="4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</row>
  </sheetData>
  <mergeCells count="1">
    <mergeCell ref="G49:G5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E5" sqref="E5"/>
    </sheetView>
  </sheetViews>
  <sheetFormatPr defaultColWidth="9.00390625" defaultRowHeight="12.75"/>
  <cols>
    <col min="1" max="1" width="9.125" style="861" customWidth="1"/>
    <col min="2" max="2" width="48.375" style="860" customWidth="1"/>
    <col min="3" max="3" width="17.75390625" style="0" customWidth="1"/>
  </cols>
  <sheetData>
    <row r="1" spans="1:3" ht="18.75">
      <c r="A1" s="822"/>
      <c r="B1" s="823"/>
      <c r="C1" s="824" t="s">
        <v>371</v>
      </c>
    </row>
    <row r="2" spans="1:3" ht="18.75">
      <c r="A2" s="822"/>
      <c r="B2" s="823"/>
      <c r="C2" s="825"/>
    </row>
    <row r="3" spans="1:3" ht="21" customHeight="1">
      <c r="A3" s="826" t="s">
        <v>372</v>
      </c>
      <c r="B3" s="827"/>
      <c r="C3" s="828"/>
    </row>
    <row r="4" spans="1:3" ht="18.75">
      <c r="A4" s="826" t="s">
        <v>373</v>
      </c>
      <c r="B4" s="827"/>
      <c r="C4" s="828"/>
    </row>
    <row r="5" spans="1:3" ht="19.5" thickBot="1">
      <c r="A5" s="822"/>
      <c r="B5" s="823"/>
      <c r="C5" s="824" t="s">
        <v>1420</v>
      </c>
    </row>
    <row r="6" spans="1:3" ht="26.25" customHeight="1" thickTop="1">
      <c r="A6" s="829" t="s">
        <v>1315</v>
      </c>
      <c r="B6" s="830" t="s">
        <v>1316</v>
      </c>
      <c r="C6" s="831" t="s">
        <v>374</v>
      </c>
    </row>
    <row r="7" spans="1:3" s="571" customFormat="1" ht="13.5" thickBot="1">
      <c r="A7" s="832">
        <v>1</v>
      </c>
      <c r="B7" s="833">
        <v>2</v>
      </c>
      <c r="C7" s="834">
        <v>3</v>
      </c>
    </row>
    <row r="8" spans="1:3" s="761" customFormat="1" ht="24" customHeight="1" thickBot="1" thickTop="1">
      <c r="A8" s="835" t="s">
        <v>1323</v>
      </c>
      <c r="B8" s="836" t="s">
        <v>375</v>
      </c>
      <c r="C8" s="837">
        <f>C9+C11+C17+C19</f>
        <v>1243200</v>
      </c>
    </row>
    <row r="9" spans="1:3" s="841" customFormat="1" ht="25.5" customHeight="1" thickBot="1" thickTop="1">
      <c r="A9" s="838">
        <v>1</v>
      </c>
      <c r="B9" s="839" t="s">
        <v>376</v>
      </c>
      <c r="C9" s="840">
        <f>C10</f>
        <v>23000</v>
      </c>
    </row>
    <row r="10" spans="1:3" s="618" customFormat="1" ht="45" customHeight="1" thickBot="1" thickTop="1">
      <c r="A10" s="842"/>
      <c r="B10" s="638" t="s">
        <v>377</v>
      </c>
      <c r="C10" s="843">
        <v>23000</v>
      </c>
    </row>
    <row r="11" spans="1:3" s="841" customFormat="1" ht="23.25" customHeight="1" thickBot="1" thickTop="1">
      <c r="A11" s="838">
        <v>2</v>
      </c>
      <c r="B11" s="687" t="s">
        <v>378</v>
      </c>
      <c r="C11" s="844">
        <f>SUM(C12:C16)</f>
        <v>1193400</v>
      </c>
    </row>
    <row r="12" spans="1:3" s="618" customFormat="1" ht="18.75" customHeight="1" thickTop="1">
      <c r="A12" s="845"/>
      <c r="B12" s="846" t="s">
        <v>379</v>
      </c>
      <c r="C12" s="847">
        <v>500000</v>
      </c>
    </row>
    <row r="13" spans="1:3" s="618" customFormat="1" ht="18.75" customHeight="1">
      <c r="A13" s="842"/>
      <c r="B13" s="848" t="s">
        <v>380</v>
      </c>
      <c r="C13" s="849">
        <v>140000</v>
      </c>
    </row>
    <row r="14" spans="1:3" s="618" customFormat="1" ht="19.5" customHeight="1">
      <c r="A14" s="850"/>
      <c r="B14" s="848" t="s">
        <v>381</v>
      </c>
      <c r="C14" s="849">
        <v>60000</v>
      </c>
    </row>
    <row r="15" spans="1:3" s="618" customFormat="1" ht="28.5" customHeight="1">
      <c r="A15" s="850"/>
      <c r="B15" s="638" t="s">
        <v>382</v>
      </c>
      <c r="C15" s="849">
        <v>8400</v>
      </c>
    </row>
    <row r="16" spans="1:3" s="618" customFormat="1" ht="29.25" customHeight="1" thickBot="1">
      <c r="A16" s="851"/>
      <c r="B16" s="852" t="s">
        <v>383</v>
      </c>
      <c r="C16" s="853">
        <v>485000</v>
      </c>
    </row>
    <row r="17" spans="1:3" s="841" customFormat="1" ht="31.5" customHeight="1" thickBot="1" thickTop="1">
      <c r="A17" s="838">
        <v>3</v>
      </c>
      <c r="B17" s="687" t="s">
        <v>384</v>
      </c>
      <c r="C17" s="844">
        <f>C18</f>
        <v>7000</v>
      </c>
    </row>
    <row r="18" spans="1:3" s="618" customFormat="1" ht="21" customHeight="1" thickBot="1" thickTop="1">
      <c r="A18" s="851"/>
      <c r="B18" s="852" t="s">
        <v>385</v>
      </c>
      <c r="C18" s="853">
        <v>7000</v>
      </c>
    </row>
    <row r="19" spans="1:3" s="551" customFormat="1" ht="24.75" customHeight="1" thickBot="1" thickTop="1">
      <c r="A19" s="838">
        <v>4</v>
      </c>
      <c r="B19" s="854" t="s">
        <v>386</v>
      </c>
      <c r="C19" s="840">
        <f>C20</f>
        <v>19800</v>
      </c>
    </row>
    <row r="20" spans="1:3" s="618" customFormat="1" ht="20.25" customHeight="1" thickBot="1" thickTop="1">
      <c r="A20" s="842"/>
      <c r="B20" s="638" t="s">
        <v>387</v>
      </c>
      <c r="C20" s="849">
        <v>19800</v>
      </c>
    </row>
    <row r="21" spans="1:3" s="578" customFormat="1" ht="24.75" customHeight="1" thickBot="1" thickTop="1">
      <c r="A21" s="835" t="s">
        <v>1389</v>
      </c>
      <c r="B21" s="855" t="s">
        <v>388</v>
      </c>
      <c r="C21" s="856">
        <f>C22+C24</f>
        <v>20200</v>
      </c>
    </row>
    <row r="22" spans="1:3" s="551" customFormat="1" ht="26.25" customHeight="1" thickBot="1" thickTop="1">
      <c r="A22" s="857">
        <v>5</v>
      </c>
      <c r="B22" s="687" t="s">
        <v>389</v>
      </c>
      <c r="C22" s="840">
        <f>C23</f>
        <v>10000</v>
      </c>
    </row>
    <row r="23" spans="1:3" s="618" customFormat="1" ht="21.75" customHeight="1" thickBot="1" thickTop="1">
      <c r="A23" s="850"/>
      <c r="B23" s="638" t="s">
        <v>390</v>
      </c>
      <c r="C23" s="849">
        <v>10000</v>
      </c>
    </row>
    <row r="24" spans="1:3" s="551" customFormat="1" ht="22.5" customHeight="1" thickBot="1" thickTop="1">
      <c r="A24" s="857">
        <v>6</v>
      </c>
      <c r="B24" s="854" t="s">
        <v>391</v>
      </c>
      <c r="C24" s="840">
        <f>C25</f>
        <v>10200</v>
      </c>
    </row>
    <row r="25" spans="1:3" s="571" customFormat="1" ht="24" customHeight="1" thickBot="1" thickTop="1">
      <c r="A25" s="842"/>
      <c r="B25" s="638" t="s">
        <v>387</v>
      </c>
      <c r="C25" s="849">
        <v>10200</v>
      </c>
    </row>
    <row r="26" spans="1:3" s="761" customFormat="1" ht="21.75" customHeight="1" thickBot="1" thickTop="1">
      <c r="A26" s="858"/>
      <c r="B26" s="836" t="s">
        <v>1312</v>
      </c>
      <c r="C26" s="856">
        <f>C21+C8</f>
        <v>1263400</v>
      </c>
    </row>
    <row r="27" ht="13.5" thickTop="1">
      <c r="A27" s="859"/>
    </row>
    <row r="28" ht="12.75">
      <c r="A28" s="859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A42"/>
  <sheetViews>
    <sheetView workbookViewId="0" topLeftCell="A1">
      <selection activeCell="F2" sqref="F2"/>
    </sheetView>
  </sheetViews>
  <sheetFormatPr defaultColWidth="9.00390625" defaultRowHeight="12.75"/>
  <cols>
    <col min="1" max="1" width="6.625" style="862" customWidth="1"/>
    <col min="2" max="2" width="46.75390625" style="863" customWidth="1"/>
    <col min="3" max="3" width="12.875" style="862" customWidth="1"/>
    <col min="4" max="4" width="12.375" style="862" customWidth="1"/>
    <col min="5" max="5" width="12.00390625" style="862" customWidth="1"/>
    <col min="6" max="235" width="10.00390625" style="862" customWidth="1"/>
    <col min="236" max="16384" width="10.00390625" style="865" customWidth="1"/>
  </cols>
  <sheetData>
    <row r="1" ht="24.75" customHeight="1">
      <c r="E1" s="864" t="s">
        <v>392</v>
      </c>
    </row>
    <row r="2" spans="1:5" s="869" customFormat="1" ht="34.5" customHeight="1">
      <c r="A2" s="866" t="s">
        <v>393</v>
      </c>
      <c r="B2" s="867"/>
      <c r="C2" s="868"/>
      <c r="D2" s="868"/>
      <c r="E2" s="868"/>
    </row>
    <row r="3" spans="1:5" s="869" customFormat="1" ht="11.25" customHeight="1">
      <c r="A3" s="866"/>
      <c r="B3" s="867"/>
      <c r="C3" s="868"/>
      <c r="D3" s="868"/>
      <c r="E3" s="868"/>
    </row>
    <row r="4" spans="1:235" s="874" customFormat="1" ht="13.5" customHeight="1" thickBot="1">
      <c r="A4" s="870"/>
      <c r="B4" s="871"/>
      <c r="C4" s="870"/>
      <c r="D4" s="870"/>
      <c r="E4" s="872" t="s">
        <v>1420</v>
      </c>
      <c r="F4" s="873"/>
      <c r="G4" s="873"/>
      <c r="H4" s="873"/>
      <c r="I4" s="873"/>
      <c r="J4" s="873"/>
      <c r="K4" s="873"/>
      <c r="L4" s="873"/>
      <c r="M4" s="873"/>
      <c r="N4" s="873"/>
      <c r="O4" s="873"/>
      <c r="P4" s="873"/>
      <c r="Q4" s="873"/>
      <c r="R4" s="873"/>
      <c r="S4" s="873"/>
      <c r="T4" s="873"/>
      <c r="U4" s="873"/>
      <c r="V4" s="873"/>
      <c r="W4" s="873"/>
      <c r="X4" s="873"/>
      <c r="Y4" s="873"/>
      <c r="Z4" s="873"/>
      <c r="AA4" s="873"/>
      <c r="AB4" s="873"/>
      <c r="AC4" s="873"/>
      <c r="AD4" s="873"/>
      <c r="AE4" s="873"/>
      <c r="AF4" s="873"/>
      <c r="AG4" s="873"/>
      <c r="AH4" s="873"/>
      <c r="AI4" s="873"/>
      <c r="AJ4" s="873"/>
      <c r="AK4" s="873"/>
      <c r="AL4" s="873"/>
      <c r="AM4" s="873"/>
      <c r="AN4" s="873"/>
      <c r="AO4" s="873"/>
      <c r="AP4" s="873"/>
      <c r="AQ4" s="873"/>
      <c r="AR4" s="873"/>
      <c r="AS4" s="873"/>
      <c r="AT4" s="873"/>
      <c r="AU4" s="873"/>
      <c r="AV4" s="873"/>
      <c r="AW4" s="873"/>
      <c r="AX4" s="873"/>
      <c r="AY4" s="873"/>
      <c r="AZ4" s="873"/>
      <c r="BA4" s="873"/>
      <c r="BB4" s="873"/>
      <c r="BC4" s="873"/>
      <c r="BD4" s="873"/>
      <c r="BE4" s="873"/>
      <c r="BF4" s="873"/>
      <c r="BG4" s="873"/>
      <c r="BH4" s="873"/>
      <c r="BI4" s="873"/>
      <c r="BJ4" s="873"/>
      <c r="BK4" s="873"/>
      <c r="BL4" s="873"/>
      <c r="BM4" s="873"/>
      <c r="BN4" s="873"/>
      <c r="BO4" s="873"/>
      <c r="BP4" s="873"/>
      <c r="BQ4" s="873"/>
      <c r="BR4" s="873"/>
      <c r="BS4" s="873"/>
      <c r="BT4" s="873"/>
      <c r="BU4" s="873"/>
      <c r="BV4" s="873"/>
      <c r="BW4" s="873"/>
      <c r="BX4" s="873"/>
      <c r="BY4" s="873"/>
      <c r="BZ4" s="873"/>
      <c r="CA4" s="873"/>
      <c r="CB4" s="873"/>
      <c r="CC4" s="873"/>
      <c r="CD4" s="873"/>
      <c r="CE4" s="873"/>
      <c r="CF4" s="873"/>
      <c r="CG4" s="873"/>
      <c r="CH4" s="873"/>
      <c r="CI4" s="873"/>
      <c r="CJ4" s="873"/>
      <c r="CK4" s="873"/>
      <c r="CL4" s="873"/>
      <c r="CM4" s="873"/>
      <c r="CN4" s="873"/>
      <c r="CO4" s="873"/>
      <c r="CP4" s="873"/>
      <c r="CQ4" s="873"/>
      <c r="CR4" s="873"/>
      <c r="CS4" s="873"/>
      <c r="CT4" s="873"/>
      <c r="CU4" s="873"/>
      <c r="CV4" s="873"/>
      <c r="CW4" s="873"/>
      <c r="CX4" s="873"/>
      <c r="CY4" s="873"/>
      <c r="CZ4" s="873"/>
      <c r="DA4" s="873"/>
      <c r="DB4" s="873"/>
      <c r="DC4" s="873"/>
      <c r="DD4" s="873"/>
      <c r="DE4" s="873"/>
      <c r="DF4" s="873"/>
      <c r="DG4" s="873"/>
      <c r="DH4" s="873"/>
      <c r="DI4" s="873"/>
      <c r="DJ4" s="873"/>
      <c r="DK4" s="873"/>
      <c r="DL4" s="873"/>
      <c r="DM4" s="873"/>
      <c r="DN4" s="873"/>
      <c r="DO4" s="873"/>
      <c r="DP4" s="873"/>
      <c r="DQ4" s="873"/>
      <c r="DR4" s="873"/>
      <c r="DS4" s="873"/>
      <c r="DT4" s="873"/>
      <c r="DU4" s="873"/>
      <c r="DV4" s="873"/>
      <c r="DW4" s="873"/>
      <c r="DX4" s="873"/>
      <c r="DY4" s="873"/>
      <c r="DZ4" s="873"/>
      <c r="EA4" s="873"/>
      <c r="EB4" s="873"/>
      <c r="EC4" s="873"/>
      <c r="ED4" s="873"/>
      <c r="EE4" s="873"/>
      <c r="EF4" s="873"/>
      <c r="EG4" s="873"/>
      <c r="EH4" s="873"/>
      <c r="EI4" s="873"/>
      <c r="EJ4" s="873"/>
      <c r="EK4" s="873"/>
      <c r="EL4" s="873"/>
      <c r="EM4" s="873"/>
      <c r="EN4" s="873"/>
      <c r="EO4" s="873"/>
      <c r="EP4" s="873"/>
      <c r="EQ4" s="873"/>
      <c r="ER4" s="873"/>
      <c r="ES4" s="873"/>
      <c r="ET4" s="873"/>
      <c r="EU4" s="873"/>
      <c r="EV4" s="873"/>
      <c r="EW4" s="873"/>
      <c r="EX4" s="873"/>
      <c r="EY4" s="873"/>
      <c r="EZ4" s="873"/>
      <c r="FA4" s="873"/>
      <c r="FB4" s="873"/>
      <c r="FC4" s="873"/>
      <c r="FD4" s="873"/>
      <c r="FE4" s="873"/>
      <c r="FF4" s="873"/>
      <c r="FG4" s="873"/>
      <c r="FH4" s="873"/>
      <c r="FI4" s="873"/>
      <c r="FJ4" s="873"/>
      <c r="FK4" s="873"/>
      <c r="FL4" s="873"/>
      <c r="FM4" s="873"/>
      <c r="FN4" s="873"/>
      <c r="FO4" s="873"/>
      <c r="FP4" s="873"/>
      <c r="FQ4" s="873"/>
      <c r="FR4" s="873"/>
      <c r="FS4" s="873"/>
      <c r="FT4" s="873"/>
      <c r="FU4" s="873"/>
      <c r="FV4" s="873"/>
      <c r="FW4" s="873"/>
      <c r="FX4" s="873"/>
      <c r="FY4" s="873"/>
      <c r="FZ4" s="873"/>
      <c r="GA4" s="873"/>
      <c r="GB4" s="873"/>
      <c r="GC4" s="873"/>
      <c r="GD4" s="873"/>
      <c r="GE4" s="873"/>
      <c r="GF4" s="873"/>
      <c r="GG4" s="873"/>
      <c r="GH4" s="873"/>
      <c r="GI4" s="873"/>
      <c r="GJ4" s="873"/>
      <c r="GK4" s="873"/>
      <c r="GL4" s="873"/>
      <c r="GM4" s="873"/>
      <c r="GN4" s="873"/>
      <c r="GO4" s="873"/>
      <c r="GP4" s="873"/>
      <c r="GQ4" s="873"/>
      <c r="GR4" s="873"/>
      <c r="GS4" s="873"/>
      <c r="GT4" s="873"/>
      <c r="GU4" s="873"/>
      <c r="GV4" s="873"/>
      <c r="GW4" s="873"/>
      <c r="GX4" s="873"/>
      <c r="GY4" s="873"/>
      <c r="GZ4" s="873"/>
      <c r="HA4" s="873"/>
      <c r="HB4" s="873"/>
      <c r="HC4" s="873"/>
      <c r="HD4" s="873"/>
      <c r="HE4" s="873"/>
      <c r="HF4" s="873"/>
      <c r="HG4" s="873"/>
      <c r="HH4" s="873"/>
      <c r="HI4" s="873"/>
      <c r="HJ4" s="873"/>
      <c r="HK4" s="873"/>
      <c r="HL4" s="873"/>
      <c r="HM4" s="873"/>
      <c r="HN4" s="873"/>
      <c r="HO4" s="873"/>
      <c r="HP4" s="873"/>
      <c r="HQ4" s="873"/>
      <c r="HR4" s="873"/>
      <c r="HS4" s="873"/>
      <c r="HT4" s="873"/>
      <c r="HU4" s="873"/>
      <c r="HV4" s="873"/>
      <c r="HW4" s="873"/>
      <c r="HX4" s="873"/>
      <c r="HY4" s="873"/>
      <c r="HZ4" s="873"/>
      <c r="IA4" s="873"/>
    </row>
    <row r="5" spans="1:5" ht="23.25" customHeight="1" thickTop="1">
      <c r="A5" s="875" t="s">
        <v>394</v>
      </c>
      <c r="B5" s="876" t="s">
        <v>1316</v>
      </c>
      <c r="C5" s="877" t="s">
        <v>1312</v>
      </c>
      <c r="D5" s="878" t="s">
        <v>1313</v>
      </c>
      <c r="E5" s="879" t="s">
        <v>1314</v>
      </c>
    </row>
    <row r="6" spans="1:5" s="885" customFormat="1" ht="12.75" customHeight="1" thickBot="1">
      <c r="A6" s="880">
        <v>1</v>
      </c>
      <c r="B6" s="881">
        <v>2</v>
      </c>
      <c r="C6" s="882">
        <v>3</v>
      </c>
      <c r="D6" s="883">
        <v>4</v>
      </c>
      <c r="E6" s="884">
        <v>5</v>
      </c>
    </row>
    <row r="7" spans="1:5" s="891" customFormat="1" ht="21" customHeight="1" thickBot="1" thickTop="1">
      <c r="A7" s="886">
        <v>500</v>
      </c>
      <c r="B7" s="887" t="s">
        <v>395</v>
      </c>
      <c r="C7" s="888">
        <f>D7+E7</f>
        <v>220000</v>
      </c>
      <c r="D7" s="889">
        <f>D8</f>
        <v>220000</v>
      </c>
      <c r="E7" s="890"/>
    </row>
    <row r="8" spans="1:5" s="885" customFormat="1" ht="17.25" customHeight="1" thickBot="1" thickTop="1">
      <c r="A8" s="892">
        <v>50095</v>
      </c>
      <c r="B8" s="893" t="s">
        <v>396</v>
      </c>
      <c r="C8" s="894">
        <f>SUM(D8:E8)</f>
        <v>220000</v>
      </c>
      <c r="D8" s="895">
        <v>220000</v>
      </c>
      <c r="E8" s="896"/>
    </row>
    <row r="9" spans="1:5" s="891" customFormat="1" ht="21" customHeight="1" thickBot="1" thickTop="1">
      <c r="A9" s="886">
        <v>600</v>
      </c>
      <c r="B9" s="887" t="s">
        <v>184</v>
      </c>
      <c r="C9" s="888">
        <f>D9+E9</f>
        <v>4966700</v>
      </c>
      <c r="D9" s="889">
        <f>SUM(D10:D13)</f>
        <v>3016700</v>
      </c>
      <c r="E9" s="890">
        <f>SUM(E10:E13)</f>
        <v>1950000</v>
      </c>
    </row>
    <row r="10" spans="1:5" s="885" customFormat="1" ht="15" customHeight="1" thickTop="1">
      <c r="A10" s="892">
        <v>60015</v>
      </c>
      <c r="B10" s="893" t="s">
        <v>397</v>
      </c>
      <c r="C10" s="894">
        <f>SUM(D10:E10)</f>
        <v>1950000</v>
      </c>
      <c r="D10" s="895"/>
      <c r="E10" s="897">
        <v>1950000</v>
      </c>
    </row>
    <row r="11" spans="1:5" s="885" customFormat="1" ht="15" customHeight="1">
      <c r="A11" s="892">
        <v>60016</v>
      </c>
      <c r="B11" s="893" t="s">
        <v>398</v>
      </c>
      <c r="C11" s="894">
        <f>SUM(D11:E11)</f>
        <v>2020000</v>
      </c>
      <c r="D11" s="895">
        <v>2020000</v>
      </c>
      <c r="E11" s="898"/>
    </row>
    <row r="12" spans="1:5" s="885" customFormat="1" ht="15" customHeight="1">
      <c r="A12" s="892">
        <v>60017</v>
      </c>
      <c r="B12" s="893" t="s">
        <v>399</v>
      </c>
      <c r="C12" s="894">
        <f>SUM(D12:E12)</f>
        <v>991700</v>
      </c>
      <c r="D12" s="895">
        <v>991700</v>
      </c>
      <c r="E12" s="898"/>
    </row>
    <row r="13" spans="1:5" s="885" customFormat="1" ht="15" customHeight="1" thickBot="1">
      <c r="A13" s="892">
        <v>60095</v>
      </c>
      <c r="B13" s="893" t="s">
        <v>400</v>
      </c>
      <c r="C13" s="894">
        <f>SUM(D13:E13)</f>
        <v>5000</v>
      </c>
      <c r="D13" s="895">
        <v>5000</v>
      </c>
      <c r="E13" s="898"/>
    </row>
    <row r="14" spans="1:19" s="891" customFormat="1" ht="21" customHeight="1" thickBot="1" thickTop="1">
      <c r="A14" s="886">
        <v>750</v>
      </c>
      <c r="B14" s="899" t="s">
        <v>401</v>
      </c>
      <c r="C14" s="888">
        <f>D14+E14</f>
        <v>555000</v>
      </c>
      <c r="D14" s="900">
        <f>D15</f>
        <v>555000</v>
      </c>
      <c r="E14" s="901"/>
      <c r="F14" s="902"/>
      <c r="G14" s="903"/>
      <c r="H14" s="903"/>
      <c r="I14" s="903"/>
      <c r="J14" s="903"/>
      <c r="K14" s="903"/>
      <c r="L14" s="903"/>
      <c r="M14" s="903"/>
      <c r="N14" s="903"/>
      <c r="O14" s="903"/>
      <c r="P14" s="903"/>
      <c r="Q14" s="903"/>
      <c r="R14" s="903"/>
      <c r="S14" s="903"/>
    </row>
    <row r="15" spans="1:235" ht="61.5" customHeight="1" thickBot="1" thickTop="1">
      <c r="A15" s="904">
        <v>75023</v>
      </c>
      <c r="B15" s="905" t="s">
        <v>402</v>
      </c>
      <c r="C15" s="906">
        <f>SUM(D15:E15)</f>
        <v>555000</v>
      </c>
      <c r="D15" s="907">
        <v>555000</v>
      </c>
      <c r="E15" s="908"/>
      <c r="F15" s="909"/>
      <c r="G15" s="910"/>
      <c r="H15" s="910"/>
      <c r="I15" s="910"/>
      <c r="J15" s="910"/>
      <c r="K15" s="910"/>
      <c r="L15" s="910"/>
      <c r="M15" s="910"/>
      <c r="N15" s="910"/>
      <c r="O15" s="910"/>
      <c r="P15" s="910"/>
      <c r="Q15" s="910"/>
      <c r="R15" s="910"/>
      <c r="S15" s="910"/>
      <c r="T15" s="865"/>
      <c r="U15" s="865"/>
      <c r="V15" s="865"/>
      <c r="W15" s="865"/>
      <c r="X15" s="865"/>
      <c r="Y15" s="865"/>
      <c r="Z15" s="865"/>
      <c r="AA15" s="865"/>
      <c r="AB15" s="865"/>
      <c r="AC15" s="865"/>
      <c r="AD15" s="865"/>
      <c r="AE15" s="865"/>
      <c r="AF15" s="865"/>
      <c r="AG15" s="865"/>
      <c r="AH15" s="865"/>
      <c r="AI15" s="865"/>
      <c r="AJ15" s="865"/>
      <c r="AK15" s="865"/>
      <c r="AL15" s="865"/>
      <c r="AM15" s="865"/>
      <c r="AN15" s="865"/>
      <c r="AO15" s="865"/>
      <c r="AP15" s="865"/>
      <c r="AQ15" s="865"/>
      <c r="AR15" s="865"/>
      <c r="AS15" s="865"/>
      <c r="AT15" s="865"/>
      <c r="AU15" s="865"/>
      <c r="AV15" s="865"/>
      <c r="AW15" s="865"/>
      <c r="AX15" s="865"/>
      <c r="AY15" s="865"/>
      <c r="AZ15" s="865"/>
      <c r="BA15" s="865"/>
      <c r="BB15" s="865"/>
      <c r="BC15" s="865"/>
      <c r="BD15" s="865"/>
      <c r="BE15" s="865"/>
      <c r="BF15" s="865"/>
      <c r="BG15" s="865"/>
      <c r="BH15" s="865"/>
      <c r="BI15" s="865"/>
      <c r="BJ15" s="865"/>
      <c r="BK15" s="865"/>
      <c r="BL15" s="865"/>
      <c r="BM15" s="865"/>
      <c r="BN15" s="865"/>
      <c r="BO15" s="865"/>
      <c r="BP15" s="865"/>
      <c r="BQ15" s="865"/>
      <c r="BR15" s="865"/>
      <c r="BS15" s="865"/>
      <c r="BT15" s="865"/>
      <c r="BU15" s="865"/>
      <c r="BV15" s="865"/>
      <c r="BW15" s="865"/>
      <c r="BX15" s="865"/>
      <c r="BY15" s="865"/>
      <c r="BZ15" s="865"/>
      <c r="CA15" s="865"/>
      <c r="CB15" s="865"/>
      <c r="CC15" s="865"/>
      <c r="CD15" s="865"/>
      <c r="CE15" s="865"/>
      <c r="CF15" s="865"/>
      <c r="CG15" s="865"/>
      <c r="CH15" s="865"/>
      <c r="CI15" s="865"/>
      <c r="CJ15" s="865"/>
      <c r="CK15" s="865"/>
      <c r="CL15" s="865"/>
      <c r="CM15" s="865"/>
      <c r="CN15" s="865"/>
      <c r="CO15" s="865"/>
      <c r="CP15" s="865"/>
      <c r="CQ15" s="865"/>
      <c r="CR15" s="865"/>
      <c r="CS15" s="865"/>
      <c r="CT15" s="865"/>
      <c r="CU15" s="865"/>
      <c r="CV15" s="865"/>
      <c r="CW15" s="865"/>
      <c r="CX15" s="865"/>
      <c r="CY15" s="865"/>
      <c r="CZ15" s="865"/>
      <c r="DA15" s="865"/>
      <c r="DB15" s="865"/>
      <c r="DC15" s="865"/>
      <c r="DD15" s="865"/>
      <c r="DE15" s="865"/>
      <c r="DF15" s="865"/>
      <c r="DG15" s="865"/>
      <c r="DH15" s="865"/>
      <c r="DI15" s="865"/>
      <c r="DJ15" s="865"/>
      <c r="DK15" s="865"/>
      <c r="DL15" s="865"/>
      <c r="DM15" s="865"/>
      <c r="DN15" s="865"/>
      <c r="DO15" s="865"/>
      <c r="DP15" s="865"/>
      <c r="DQ15" s="865"/>
      <c r="DR15" s="865"/>
      <c r="DS15" s="865"/>
      <c r="DT15" s="865"/>
      <c r="DU15" s="865"/>
      <c r="DV15" s="865"/>
      <c r="DW15" s="865"/>
      <c r="DX15" s="865"/>
      <c r="DY15" s="865"/>
      <c r="DZ15" s="865"/>
      <c r="EA15" s="865"/>
      <c r="EB15" s="865"/>
      <c r="EC15" s="865"/>
      <c r="ED15" s="865"/>
      <c r="EE15" s="865"/>
      <c r="EF15" s="865"/>
      <c r="EG15" s="865"/>
      <c r="EH15" s="865"/>
      <c r="EI15" s="865"/>
      <c r="EJ15" s="865"/>
      <c r="EK15" s="865"/>
      <c r="EL15" s="865"/>
      <c r="EM15" s="865"/>
      <c r="EN15" s="865"/>
      <c r="EO15" s="865"/>
      <c r="EP15" s="865"/>
      <c r="EQ15" s="865"/>
      <c r="ER15" s="865"/>
      <c r="ES15" s="865"/>
      <c r="ET15" s="865"/>
      <c r="EU15" s="865"/>
      <c r="EV15" s="865"/>
      <c r="EW15" s="865"/>
      <c r="EX15" s="865"/>
      <c r="EY15" s="865"/>
      <c r="EZ15" s="865"/>
      <c r="FA15" s="865"/>
      <c r="FB15" s="865"/>
      <c r="FC15" s="865"/>
      <c r="FD15" s="865"/>
      <c r="FE15" s="865"/>
      <c r="FF15" s="865"/>
      <c r="FG15" s="865"/>
      <c r="FH15" s="865"/>
      <c r="FI15" s="865"/>
      <c r="FJ15" s="865"/>
      <c r="FK15" s="865"/>
      <c r="FL15" s="865"/>
      <c r="FM15" s="865"/>
      <c r="FN15" s="865"/>
      <c r="FO15" s="865"/>
      <c r="FP15" s="865"/>
      <c r="FQ15" s="865"/>
      <c r="FR15" s="865"/>
      <c r="FS15" s="865"/>
      <c r="FT15" s="865"/>
      <c r="FU15" s="865"/>
      <c r="FV15" s="865"/>
      <c r="FW15" s="865"/>
      <c r="FX15" s="865"/>
      <c r="FY15" s="865"/>
      <c r="FZ15" s="865"/>
      <c r="GA15" s="865"/>
      <c r="GB15" s="865"/>
      <c r="GC15" s="865"/>
      <c r="GD15" s="865"/>
      <c r="GE15" s="865"/>
      <c r="GF15" s="865"/>
      <c r="GG15" s="865"/>
      <c r="GH15" s="865"/>
      <c r="GI15" s="865"/>
      <c r="GJ15" s="865"/>
      <c r="GK15" s="865"/>
      <c r="GL15" s="865"/>
      <c r="GM15" s="865"/>
      <c r="GN15" s="865"/>
      <c r="GO15" s="865"/>
      <c r="GP15" s="865"/>
      <c r="GQ15" s="865"/>
      <c r="GR15" s="865"/>
      <c r="GS15" s="865"/>
      <c r="GT15" s="865"/>
      <c r="GU15" s="865"/>
      <c r="GV15" s="865"/>
      <c r="GW15" s="865"/>
      <c r="GX15" s="865"/>
      <c r="GY15" s="865"/>
      <c r="GZ15" s="865"/>
      <c r="HA15" s="865"/>
      <c r="HB15" s="865"/>
      <c r="HC15" s="865"/>
      <c r="HD15" s="865"/>
      <c r="HE15" s="865"/>
      <c r="HF15" s="865"/>
      <c r="HG15" s="865"/>
      <c r="HH15" s="865"/>
      <c r="HI15" s="865"/>
      <c r="HJ15" s="865"/>
      <c r="HK15" s="865"/>
      <c r="HL15" s="865"/>
      <c r="HM15" s="865"/>
      <c r="HN15" s="865"/>
      <c r="HO15" s="865"/>
      <c r="HP15" s="865"/>
      <c r="HQ15" s="865"/>
      <c r="HR15" s="865"/>
      <c r="HS15" s="865"/>
      <c r="HT15" s="865"/>
      <c r="HU15" s="865"/>
      <c r="HV15" s="865"/>
      <c r="HW15" s="865"/>
      <c r="HX15" s="865"/>
      <c r="HY15" s="865"/>
      <c r="HZ15" s="865"/>
      <c r="IA15" s="865"/>
    </row>
    <row r="16" spans="1:5" s="891" customFormat="1" ht="34.5" customHeight="1" thickBot="1" thickTop="1">
      <c r="A16" s="886">
        <v>754</v>
      </c>
      <c r="B16" s="899" t="s">
        <v>216</v>
      </c>
      <c r="C16" s="911">
        <f>SUM(C17:C17)</f>
        <v>60000</v>
      </c>
      <c r="D16" s="900"/>
      <c r="E16" s="901">
        <f>SUM(E17:E17)</f>
        <v>60000</v>
      </c>
    </row>
    <row r="17" spans="1:235" ht="18.75" customHeight="1" thickBot="1" thickTop="1">
      <c r="A17" s="892">
        <v>74511</v>
      </c>
      <c r="B17" s="912" t="s">
        <v>403</v>
      </c>
      <c r="C17" s="913">
        <f>D17+E17</f>
        <v>60000</v>
      </c>
      <c r="D17" s="914"/>
      <c r="E17" s="915">
        <v>60000</v>
      </c>
      <c r="F17" s="865"/>
      <c r="G17" s="865"/>
      <c r="H17" s="865"/>
      <c r="I17" s="865"/>
      <c r="J17" s="865"/>
      <c r="K17" s="865"/>
      <c r="L17" s="865"/>
      <c r="M17" s="865"/>
      <c r="N17" s="865"/>
      <c r="O17" s="865"/>
      <c r="P17" s="865"/>
      <c r="Q17" s="865"/>
      <c r="R17" s="865"/>
      <c r="S17" s="865"/>
      <c r="T17" s="865"/>
      <c r="U17" s="865"/>
      <c r="V17" s="865"/>
      <c r="W17" s="865"/>
      <c r="X17" s="865"/>
      <c r="Y17" s="865"/>
      <c r="Z17" s="865"/>
      <c r="AA17" s="865"/>
      <c r="AB17" s="865"/>
      <c r="AC17" s="865"/>
      <c r="AD17" s="865"/>
      <c r="AE17" s="865"/>
      <c r="AF17" s="865"/>
      <c r="AG17" s="865"/>
      <c r="AH17" s="865"/>
      <c r="AI17" s="865"/>
      <c r="AJ17" s="865"/>
      <c r="AK17" s="865"/>
      <c r="AL17" s="865"/>
      <c r="AM17" s="865"/>
      <c r="AN17" s="865"/>
      <c r="AO17" s="865"/>
      <c r="AP17" s="865"/>
      <c r="AQ17" s="865"/>
      <c r="AR17" s="865"/>
      <c r="AS17" s="865"/>
      <c r="AT17" s="865"/>
      <c r="AU17" s="865"/>
      <c r="AV17" s="865"/>
      <c r="AW17" s="865"/>
      <c r="AX17" s="865"/>
      <c r="AY17" s="865"/>
      <c r="AZ17" s="865"/>
      <c r="BA17" s="865"/>
      <c r="BB17" s="865"/>
      <c r="BC17" s="865"/>
      <c r="BD17" s="865"/>
      <c r="BE17" s="865"/>
      <c r="BF17" s="865"/>
      <c r="BG17" s="865"/>
      <c r="BH17" s="865"/>
      <c r="BI17" s="865"/>
      <c r="BJ17" s="865"/>
      <c r="BK17" s="865"/>
      <c r="BL17" s="865"/>
      <c r="BM17" s="865"/>
      <c r="BN17" s="865"/>
      <c r="BO17" s="865"/>
      <c r="BP17" s="865"/>
      <c r="BQ17" s="865"/>
      <c r="BR17" s="865"/>
      <c r="BS17" s="865"/>
      <c r="BT17" s="865"/>
      <c r="BU17" s="865"/>
      <c r="BV17" s="865"/>
      <c r="BW17" s="865"/>
      <c r="BX17" s="865"/>
      <c r="BY17" s="865"/>
      <c r="BZ17" s="865"/>
      <c r="CA17" s="865"/>
      <c r="CB17" s="865"/>
      <c r="CC17" s="865"/>
      <c r="CD17" s="865"/>
      <c r="CE17" s="865"/>
      <c r="CF17" s="865"/>
      <c r="CG17" s="865"/>
      <c r="CH17" s="865"/>
      <c r="CI17" s="865"/>
      <c r="CJ17" s="865"/>
      <c r="CK17" s="865"/>
      <c r="CL17" s="865"/>
      <c r="CM17" s="865"/>
      <c r="CN17" s="865"/>
      <c r="CO17" s="865"/>
      <c r="CP17" s="865"/>
      <c r="CQ17" s="865"/>
      <c r="CR17" s="865"/>
      <c r="CS17" s="865"/>
      <c r="CT17" s="865"/>
      <c r="CU17" s="865"/>
      <c r="CV17" s="865"/>
      <c r="CW17" s="865"/>
      <c r="CX17" s="865"/>
      <c r="CY17" s="865"/>
      <c r="CZ17" s="865"/>
      <c r="DA17" s="865"/>
      <c r="DB17" s="865"/>
      <c r="DC17" s="865"/>
      <c r="DD17" s="865"/>
      <c r="DE17" s="865"/>
      <c r="DF17" s="865"/>
      <c r="DG17" s="865"/>
      <c r="DH17" s="865"/>
      <c r="DI17" s="865"/>
      <c r="DJ17" s="865"/>
      <c r="DK17" s="865"/>
      <c r="DL17" s="865"/>
      <c r="DM17" s="865"/>
      <c r="DN17" s="865"/>
      <c r="DO17" s="865"/>
      <c r="DP17" s="865"/>
      <c r="DQ17" s="865"/>
      <c r="DR17" s="865"/>
      <c r="DS17" s="865"/>
      <c r="DT17" s="865"/>
      <c r="DU17" s="865"/>
      <c r="DV17" s="865"/>
      <c r="DW17" s="865"/>
      <c r="DX17" s="865"/>
      <c r="DY17" s="865"/>
      <c r="DZ17" s="865"/>
      <c r="EA17" s="865"/>
      <c r="EB17" s="865"/>
      <c r="EC17" s="865"/>
      <c r="ED17" s="865"/>
      <c r="EE17" s="865"/>
      <c r="EF17" s="865"/>
      <c r="EG17" s="865"/>
      <c r="EH17" s="865"/>
      <c r="EI17" s="865"/>
      <c r="EJ17" s="865"/>
      <c r="EK17" s="865"/>
      <c r="EL17" s="865"/>
      <c r="EM17" s="865"/>
      <c r="EN17" s="865"/>
      <c r="EO17" s="865"/>
      <c r="EP17" s="865"/>
      <c r="EQ17" s="865"/>
      <c r="ER17" s="865"/>
      <c r="ES17" s="865"/>
      <c r="ET17" s="865"/>
      <c r="EU17" s="865"/>
      <c r="EV17" s="865"/>
      <c r="EW17" s="865"/>
      <c r="EX17" s="865"/>
      <c r="EY17" s="865"/>
      <c r="EZ17" s="865"/>
      <c r="FA17" s="865"/>
      <c r="FB17" s="865"/>
      <c r="FC17" s="865"/>
      <c r="FD17" s="865"/>
      <c r="FE17" s="865"/>
      <c r="FF17" s="865"/>
      <c r="FG17" s="865"/>
      <c r="FH17" s="865"/>
      <c r="FI17" s="865"/>
      <c r="FJ17" s="865"/>
      <c r="FK17" s="865"/>
      <c r="FL17" s="865"/>
      <c r="FM17" s="865"/>
      <c r="FN17" s="865"/>
      <c r="FO17" s="865"/>
      <c r="FP17" s="865"/>
      <c r="FQ17" s="865"/>
      <c r="FR17" s="865"/>
      <c r="FS17" s="865"/>
      <c r="FT17" s="865"/>
      <c r="FU17" s="865"/>
      <c r="FV17" s="865"/>
      <c r="FW17" s="865"/>
      <c r="FX17" s="865"/>
      <c r="FY17" s="865"/>
      <c r="FZ17" s="865"/>
      <c r="GA17" s="865"/>
      <c r="GB17" s="865"/>
      <c r="GC17" s="865"/>
      <c r="GD17" s="865"/>
      <c r="GE17" s="865"/>
      <c r="GF17" s="865"/>
      <c r="GG17" s="865"/>
      <c r="GH17" s="865"/>
      <c r="GI17" s="865"/>
      <c r="GJ17" s="865"/>
      <c r="GK17" s="865"/>
      <c r="GL17" s="865"/>
      <c r="GM17" s="865"/>
      <c r="GN17" s="865"/>
      <c r="GO17" s="865"/>
      <c r="GP17" s="865"/>
      <c r="GQ17" s="865"/>
      <c r="GR17" s="865"/>
      <c r="GS17" s="865"/>
      <c r="GT17" s="865"/>
      <c r="GU17" s="865"/>
      <c r="GV17" s="865"/>
      <c r="GW17" s="865"/>
      <c r="GX17" s="865"/>
      <c r="GY17" s="865"/>
      <c r="GZ17" s="865"/>
      <c r="HA17" s="865"/>
      <c r="HB17" s="865"/>
      <c r="HC17" s="865"/>
      <c r="HD17" s="865"/>
      <c r="HE17" s="865"/>
      <c r="HF17" s="865"/>
      <c r="HG17" s="865"/>
      <c r="HH17" s="865"/>
      <c r="HI17" s="865"/>
      <c r="HJ17" s="865"/>
      <c r="HK17" s="865"/>
      <c r="HL17" s="865"/>
      <c r="HM17" s="865"/>
      <c r="HN17" s="865"/>
      <c r="HO17" s="865"/>
      <c r="HP17" s="865"/>
      <c r="HQ17" s="865"/>
      <c r="HR17" s="865"/>
      <c r="HS17" s="865"/>
      <c r="HT17" s="865"/>
      <c r="HU17" s="865"/>
      <c r="HV17" s="865"/>
      <c r="HW17" s="865"/>
      <c r="HX17" s="865"/>
      <c r="HY17" s="865"/>
      <c r="HZ17" s="865"/>
      <c r="IA17" s="865"/>
    </row>
    <row r="18" spans="1:5" s="891" customFormat="1" ht="21" customHeight="1" thickBot="1" thickTop="1">
      <c r="A18" s="886">
        <v>801</v>
      </c>
      <c r="B18" s="899" t="s">
        <v>221</v>
      </c>
      <c r="C18" s="911">
        <f>SUM(C19:C20)</f>
        <v>449800</v>
      </c>
      <c r="D18" s="900">
        <f>SUM(D19:D20)</f>
        <v>355900</v>
      </c>
      <c r="E18" s="901">
        <f>SUM(E19:E20)</f>
        <v>93900</v>
      </c>
    </row>
    <row r="19" spans="1:235" ht="17.25" customHeight="1" thickTop="1">
      <c r="A19" s="892"/>
      <c r="B19" s="912" t="s">
        <v>404</v>
      </c>
      <c r="C19" s="913">
        <f>SUM(D19:E19)</f>
        <v>201800</v>
      </c>
      <c r="D19" s="914">
        <v>107900</v>
      </c>
      <c r="E19" s="915">
        <v>93900</v>
      </c>
      <c r="F19" s="865"/>
      <c r="G19" s="865"/>
      <c r="H19" s="865"/>
      <c r="I19" s="865"/>
      <c r="J19" s="865"/>
      <c r="K19" s="865"/>
      <c r="L19" s="865"/>
      <c r="M19" s="865"/>
      <c r="N19" s="865"/>
      <c r="O19" s="865"/>
      <c r="P19" s="865"/>
      <c r="Q19" s="865"/>
      <c r="R19" s="865"/>
      <c r="S19" s="865"/>
      <c r="T19" s="865"/>
      <c r="U19" s="865"/>
      <c r="V19" s="865"/>
      <c r="W19" s="865"/>
      <c r="X19" s="865"/>
      <c r="Y19" s="865"/>
      <c r="Z19" s="865"/>
      <c r="AA19" s="865"/>
      <c r="AB19" s="865"/>
      <c r="AC19" s="865"/>
      <c r="AD19" s="865"/>
      <c r="AE19" s="865"/>
      <c r="AF19" s="865"/>
      <c r="AG19" s="865"/>
      <c r="AH19" s="865"/>
      <c r="AI19" s="865"/>
      <c r="AJ19" s="865"/>
      <c r="AK19" s="865"/>
      <c r="AL19" s="865"/>
      <c r="AM19" s="865"/>
      <c r="AN19" s="865"/>
      <c r="AO19" s="865"/>
      <c r="AP19" s="865"/>
      <c r="AQ19" s="865"/>
      <c r="AR19" s="865"/>
      <c r="AS19" s="865"/>
      <c r="AT19" s="865"/>
      <c r="AU19" s="865"/>
      <c r="AV19" s="865"/>
      <c r="AW19" s="865"/>
      <c r="AX19" s="865"/>
      <c r="AY19" s="865"/>
      <c r="AZ19" s="865"/>
      <c r="BA19" s="865"/>
      <c r="BB19" s="865"/>
      <c r="BC19" s="865"/>
      <c r="BD19" s="865"/>
      <c r="BE19" s="865"/>
      <c r="BF19" s="865"/>
      <c r="BG19" s="865"/>
      <c r="BH19" s="865"/>
      <c r="BI19" s="865"/>
      <c r="BJ19" s="865"/>
      <c r="BK19" s="865"/>
      <c r="BL19" s="865"/>
      <c r="BM19" s="865"/>
      <c r="BN19" s="865"/>
      <c r="BO19" s="865"/>
      <c r="BP19" s="865"/>
      <c r="BQ19" s="865"/>
      <c r="BR19" s="865"/>
      <c r="BS19" s="865"/>
      <c r="BT19" s="865"/>
      <c r="BU19" s="865"/>
      <c r="BV19" s="865"/>
      <c r="BW19" s="865"/>
      <c r="BX19" s="865"/>
      <c r="BY19" s="865"/>
      <c r="BZ19" s="865"/>
      <c r="CA19" s="865"/>
      <c r="CB19" s="865"/>
      <c r="CC19" s="865"/>
      <c r="CD19" s="865"/>
      <c r="CE19" s="865"/>
      <c r="CF19" s="865"/>
      <c r="CG19" s="865"/>
      <c r="CH19" s="865"/>
      <c r="CI19" s="865"/>
      <c r="CJ19" s="865"/>
      <c r="CK19" s="865"/>
      <c r="CL19" s="865"/>
      <c r="CM19" s="865"/>
      <c r="CN19" s="865"/>
      <c r="CO19" s="865"/>
      <c r="CP19" s="865"/>
      <c r="CQ19" s="865"/>
      <c r="CR19" s="865"/>
      <c r="CS19" s="865"/>
      <c r="CT19" s="865"/>
      <c r="CU19" s="865"/>
      <c r="CV19" s="865"/>
      <c r="CW19" s="865"/>
      <c r="CX19" s="865"/>
      <c r="CY19" s="865"/>
      <c r="CZ19" s="865"/>
      <c r="DA19" s="865"/>
      <c r="DB19" s="865"/>
      <c r="DC19" s="865"/>
      <c r="DD19" s="865"/>
      <c r="DE19" s="865"/>
      <c r="DF19" s="865"/>
      <c r="DG19" s="865"/>
      <c r="DH19" s="865"/>
      <c r="DI19" s="865"/>
      <c r="DJ19" s="865"/>
      <c r="DK19" s="865"/>
      <c r="DL19" s="865"/>
      <c r="DM19" s="865"/>
      <c r="DN19" s="865"/>
      <c r="DO19" s="865"/>
      <c r="DP19" s="865"/>
      <c r="DQ19" s="865"/>
      <c r="DR19" s="865"/>
      <c r="DS19" s="865"/>
      <c r="DT19" s="865"/>
      <c r="DU19" s="865"/>
      <c r="DV19" s="865"/>
      <c r="DW19" s="865"/>
      <c r="DX19" s="865"/>
      <c r="DY19" s="865"/>
      <c r="DZ19" s="865"/>
      <c r="EA19" s="865"/>
      <c r="EB19" s="865"/>
      <c r="EC19" s="865"/>
      <c r="ED19" s="865"/>
      <c r="EE19" s="865"/>
      <c r="EF19" s="865"/>
      <c r="EG19" s="865"/>
      <c r="EH19" s="865"/>
      <c r="EI19" s="865"/>
      <c r="EJ19" s="865"/>
      <c r="EK19" s="865"/>
      <c r="EL19" s="865"/>
      <c r="EM19" s="865"/>
      <c r="EN19" s="865"/>
      <c r="EO19" s="865"/>
      <c r="EP19" s="865"/>
      <c r="EQ19" s="865"/>
      <c r="ER19" s="865"/>
      <c r="ES19" s="865"/>
      <c r="ET19" s="865"/>
      <c r="EU19" s="865"/>
      <c r="EV19" s="865"/>
      <c r="EW19" s="865"/>
      <c r="EX19" s="865"/>
      <c r="EY19" s="865"/>
      <c r="EZ19" s="865"/>
      <c r="FA19" s="865"/>
      <c r="FB19" s="865"/>
      <c r="FC19" s="865"/>
      <c r="FD19" s="865"/>
      <c r="FE19" s="865"/>
      <c r="FF19" s="865"/>
      <c r="FG19" s="865"/>
      <c r="FH19" s="865"/>
      <c r="FI19" s="865"/>
      <c r="FJ19" s="865"/>
      <c r="FK19" s="865"/>
      <c r="FL19" s="865"/>
      <c r="FM19" s="865"/>
      <c r="FN19" s="865"/>
      <c r="FO19" s="865"/>
      <c r="FP19" s="865"/>
      <c r="FQ19" s="865"/>
      <c r="FR19" s="865"/>
      <c r="FS19" s="865"/>
      <c r="FT19" s="865"/>
      <c r="FU19" s="865"/>
      <c r="FV19" s="865"/>
      <c r="FW19" s="865"/>
      <c r="FX19" s="865"/>
      <c r="FY19" s="865"/>
      <c r="FZ19" s="865"/>
      <c r="GA19" s="865"/>
      <c r="GB19" s="865"/>
      <c r="GC19" s="865"/>
      <c r="GD19" s="865"/>
      <c r="GE19" s="865"/>
      <c r="GF19" s="865"/>
      <c r="GG19" s="865"/>
      <c r="GH19" s="865"/>
      <c r="GI19" s="865"/>
      <c r="GJ19" s="865"/>
      <c r="GK19" s="865"/>
      <c r="GL19" s="865"/>
      <c r="GM19" s="865"/>
      <c r="GN19" s="865"/>
      <c r="GO19" s="865"/>
      <c r="GP19" s="865"/>
      <c r="GQ19" s="865"/>
      <c r="GR19" s="865"/>
      <c r="GS19" s="865"/>
      <c r="GT19" s="865"/>
      <c r="GU19" s="865"/>
      <c r="GV19" s="865"/>
      <c r="GW19" s="865"/>
      <c r="GX19" s="865"/>
      <c r="GY19" s="865"/>
      <c r="GZ19" s="865"/>
      <c r="HA19" s="865"/>
      <c r="HB19" s="865"/>
      <c r="HC19" s="865"/>
      <c r="HD19" s="865"/>
      <c r="HE19" s="865"/>
      <c r="HF19" s="865"/>
      <c r="HG19" s="865"/>
      <c r="HH19" s="865"/>
      <c r="HI19" s="865"/>
      <c r="HJ19" s="865"/>
      <c r="HK19" s="865"/>
      <c r="HL19" s="865"/>
      <c r="HM19" s="865"/>
      <c r="HN19" s="865"/>
      <c r="HO19" s="865"/>
      <c r="HP19" s="865"/>
      <c r="HQ19" s="865"/>
      <c r="HR19" s="865"/>
      <c r="HS19" s="865"/>
      <c r="HT19" s="865"/>
      <c r="HU19" s="865"/>
      <c r="HV19" s="865"/>
      <c r="HW19" s="865"/>
      <c r="HX19" s="865"/>
      <c r="HY19" s="865"/>
      <c r="HZ19" s="865"/>
      <c r="IA19" s="865"/>
    </row>
    <row r="20" spans="1:235" ht="17.25" customHeight="1" thickBot="1">
      <c r="A20" s="916">
        <v>80195</v>
      </c>
      <c r="B20" s="917" t="s">
        <v>405</v>
      </c>
      <c r="C20" s="918">
        <f>SUM(D20:E20)</f>
        <v>248000</v>
      </c>
      <c r="D20" s="919">
        <v>248000</v>
      </c>
      <c r="E20" s="920"/>
      <c r="F20" s="865"/>
      <c r="G20" s="865"/>
      <c r="H20" s="865"/>
      <c r="I20" s="865"/>
      <c r="J20" s="865"/>
      <c r="K20" s="865"/>
      <c r="L20" s="865"/>
      <c r="M20" s="865"/>
      <c r="N20" s="865"/>
      <c r="O20" s="865"/>
      <c r="P20" s="865"/>
      <c r="Q20" s="865"/>
      <c r="R20" s="865"/>
      <c r="S20" s="865"/>
      <c r="T20" s="865"/>
      <c r="U20" s="865"/>
      <c r="V20" s="865"/>
      <c r="W20" s="865"/>
      <c r="X20" s="865"/>
      <c r="Y20" s="865"/>
      <c r="Z20" s="865"/>
      <c r="AA20" s="865"/>
      <c r="AB20" s="865"/>
      <c r="AC20" s="865"/>
      <c r="AD20" s="865"/>
      <c r="AE20" s="865"/>
      <c r="AF20" s="865"/>
      <c r="AG20" s="865"/>
      <c r="AH20" s="865"/>
      <c r="AI20" s="865"/>
      <c r="AJ20" s="865"/>
      <c r="AK20" s="865"/>
      <c r="AL20" s="865"/>
      <c r="AM20" s="865"/>
      <c r="AN20" s="865"/>
      <c r="AO20" s="865"/>
      <c r="AP20" s="865"/>
      <c r="AQ20" s="865"/>
      <c r="AR20" s="865"/>
      <c r="AS20" s="865"/>
      <c r="AT20" s="865"/>
      <c r="AU20" s="865"/>
      <c r="AV20" s="865"/>
      <c r="AW20" s="865"/>
      <c r="AX20" s="865"/>
      <c r="AY20" s="865"/>
      <c r="AZ20" s="865"/>
      <c r="BA20" s="865"/>
      <c r="BB20" s="865"/>
      <c r="BC20" s="865"/>
      <c r="BD20" s="865"/>
      <c r="BE20" s="865"/>
      <c r="BF20" s="865"/>
      <c r="BG20" s="865"/>
      <c r="BH20" s="865"/>
      <c r="BI20" s="865"/>
      <c r="BJ20" s="865"/>
      <c r="BK20" s="865"/>
      <c r="BL20" s="865"/>
      <c r="BM20" s="865"/>
      <c r="BN20" s="865"/>
      <c r="BO20" s="865"/>
      <c r="BP20" s="865"/>
      <c r="BQ20" s="865"/>
      <c r="BR20" s="865"/>
      <c r="BS20" s="865"/>
      <c r="BT20" s="865"/>
      <c r="BU20" s="865"/>
      <c r="BV20" s="865"/>
      <c r="BW20" s="865"/>
      <c r="BX20" s="865"/>
      <c r="BY20" s="865"/>
      <c r="BZ20" s="865"/>
      <c r="CA20" s="865"/>
      <c r="CB20" s="865"/>
      <c r="CC20" s="865"/>
      <c r="CD20" s="865"/>
      <c r="CE20" s="865"/>
      <c r="CF20" s="865"/>
      <c r="CG20" s="865"/>
      <c r="CH20" s="865"/>
      <c r="CI20" s="865"/>
      <c r="CJ20" s="865"/>
      <c r="CK20" s="865"/>
      <c r="CL20" s="865"/>
      <c r="CM20" s="865"/>
      <c r="CN20" s="865"/>
      <c r="CO20" s="865"/>
      <c r="CP20" s="865"/>
      <c r="CQ20" s="865"/>
      <c r="CR20" s="865"/>
      <c r="CS20" s="865"/>
      <c r="CT20" s="865"/>
      <c r="CU20" s="865"/>
      <c r="CV20" s="865"/>
      <c r="CW20" s="865"/>
      <c r="CX20" s="865"/>
      <c r="CY20" s="865"/>
      <c r="CZ20" s="865"/>
      <c r="DA20" s="865"/>
      <c r="DB20" s="865"/>
      <c r="DC20" s="865"/>
      <c r="DD20" s="865"/>
      <c r="DE20" s="865"/>
      <c r="DF20" s="865"/>
      <c r="DG20" s="865"/>
      <c r="DH20" s="865"/>
      <c r="DI20" s="865"/>
      <c r="DJ20" s="865"/>
      <c r="DK20" s="865"/>
      <c r="DL20" s="865"/>
      <c r="DM20" s="865"/>
      <c r="DN20" s="865"/>
      <c r="DO20" s="865"/>
      <c r="DP20" s="865"/>
      <c r="DQ20" s="865"/>
      <c r="DR20" s="865"/>
      <c r="DS20" s="865"/>
      <c r="DT20" s="865"/>
      <c r="DU20" s="865"/>
      <c r="DV20" s="865"/>
      <c r="DW20" s="865"/>
      <c r="DX20" s="865"/>
      <c r="DY20" s="865"/>
      <c r="DZ20" s="865"/>
      <c r="EA20" s="865"/>
      <c r="EB20" s="865"/>
      <c r="EC20" s="865"/>
      <c r="ED20" s="865"/>
      <c r="EE20" s="865"/>
      <c r="EF20" s="865"/>
      <c r="EG20" s="865"/>
      <c r="EH20" s="865"/>
      <c r="EI20" s="865"/>
      <c r="EJ20" s="865"/>
      <c r="EK20" s="865"/>
      <c r="EL20" s="865"/>
      <c r="EM20" s="865"/>
      <c r="EN20" s="865"/>
      <c r="EO20" s="865"/>
      <c r="EP20" s="865"/>
      <c r="EQ20" s="865"/>
      <c r="ER20" s="865"/>
      <c r="ES20" s="865"/>
      <c r="ET20" s="865"/>
      <c r="EU20" s="865"/>
      <c r="EV20" s="865"/>
      <c r="EW20" s="865"/>
      <c r="EX20" s="865"/>
      <c r="EY20" s="865"/>
      <c r="EZ20" s="865"/>
      <c r="FA20" s="865"/>
      <c r="FB20" s="865"/>
      <c r="FC20" s="865"/>
      <c r="FD20" s="865"/>
      <c r="FE20" s="865"/>
      <c r="FF20" s="865"/>
      <c r="FG20" s="865"/>
      <c r="FH20" s="865"/>
      <c r="FI20" s="865"/>
      <c r="FJ20" s="865"/>
      <c r="FK20" s="865"/>
      <c r="FL20" s="865"/>
      <c r="FM20" s="865"/>
      <c r="FN20" s="865"/>
      <c r="FO20" s="865"/>
      <c r="FP20" s="865"/>
      <c r="FQ20" s="865"/>
      <c r="FR20" s="865"/>
      <c r="FS20" s="865"/>
      <c r="FT20" s="865"/>
      <c r="FU20" s="865"/>
      <c r="FV20" s="865"/>
      <c r="FW20" s="865"/>
      <c r="FX20" s="865"/>
      <c r="FY20" s="865"/>
      <c r="FZ20" s="865"/>
      <c r="GA20" s="865"/>
      <c r="GB20" s="865"/>
      <c r="GC20" s="865"/>
      <c r="GD20" s="865"/>
      <c r="GE20" s="865"/>
      <c r="GF20" s="865"/>
      <c r="GG20" s="865"/>
      <c r="GH20" s="865"/>
      <c r="GI20" s="865"/>
      <c r="GJ20" s="865"/>
      <c r="GK20" s="865"/>
      <c r="GL20" s="865"/>
      <c r="GM20" s="865"/>
      <c r="GN20" s="865"/>
      <c r="GO20" s="865"/>
      <c r="GP20" s="865"/>
      <c r="GQ20" s="865"/>
      <c r="GR20" s="865"/>
      <c r="GS20" s="865"/>
      <c r="GT20" s="865"/>
      <c r="GU20" s="865"/>
      <c r="GV20" s="865"/>
      <c r="GW20" s="865"/>
      <c r="GX20" s="865"/>
      <c r="GY20" s="865"/>
      <c r="GZ20" s="865"/>
      <c r="HA20" s="865"/>
      <c r="HB20" s="865"/>
      <c r="HC20" s="865"/>
      <c r="HD20" s="865"/>
      <c r="HE20" s="865"/>
      <c r="HF20" s="865"/>
      <c r="HG20" s="865"/>
      <c r="HH20" s="865"/>
      <c r="HI20" s="865"/>
      <c r="HJ20" s="865"/>
      <c r="HK20" s="865"/>
      <c r="HL20" s="865"/>
      <c r="HM20" s="865"/>
      <c r="HN20" s="865"/>
      <c r="HO20" s="865"/>
      <c r="HP20" s="865"/>
      <c r="HQ20" s="865"/>
      <c r="HR20" s="865"/>
      <c r="HS20" s="865"/>
      <c r="HT20" s="865"/>
      <c r="HU20" s="865"/>
      <c r="HV20" s="865"/>
      <c r="HW20" s="865"/>
      <c r="HX20" s="865"/>
      <c r="HY20" s="865"/>
      <c r="HZ20" s="865"/>
      <c r="IA20" s="865"/>
    </row>
    <row r="21" spans="1:5" s="891" customFormat="1" ht="15.75" hidden="1" thickBot="1" thickTop="1">
      <c r="A21" s="886">
        <v>851</v>
      </c>
      <c r="B21" s="899" t="s">
        <v>227</v>
      </c>
      <c r="C21" s="911">
        <f>SUM(C22)</f>
        <v>0</v>
      </c>
      <c r="D21" s="900">
        <f>SUM(D22)</f>
        <v>0</v>
      </c>
      <c r="E21" s="901"/>
    </row>
    <row r="22" spans="1:235" ht="14.25" hidden="1" thickBot="1" thickTop="1">
      <c r="A22" s="921">
        <v>85158</v>
      </c>
      <c r="B22" s="922" t="s">
        <v>406</v>
      </c>
      <c r="C22" s="923">
        <f>SUM(D22:E22)</f>
        <v>0</v>
      </c>
      <c r="D22" s="924">
        <v>0</v>
      </c>
      <c r="E22" s="925"/>
      <c r="F22" s="865"/>
      <c r="G22" s="865"/>
      <c r="H22" s="865"/>
      <c r="I22" s="865"/>
      <c r="J22" s="865"/>
      <c r="K22" s="865"/>
      <c r="L22" s="865"/>
      <c r="M22" s="865"/>
      <c r="N22" s="865"/>
      <c r="O22" s="865"/>
      <c r="P22" s="865"/>
      <c r="Q22" s="865"/>
      <c r="R22" s="865"/>
      <c r="S22" s="865"/>
      <c r="T22" s="865"/>
      <c r="U22" s="865"/>
      <c r="V22" s="865"/>
      <c r="W22" s="865"/>
      <c r="X22" s="865"/>
      <c r="Y22" s="865"/>
      <c r="Z22" s="865"/>
      <c r="AA22" s="865"/>
      <c r="AB22" s="865"/>
      <c r="AC22" s="865"/>
      <c r="AD22" s="865"/>
      <c r="AE22" s="865"/>
      <c r="AF22" s="865"/>
      <c r="AG22" s="865"/>
      <c r="AH22" s="865"/>
      <c r="AI22" s="865"/>
      <c r="AJ22" s="865"/>
      <c r="AK22" s="865"/>
      <c r="AL22" s="865"/>
      <c r="AM22" s="865"/>
      <c r="AN22" s="865"/>
      <c r="AO22" s="865"/>
      <c r="AP22" s="865"/>
      <c r="AQ22" s="865"/>
      <c r="AR22" s="865"/>
      <c r="AS22" s="865"/>
      <c r="AT22" s="865"/>
      <c r="AU22" s="865"/>
      <c r="AV22" s="865"/>
      <c r="AW22" s="865"/>
      <c r="AX22" s="865"/>
      <c r="AY22" s="865"/>
      <c r="AZ22" s="865"/>
      <c r="BA22" s="865"/>
      <c r="BB22" s="865"/>
      <c r="BC22" s="865"/>
      <c r="BD22" s="865"/>
      <c r="BE22" s="865"/>
      <c r="BF22" s="865"/>
      <c r="BG22" s="865"/>
      <c r="BH22" s="865"/>
      <c r="BI22" s="865"/>
      <c r="BJ22" s="865"/>
      <c r="BK22" s="865"/>
      <c r="BL22" s="865"/>
      <c r="BM22" s="865"/>
      <c r="BN22" s="865"/>
      <c r="BO22" s="865"/>
      <c r="BP22" s="865"/>
      <c r="BQ22" s="865"/>
      <c r="BR22" s="865"/>
      <c r="BS22" s="865"/>
      <c r="BT22" s="865"/>
      <c r="BU22" s="865"/>
      <c r="BV22" s="865"/>
      <c r="BW22" s="865"/>
      <c r="BX22" s="865"/>
      <c r="BY22" s="865"/>
      <c r="BZ22" s="865"/>
      <c r="CA22" s="865"/>
      <c r="CB22" s="865"/>
      <c r="CC22" s="865"/>
      <c r="CD22" s="865"/>
      <c r="CE22" s="865"/>
      <c r="CF22" s="865"/>
      <c r="CG22" s="865"/>
      <c r="CH22" s="865"/>
      <c r="CI22" s="865"/>
      <c r="CJ22" s="865"/>
      <c r="CK22" s="865"/>
      <c r="CL22" s="865"/>
      <c r="CM22" s="865"/>
      <c r="CN22" s="865"/>
      <c r="CO22" s="865"/>
      <c r="CP22" s="865"/>
      <c r="CQ22" s="865"/>
      <c r="CR22" s="865"/>
      <c r="CS22" s="865"/>
      <c r="CT22" s="865"/>
      <c r="CU22" s="865"/>
      <c r="CV22" s="865"/>
      <c r="CW22" s="865"/>
      <c r="CX22" s="865"/>
      <c r="CY22" s="865"/>
      <c r="CZ22" s="865"/>
      <c r="DA22" s="865"/>
      <c r="DB22" s="865"/>
      <c r="DC22" s="865"/>
      <c r="DD22" s="865"/>
      <c r="DE22" s="865"/>
      <c r="DF22" s="865"/>
      <c r="DG22" s="865"/>
      <c r="DH22" s="865"/>
      <c r="DI22" s="865"/>
      <c r="DJ22" s="865"/>
      <c r="DK22" s="865"/>
      <c r="DL22" s="865"/>
      <c r="DM22" s="865"/>
      <c r="DN22" s="865"/>
      <c r="DO22" s="865"/>
      <c r="DP22" s="865"/>
      <c r="DQ22" s="865"/>
      <c r="DR22" s="865"/>
      <c r="DS22" s="865"/>
      <c r="DT22" s="865"/>
      <c r="DU22" s="865"/>
      <c r="DV22" s="865"/>
      <c r="DW22" s="865"/>
      <c r="DX22" s="865"/>
      <c r="DY22" s="865"/>
      <c r="DZ22" s="865"/>
      <c r="EA22" s="865"/>
      <c r="EB22" s="865"/>
      <c r="EC22" s="865"/>
      <c r="ED22" s="865"/>
      <c r="EE22" s="865"/>
      <c r="EF22" s="865"/>
      <c r="EG22" s="865"/>
      <c r="EH22" s="865"/>
      <c r="EI22" s="865"/>
      <c r="EJ22" s="865"/>
      <c r="EK22" s="865"/>
      <c r="EL22" s="865"/>
      <c r="EM22" s="865"/>
      <c r="EN22" s="865"/>
      <c r="EO22" s="865"/>
      <c r="EP22" s="865"/>
      <c r="EQ22" s="865"/>
      <c r="ER22" s="865"/>
      <c r="ES22" s="865"/>
      <c r="ET22" s="865"/>
      <c r="EU22" s="865"/>
      <c r="EV22" s="865"/>
      <c r="EW22" s="865"/>
      <c r="EX22" s="865"/>
      <c r="EY22" s="865"/>
      <c r="EZ22" s="865"/>
      <c r="FA22" s="865"/>
      <c r="FB22" s="865"/>
      <c r="FC22" s="865"/>
      <c r="FD22" s="865"/>
      <c r="FE22" s="865"/>
      <c r="FF22" s="865"/>
      <c r="FG22" s="865"/>
      <c r="FH22" s="865"/>
      <c r="FI22" s="865"/>
      <c r="FJ22" s="865"/>
      <c r="FK22" s="865"/>
      <c r="FL22" s="865"/>
      <c r="FM22" s="865"/>
      <c r="FN22" s="865"/>
      <c r="FO22" s="865"/>
      <c r="FP22" s="865"/>
      <c r="FQ22" s="865"/>
      <c r="FR22" s="865"/>
      <c r="FS22" s="865"/>
      <c r="FT22" s="865"/>
      <c r="FU22" s="865"/>
      <c r="FV22" s="865"/>
      <c r="FW22" s="865"/>
      <c r="FX22" s="865"/>
      <c r="FY22" s="865"/>
      <c r="FZ22" s="865"/>
      <c r="GA22" s="865"/>
      <c r="GB22" s="865"/>
      <c r="GC22" s="865"/>
      <c r="GD22" s="865"/>
      <c r="GE22" s="865"/>
      <c r="GF22" s="865"/>
      <c r="GG22" s="865"/>
      <c r="GH22" s="865"/>
      <c r="GI22" s="865"/>
      <c r="GJ22" s="865"/>
      <c r="GK22" s="865"/>
      <c r="GL22" s="865"/>
      <c r="GM22" s="865"/>
      <c r="GN22" s="865"/>
      <c r="GO22" s="865"/>
      <c r="GP22" s="865"/>
      <c r="GQ22" s="865"/>
      <c r="GR22" s="865"/>
      <c r="GS22" s="865"/>
      <c r="GT22" s="865"/>
      <c r="GU22" s="865"/>
      <c r="GV22" s="865"/>
      <c r="GW22" s="865"/>
      <c r="GX22" s="865"/>
      <c r="GY22" s="865"/>
      <c r="GZ22" s="865"/>
      <c r="HA22" s="865"/>
      <c r="HB22" s="865"/>
      <c r="HC22" s="865"/>
      <c r="HD22" s="865"/>
      <c r="HE22" s="865"/>
      <c r="HF22" s="865"/>
      <c r="HG22" s="865"/>
      <c r="HH22" s="865"/>
      <c r="HI22" s="865"/>
      <c r="HJ22" s="865"/>
      <c r="HK22" s="865"/>
      <c r="HL22" s="865"/>
      <c r="HM22" s="865"/>
      <c r="HN22" s="865"/>
      <c r="HO22" s="865"/>
      <c r="HP22" s="865"/>
      <c r="HQ22" s="865"/>
      <c r="HR22" s="865"/>
      <c r="HS22" s="865"/>
      <c r="HT22" s="865"/>
      <c r="HU22" s="865"/>
      <c r="HV22" s="865"/>
      <c r="HW22" s="865"/>
      <c r="HX22" s="865"/>
      <c r="HY22" s="865"/>
      <c r="HZ22" s="865"/>
      <c r="IA22" s="865"/>
    </row>
    <row r="23" spans="1:5" s="598" customFormat="1" ht="21" customHeight="1" thickBot="1" thickTop="1">
      <c r="A23" s="886">
        <v>852</v>
      </c>
      <c r="B23" s="899" t="s">
        <v>407</v>
      </c>
      <c r="C23" s="926">
        <f>SUM(C24:C27)</f>
        <v>113000</v>
      </c>
      <c r="D23" s="927">
        <f>SUM(D24:D27)</f>
        <v>112000</v>
      </c>
      <c r="E23" s="928">
        <f>SUM(E24:E27)</f>
        <v>1000</v>
      </c>
    </row>
    <row r="24" spans="1:5" s="932" customFormat="1" ht="17.25" customHeight="1" thickTop="1">
      <c r="A24" s="892">
        <v>85201</v>
      </c>
      <c r="B24" s="912" t="s">
        <v>408</v>
      </c>
      <c r="C24" s="929">
        <f>SUM(D24:E24)</f>
        <v>1000</v>
      </c>
      <c r="D24" s="930"/>
      <c r="E24" s="931">
        <v>1000</v>
      </c>
    </row>
    <row r="25" spans="1:5" s="932" customFormat="1" ht="17.25" customHeight="1">
      <c r="A25" s="892">
        <v>85203</v>
      </c>
      <c r="B25" s="912" t="s">
        <v>409</v>
      </c>
      <c r="C25" s="933">
        <f>SUM(D25:E25)</f>
        <v>7000</v>
      </c>
      <c r="D25" s="934">
        <v>7000</v>
      </c>
      <c r="E25" s="935"/>
    </row>
    <row r="26" spans="1:5" s="932" customFormat="1" ht="17.25" customHeight="1" thickBot="1">
      <c r="A26" s="936">
        <v>85219</v>
      </c>
      <c r="B26" s="937" t="s">
        <v>410</v>
      </c>
      <c r="C26" s="938">
        <f>SUM(D26:E26)</f>
        <v>105000</v>
      </c>
      <c r="D26" s="939">
        <v>105000</v>
      </c>
      <c r="E26" s="940"/>
    </row>
    <row r="27" spans="1:5" s="941" customFormat="1" ht="15.75" customHeight="1" hidden="1">
      <c r="A27" s="892">
        <v>85226</v>
      </c>
      <c r="B27" s="912" t="s">
        <v>411</v>
      </c>
      <c r="C27" s="933">
        <f>D27+E27</f>
        <v>0</v>
      </c>
      <c r="D27" s="934"/>
      <c r="E27" s="935">
        <v>0</v>
      </c>
    </row>
    <row r="28" spans="1:5" s="891" customFormat="1" ht="19.5" customHeight="1" thickBot="1" thickTop="1">
      <c r="A28" s="886">
        <v>854</v>
      </c>
      <c r="B28" s="899" t="s">
        <v>232</v>
      </c>
      <c r="C28" s="911">
        <f>C29+C30</f>
        <v>24300</v>
      </c>
      <c r="D28" s="900"/>
      <c r="E28" s="901">
        <f>E29+E30</f>
        <v>24300</v>
      </c>
    </row>
    <row r="29" spans="1:5" s="944" customFormat="1" ht="17.25" customHeight="1" thickTop="1">
      <c r="A29" s="942"/>
      <c r="B29" s="943" t="s">
        <v>412</v>
      </c>
      <c r="C29" s="933">
        <f>SUM(D29:E29)</f>
        <v>8300</v>
      </c>
      <c r="D29" s="934"/>
      <c r="E29" s="935">
        <v>8300</v>
      </c>
    </row>
    <row r="30" spans="1:5" s="944" customFormat="1" ht="17.25" customHeight="1" thickBot="1">
      <c r="A30" s="916">
        <v>85410</v>
      </c>
      <c r="B30" s="917" t="s">
        <v>233</v>
      </c>
      <c r="C30" s="945">
        <f>SUM(D30:E30)</f>
        <v>16000</v>
      </c>
      <c r="D30" s="946"/>
      <c r="E30" s="947">
        <v>16000</v>
      </c>
    </row>
    <row r="31" spans="1:5" s="891" customFormat="1" ht="33" customHeight="1" thickBot="1" thickTop="1">
      <c r="A31" s="886">
        <v>900</v>
      </c>
      <c r="B31" s="899" t="s">
        <v>236</v>
      </c>
      <c r="C31" s="911">
        <f>SUM(C32:C34)</f>
        <v>1518500</v>
      </c>
      <c r="D31" s="900">
        <f>SUM(D32:D34)</f>
        <v>1018500</v>
      </c>
      <c r="E31" s="901">
        <f>SUM(E32:E34)</f>
        <v>500000</v>
      </c>
    </row>
    <row r="32" spans="1:5" s="944" customFormat="1" ht="13.5" customHeight="1" thickTop="1">
      <c r="A32" s="942">
        <v>90001</v>
      </c>
      <c r="B32" s="943" t="s">
        <v>413</v>
      </c>
      <c r="C32" s="933">
        <f>SUM(D32:E32)</f>
        <v>150000</v>
      </c>
      <c r="D32" s="934">
        <v>100000</v>
      </c>
      <c r="E32" s="935">
        <v>50000</v>
      </c>
    </row>
    <row r="33" spans="1:5" s="944" customFormat="1" ht="13.5" customHeight="1">
      <c r="A33" s="948">
        <v>90015</v>
      </c>
      <c r="B33" s="949" t="s">
        <v>414</v>
      </c>
      <c r="C33" s="933">
        <f>SUM(D33:E33)</f>
        <v>1175000</v>
      </c>
      <c r="D33" s="934">
        <v>725000</v>
      </c>
      <c r="E33" s="935">
        <v>450000</v>
      </c>
    </row>
    <row r="34" spans="1:5" s="944" customFormat="1" ht="13.5" customHeight="1" thickBot="1">
      <c r="A34" s="916">
        <v>90095</v>
      </c>
      <c r="B34" s="917" t="s">
        <v>415</v>
      </c>
      <c r="C34" s="945">
        <f>SUM(D34:E34)</f>
        <v>193500</v>
      </c>
      <c r="D34" s="946">
        <v>193500</v>
      </c>
      <c r="E34" s="947"/>
    </row>
    <row r="35" spans="1:12" s="891" customFormat="1" ht="33" customHeight="1" thickBot="1" thickTop="1">
      <c r="A35" s="886">
        <v>921</v>
      </c>
      <c r="B35" s="899" t="s">
        <v>254</v>
      </c>
      <c r="C35" s="911">
        <f>SUM(C36:C39)</f>
        <v>200000</v>
      </c>
      <c r="D35" s="900">
        <f>SUM(D36:D39)</f>
        <v>200000</v>
      </c>
      <c r="E35" s="901"/>
      <c r="F35" s="903"/>
      <c r="G35" s="903"/>
      <c r="H35" s="903"/>
      <c r="I35" s="903"/>
      <c r="J35" s="903"/>
      <c r="K35" s="903"/>
      <c r="L35" s="903"/>
    </row>
    <row r="36" spans="1:12" s="874" customFormat="1" ht="13.5" hidden="1" thickTop="1">
      <c r="A36" s="950">
        <v>92106</v>
      </c>
      <c r="B36" s="951" t="s">
        <v>255</v>
      </c>
      <c r="C36" s="952">
        <f>SUM(D36:E36)</f>
        <v>0</v>
      </c>
      <c r="D36" s="953"/>
      <c r="E36" s="954"/>
      <c r="F36" s="955"/>
      <c r="G36" s="955"/>
      <c r="H36" s="955"/>
      <c r="I36" s="955"/>
      <c r="J36" s="955"/>
      <c r="K36" s="955"/>
      <c r="L36" s="955"/>
    </row>
    <row r="37" spans="1:12" s="874" customFormat="1" ht="13.5" hidden="1" thickTop="1">
      <c r="A37" s="956">
        <v>92116</v>
      </c>
      <c r="B37" s="957" t="s">
        <v>416</v>
      </c>
      <c r="C37" s="958">
        <f>SUM(D37:E37)</f>
        <v>0</v>
      </c>
      <c r="D37" s="959"/>
      <c r="E37" s="960"/>
      <c r="F37" s="955"/>
      <c r="G37" s="955"/>
      <c r="H37" s="955"/>
      <c r="I37" s="955"/>
      <c r="J37" s="955"/>
      <c r="K37" s="955"/>
      <c r="L37" s="955"/>
    </row>
    <row r="38" spans="1:12" s="874" customFormat="1" ht="13.5" hidden="1" thickTop="1">
      <c r="A38" s="892">
        <v>92118</v>
      </c>
      <c r="B38" s="912" t="s">
        <v>417</v>
      </c>
      <c r="C38" s="958">
        <f>SUM(D38:E38)</f>
        <v>0</v>
      </c>
      <c r="D38" s="914"/>
      <c r="E38" s="915"/>
      <c r="F38" s="955"/>
      <c r="G38" s="955"/>
      <c r="H38" s="955"/>
      <c r="I38" s="955"/>
      <c r="J38" s="955"/>
      <c r="K38" s="955"/>
      <c r="L38" s="955"/>
    </row>
    <row r="39" spans="1:12" s="962" customFormat="1" ht="17.25" customHeight="1" thickBot="1" thickTop="1">
      <c r="A39" s="904">
        <v>92120</v>
      </c>
      <c r="B39" s="905" t="s">
        <v>418</v>
      </c>
      <c r="C39" s="906">
        <f>SUM(D39:E39)</f>
        <v>200000</v>
      </c>
      <c r="D39" s="907">
        <v>200000</v>
      </c>
      <c r="E39" s="908"/>
      <c r="F39" s="961"/>
      <c r="G39" s="961"/>
      <c r="H39" s="961"/>
      <c r="I39" s="961"/>
      <c r="J39" s="961"/>
      <c r="K39" s="961"/>
      <c r="L39" s="961"/>
    </row>
    <row r="40" spans="1:12" s="891" customFormat="1" ht="15.75" hidden="1" thickBot="1" thickTop="1">
      <c r="A40" s="886">
        <v>926</v>
      </c>
      <c r="B40" s="899" t="s">
        <v>263</v>
      </c>
      <c r="C40" s="911">
        <f>D40+E40</f>
        <v>0</v>
      </c>
      <c r="D40" s="900">
        <f>SUM(D41)</f>
        <v>0</v>
      </c>
      <c r="E40" s="901"/>
      <c r="F40" s="903"/>
      <c r="G40" s="903"/>
      <c r="H40" s="903"/>
      <c r="I40" s="903"/>
      <c r="J40" s="903"/>
      <c r="K40" s="903"/>
      <c r="L40" s="903"/>
    </row>
    <row r="41" spans="1:235" ht="27.75" customHeight="1" hidden="1">
      <c r="A41" s="936">
        <v>92601</v>
      </c>
      <c r="B41" s="937" t="s">
        <v>419</v>
      </c>
      <c r="C41" s="963">
        <f>SUM(D41:E41)</f>
        <v>0</v>
      </c>
      <c r="D41" s="964">
        <v>0</v>
      </c>
      <c r="E41" s="965"/>
      <c r="F41" s="910"/>
      <c r="G41" s="910"/>
      <c r="H41" s="910"/>
      <c r="I41" s="910"/>
      <c r="J41" s="910"/>
      <c r="K41" s="910"/>
      <c r="L41" s="910"/>
      <c r="M41" s="865"/>
      <c r="N41" s="865"/>
      <c r="O41" s="865"/>
      <c r="P41" s="865"/>
      <c r="Q41" s="865"/>
      <c r="R41" s="865"/>
      <c r="S41" s="865"/>
      <c r="T41" s="865"/>
      <c r="U41" s="865"/>
      <c r="V41" s="865"/>
      <c r="W41" s="865"/>
      <c r="X41" s="865"/>
      <c r="Y41" s="865"/>
      <c r="Z41" s="865"/>
      <c r="AA41" s="865"/>
      <c r="AB41" s="865"/>
      <c r="AC41" s="865"/>
      <c r="AD41" s="865"/>
      <c r="AE41" s="865"/>
      <c r="AF41" s="865"/>
      <c r="AG41" s="865"/>
      <c r="AH41" s="865"/>
      <c r="AI41" s="865"/>
      <c r="AJ41" s="865"/>
      <c r="AK41" s="865"/>
      <c r="AL41" s="865"/>
      <c r="AM41" s="865"/>
      <c r="AN41" s="865"/>
      <c r="AO41" s="865"/>
      <c r="AP41" s="865"/>
      <c r="AQ41" s="865"/>
      <c r="AR41" s="865"/>
      <c r="AS41" s="865"/>
      <c r="AT41" s="865"/>
      <c r="AU41" s="865"/>
      <c r="AV41" s="865"/>
      <c r="AW41" s="865"/>
      <c r="AX41" s="865"/>
      <c r="AY41" s="865"/>
      <c r="AZ41" s="865"/>
      <c r="BA41" s="865"/>
      <c r="BB41" s="865"/>
      <c r="BC41" s="865"/>
      <c r="BD41" s="865"/>
      <c r="BE41" s="865"/>
      <c r="BF41" s="865"/>
      <c r="BG41" s="865"/>
      <c r="BH41" s="865"/>
      <c r="BI41" s="865"/>
      <c r="BJ41" s="865"/>
      <c r="BK41" s="865"/>
      <c r="BL41" s="865"/>
      <c r="BM41" s="865"/>
      <c r="BN41" s="865"/>
      <c r="BO41" s="865"/>
      <c r="BP41" s="865"/>
      <c r="BQ41" s="865"/>
      <c r="BR41" s="865"/>
      <c r="BS41" s="865"/>
      <c r="BT41" s="865"/>
      <c r="BU41" s="865"/>
      <c r="BV41" s="865"/>
      <c r="BW41" s="865"/>
      <c r="BX41" s="865"/>
      <c r="BY41" s="865"/>
      <c r="BZ41" s="865"/>
      <c r="CA41" s="865"/>
      <c r="CB41" s="865"/>
      <c r="CC41" s="865"/>
      <c r="CD41" s="865"/>
      <c r="CE41" s="865"/>
      <c r="CF41" s="865"/>
      <c r="CG41" s="865"/>
      <c r="CH41" s="865"/>
      <c r="CI41" s="865"/>
      <c r="CJ41" s="865"/>
      <c r="CK41" s="865"/>
      <c r="CL41" s="865"/>
      <c r="CM41" s="865"/>
      <c r="CN41" s="865"/>
      <c r="CO41" s="865"/>
      <c r="CP41" s="865"/>
      <c r="CQ41" s="865"/>
      <c r="CR41" s="865"/>
      <c r="CS41" s="865"/>
      <c r="CT41" s="865"/>
      <c r="CU41" s="865"/>
      <c r="CV41" s="865"/>
      <c r="CW41" s="865"/>
      <c r="CX41" s="865"/>
      <c r="CY41" s="865"/>
      <c r="CZ41" s="865"/>
      <c r="DA41" s="865"/>
      <c r="DB41" s="865"/>
      <c r="DC41" s="865"/>
      <c r="DD41" s="865"/>
      <c r="DE41" s="865"/>
      <c r="DF41" s="865"/>
      <c r="DG41" s="865"/>
      <c r="DH41" s="865"/>
      <c r="DI41" s="865"/>
      <c r="DJ41" s="865"/>
      <c r="DK41" s="865"/>
      <c r="DL41" s="865"/>
      <c r="DM41" s="865"/>
      <c r="DN41" s="865"/>
      <c r="DO41" s="865"/>
      <c r="DP41" s="865"/>
      <c r="DQ41" s="865"/>
      <c r="DR41" s="865"/>
      <c r="DS41" s="865"/>
      <c r="DT41" s="865"/>
      <c r="DU41" s="865"/>
      <c r="DV41" s="865"/>
      <c r="DW41" s="865"/>
      <c r="DX41" s="865"/>
      <c r="DY41" s="865"/>
      <c r="DZ41" s="865"/>
      <c r="EA41" s="865"/>
      <c r="EB41" s="865"/>
      <c r="EC41" s="865"/>
      <c r="ED41" s="865"/>
      <c r="EE41" s="865"/>
      <c r="EF41" s="865"/>
      <c r="EG41" s="865"/>
      <c r="EH41" s="865"/>
      <c r="EI41" s="865"/>
      <c r="EJ41" s="865"/>
      <c r="EK41" s="865"/>
      <c r="EL41" s="865"/>
      <c r="EM41" s="865"/>
      <c r="EN41" s="865"/>
      <c r="EO41" s="865"/>
      <c r="EP41" s="865"/>
      <c r="EQ41" s="865"/>
      <c r="ER41" s="865"/>
      <c r="ES41" s="865"/>
      <c r="ET41" s="865"/>
      <c r="EU41" s="865"/>
      <c r="EV41" s="865"/>
      <c r="EW41" s="865"/>
      <c r="EX41" s="865"/>
      <c r="EY41" s="865"/>
      <c r="EZ41" s="865"/>
      <c r="FA41" s="865"/>
      <c r="FB41" s="865"/>
      <c r="FC41" s="865"/>
      <c r="FD41" s="865"/>
      <c r="FE41" s="865"/>
      <c r="FF41" s="865"/>
      <c r="FG41" s="865"/>
      <c r="FH41" s="865"/>
      <c r="FI41" s="865"/>
      <c r="FJ41" s="865"/>
      <c r="FK41" s="865"/>
      <c r="FL41" s="865"/>
      <c r="FM41" s="865"/>
      <c r="FN41" s="865"/>
      <c r="FO41" s="865"/>
      <c r="FP41" s="865"/>
      <c r="FQ41" s="865"/>
      <c r="FR41" s="865"/>
      <c r="FS41" s="865"/>
      <c r="FT41" s="865"/>
      <c r="FU41" s="865"/>
      <c r="FV41" s="865"/>
      <c r="FW41" s="865"/>
      <c r="FX41" s="865"/>
      <c r="FY41" s="865"/>
      <c r="FZ41" s="865"/>
      <c r="GA41" s="865"/>
      <c r="GB41" s="865"/>
      <c r="GC41" s="865"/>
      <c r="GD41" s="865"/>
      <c r="GE41" s="865"/>
      <c r="GF41" s="865"/>
      <c r="GG41" s="865"/>
      <c r="GH41" s="865"/>
      <c r="GI41" s="865"/>
      <c r="GJ41" s="865"/>
      <c r="GK41" s="865"/>
      <c r="GL41" s="865"/>
      <c r="GM41" s="865"/>
      <c r="GN41" s="865"/>
      <c r="GO41" s="865"/>
      <c r="GP41" s="865"/>
      <c r="GQ41" s="865"/>
      <c r="GR41" s="865"/>
      <c r="GS41" s="865"/>
      <c r="GT41" s="865"/>
      <c r="GU41" s="865"/>
      <c r="GV41" s="865"/>
      <c r="GW41" s="865"/>
      <c r="GX41" s="865"/>
      <c r="GY41" s="865"/>
      <c r="GZ41" s="865"/>
      <c r="HA41" s="865"/>
      <c r="HB41" s="865"/>
      <c r="HC41" s="865"/>
      <c r="HD41" s="865"/>
      <c r="HE41" s="865"/>
      <c r="HF41" s="865"/>
      <c r="HG41" s="865"/>
      <c r="HH41" s="865"/>
      <c r="HI41" s="865"/>
      <c r="HJ41" s="865"/>
      <c r="HK41" s="865"/>
      <c r="HL41" s="865"/>
      <c r="HM41" s="865"/>
      <c r="HN41" s="865"/>
      <c r="HO41" s="865"/>
      <c r="HP41" s="865"/>
      <c r="HQ41" s="865"/>
      <c r="HR41" s="865"/>
      <c r="HS41" s="865"/>
      <c r="HT41" s="865"/>
      <c r="HU41" s="865"/>
      <c r="HV41" s="865"/>
      <c r="HW41" s="865"/>
      <c r="HX41" s="865"/>
      <c r="HY41" s="865"/>
      <c r="HZ41" s="865"/>
      <c r="IA41" s="865"/>
    </row>
    <row r="42" spans="1:12" s="972" customFormat="1" ht="21" customHeight="1" thickBot="1" thickTop="1">
      <c r="A42" s="966"/>
      <c r="B42" s="967" t="s">
        <v>1312</v>
      </c>
      <c r="C42" s="968">
        <f>C7+C9+C14+C16+C18+C23+C28+C31+C35</f>
        <v>8107300</v>
      </c>
      <c r="D42" s="969">
        <f>D7+D9+D14+D18+D23+D28+D31+D35</f>
        <v>5478100</v>
      </c>
      <c r="E42" s="970">
        <f>E7+E9+E14+E16+E18+E23+E28+E31+E35</f>
        <v>2629200</v>
      </c>
      <c r="F42" s="971"/>
      <c r="G42" s="971"/>
      <c r="H42" s="971"/>
      <c r="I42" s="971"/>
      <c r="J42" s="971"/>
      <c r="K42" s="971"/>
      <c r="L42" s="971"/>
    </row>
    <row r="43" ht="16.5" thickTop="1"/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111"/>
  <sheetViews>
    <sheetView workbookViewId="0" topLeftCell="A1">
      <selection activeCell="G2" sqref="G2"/>
    </sheetView>
  </sheetViews>
  <sheetFormatPr defaultColWidth="9.00390625" defaultRowHeight="12.75"/>
  <cols>
    <col min="1" max="1" width="5.25390625" style="527" customWidth="1"/>
    <col min="2" max="2" width="54.375" style="528" customWidth="1"/>
    <col min="3" max="3" width="7.125" style="647" hidden="1" customWidth="1"/>
    <col min="4" max="4" width="8.00390625" style="4" hidden="1" customWidth="1"/>
    <col min="5" max="5" width="10.25390625" style="4" hidden="1" customWidth="1"/>
    <col min="6" max="6" width="13.125" style="4" customWidth="1"/>
    <col min="7" max="7" width="15.875" style="4" customWidth="1"/>
    <col min="8" max="8" width="44.625" style="648" customWidth="1"/>
    <col min="9" max="12" width="9.125" style="4" customWidth="1"/>
  </cols>
  <sheetData>
    <row r="1" spans="1:9" ht="33.75" customHeight="1">
      <c r="A1" s="973"/>
      <c r="B1" s="2106" t="s">
        <v>420</v>
      </c>
      <c r="C1" s="2107"/>
      <c r="D1" s="2107"/>
      <c r="E1" s="2107"/>
      <c r="F1" s="2107"/>
      <c r="G1" s="2107"/>
      <c r="H1" s="646" t="s">
        <v>421</v>
      </c>
      <c r="I1" s="645"/>
    </row>
    <row r="2" spans="2:9" ht="18" customHeight="1">
      <c r="B2" s="974"/>
      <c r="D2" s="645"/>
      <c r="E2" s="645"/>
      <c r="F2" s="645"/>
      <c r="G2" s="645"/>
      <c r="H2" s="975"/>
      <c r="I2" s="645"/>
    </row>
    <row r="3" spans="6:7" ht="13.5" thickBot="1">
      <c r="F3" s="531" t="s">
        <v>181</v>
      </c>
      <c r="G3" s="531"/>
    </row>
    <row r="4" spans="1:8" ht="76.5">
      <c r="A4" s="649" t="s">
        <v>1315</v>
      </c>
      <c r="B4" s="533" t="s">
        <v>1316</v>
      </c>
      <c r="C4" s="650" t="s">
        <v>269</v>
      </c>
      <c r="D4" s="651" t="s">
        <v>270</v>
      </c>
      <c r="E4" s="651" t="s">
        <v>271</v>
      </c>
      <c r="F4" s="533" t="s">
        <v>272</v>
      </c>
      <c r="G4" s="976" t="s">
        <v>422</v>
      </c>
      <c r="H4" s="652" t="s">
        <v>273</v>
      </c>
    </row>
    <row r="5" spans="1:12" s="658" customFormat="1" ht="11.25">
      <c r="A5" s="653">
        <v>1</v>
      </c>
      <c r="B5" s="654">
        <v>2</v>
      </c>
      <c r="C5" s="655">
        <v>3</v>
      </c>
      <c r="D5" s="654">
        <v>4</v>
      </c>
      <c r="E5" s="654">
        <v>5</v>
      </c>
      <c r="F5" s="654">
        <v>6</v>
      </c>
      <c r="G5" s="977"/>
      <c r="H5" s="656">
        <v>7</v>
      </c>
      <c r="I5" s="657"/>
      <c r="J5" s="657"/>
      <c r="K5" s="657"/>
      <c r="L5" s="657"/>
    </row>
    <row r="6" spans="1:12" s="634" customFormat="1" ht="21" customHeight="1" thickBot="1">
      <c r="A6" s="978" t="s">
        <v>1325</v>
      </c>
      <c r="B6" s="979" t="s">
        <v>274</v>
      </c>
      <c r="C6" s="980"/>
      <c r="D6" s="981"/>
      <c r="E6" s="981"/>
      <c r="F6" s="982">
        <f>F7+F15+F18+F20+F24+F26+F38+F41</f>
        <v>26366.9</v>
      </c>
      <c r="G6" s="982">
        <f>G7+G15+G18+G20+G65+G24+G26+G38+G41</f>
        <v>52377</v>
      </c>
      <c r="H6" s="983"/>
      <c r="I6" s="633"/>
      <c r="J6" s="633"/>
      <c r="K6" s="633"/>
      <c r="L6" s="633"/>
    </row>
    <row r="7" spans="1:12" s="636" customFormat="1" ht="20.25" customHeight="1" thickBot="1" thickTop="1">
      <c r="A7" s="665">
        <v>1</v>
      </c>
      <c r="B7" s="666" t="s">
        <v>184</v>
      </c>
      <c r="C7" s="667"/>
      <c r="D7" s="666"/>
      <c r="E7" s="666"/>
      <c r="F7" s="668">
        <f>SUM(F11:F14)+F8</f>
        <v>13400</v>
      </c>
      <c r="G7" s="668">
        <f>SUM(G11:G14)+G8</f>
        <v>28700</v>
      </c>
      <c r="H7" s="669"/>
      <c r="I7" s="568"/>
      <c r="J7" s="568"/>
      <c r="K7" s="568"/>
      <c r="L7" s="568"/>
    </row>
    <row r="8" spans="1:55" s="528" customFormat="1" ht="32.25" thickTop="1">
      <c r="A8" s="570">
        <v>1</v>
      </c>
      <c r="B8" s="670" t="s">
        <v>275</v>
      </c>
      <c r="C8" s="671" t="s">
        <v>276</v>
      </c>
      <c r="D8" s="984">
        <v>27000</v>
      </c>
      <c r="E8" s="984">
        <v>15000</v>
      </c>
      <c r="F8" s="984">
        <f>SUM(F9:F10)</f>
        <v>12000</v>
      </c>
      <c r="G8" s="984">
        <v>27000</v>
      </c>
      <c r="H8" s="2108" t="s">
        <v>423</v>
      </c>
      <c r="I8" s="4"/>
      <c r="J8" s="4"/>
      <c r="K8" s="4"/>
      <c r="L8" s="4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</row>
    <row r="9" spans="1:55" s="528" customFormat="1" ht="19.5" customHeight="1">
      <c r="A9" s="570"/>
      <c r="B9" s="553" t="s">
        <v>278</v>
      </c>
      <c r="C9" s="674" t="s">
        <v>279</v>
      </c>
      <c r="D9" s="675"/>
      <c r="E9" s="675">
        <v>5000</v>
      </c>
      <c r="F9" s="675">
        <v>9500</v>
      </c>
      <c r="G9" s="675"/>
      <c r="H9" s="2109"/>
      <c r="I9" s="4"/>
      <c r="J9" s="4"/>
      <c r="K9" s="4"/>
      <c r="L9" s="4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</row>
    <row r="10" spans="1:55" s="528" customFormat="1" ht="15.75" customHeight="1">
      <c r="A10" s="573"/>
      <c r="B10" s="574" t="s">
        <v>281</v>
      </c>
      <c r="C10" s="676" t="s">
        <v>282</v>
      </c>
      <c r="D10" s="677"/>
      <c r="E10" s="677">
        <v>10000</v>
      </c>
      <c r="F10" s="677">
        <v>2500</v>
      </c>
      <c r="G10" s="985"/>
      <c r="H10" s="2110"/>
      <c r="I10" s="4"/>
      <c r="J10" s="4"/>
      <c r="K10" s="4"/>
      <c r="L10" s="4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</row>
    <row r="11" spans="1:55" s="528" customFormat="1" ht="21" customHeight="1">
      <c r="A11" s="679">
        <v>2</v>
      </c>
      <c r="B11" s="680" t="s">
        <v>197</v>
      </c>
      <c r="C11" s="681" t="s">
        <v>284</v>
      </c>
      <c r="D11" s="682">
        <v>4000</v>
      </c>
      <c r="E11" s="682">
        <v>1925</v>
      </c>
      <c r="F11" s="682">
        <v>200</v>
      </c>
      <c r="G11" s="986">
        <v>950</v>
      </c>
      <c r="H11" s="987" t="s">
        <v>424</v>
      </c>
      <c r="I11" s="4"/>
      <c r="J11" s="4"/>
      <c r="K11" s="4"/>
      <c r="L11" s="4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55" s="528" customFormat="1" ht="20.25" customHeight="1">
      <c r="A12" s="679">
        <v>3</v>
      </c>
      <c r="B12" s="680" t="s">
        <v>198</v>
      </c>
      <c r="C12" s="681" t="s">
        <v>284</v>
      </c>
      <c r="D12" s="682">
        <v>3800</v>
      </c>
      <c r="E12" s="682">
        <v>1600</v>
      </c>
      <c r="F12" s="682">
        <v>300</v>
      </c>
      <c r="G12" s="986">
        <v>450</v>
      </c>
      <c r="H12" s="987" t="s">
        <v>425</v>
      </c>
      <c r="I12" s="4"/>
      <c r="J12" s="4"/>
      <c r="K12" s="4"/>
      <c r="L12" s="4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spans="1:55" s="528" customFormat="1" ht="20.25" customHeight="1">
      <c r="A13" s="679">
        <v>4</v>
      </c>
      <c r="B13" s="680" t="s">
        <v>199</v>
      </c>
      <c r="C13" s="681" t="s">
        <v>284</v>
      </c>
      <c r="D13" s="682">
        <v>1510</v>
      </c>
      <c r="E13" s="682">
        <v>100</v>
      </c>
      <c r="F13" s="682">
        <v>500</v>
      </c>
      <c r="G13" s="986">
        <v>300</v>
      </c>
      <c r="H13" s="987" t="s">
        <v>426</v>
      </c>
      <c r="I13" s="4"/>
      <c r="J13" s="4"/>
      <c r="K13" s="4"/>
      <c r="L13" s="4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5" s="528" customFormat="1" ht="18.75" customHeight="1" thickBot="1">
      <c r="A14" s="679">
        <v>5</v>
      </c>
      <c r="B14" s="680" t="s">
        <v>204</v>
      </c>
      <c r="C14" s="681"/>
      <c r="D14" s="682">
        <v>1000</v>
      </c>
      <c r="E14" s="682">
        <v>466</v>
      </c>
      <c r="F14" s="682">
        <v>400</v>
      </c>
      <c r="G14" s="986"/>
      <c r="H14" s="987" t="s">
        <v>425</v>
      </c>
      <c r="I14" s="4"/>
      <c r="J14" s="4"/>
      <c r="K14" s="4"/>
      <c r="L14" s="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spans="1:55" s="528" customFormat="1" ht="21.75" customHeight="1" thickBot="1" thickTop="1">
      <c r="A15" s="665">
        <v>2</v>
      </c>
      <c r="B15" s="666" t="s">
        <v>211</v>
      </c>
      <c r="C15" s="667"/>
      <c r="D15" s="666"/>
      <c r="E15" s="666"/>
      <c r="F15" s="668">
        <f>F16+F17</f>
        <v>1570</v>
      </c>
      <c r="G15" s="668">
        <f>G16+G17</f>
        <v>5100</v>
      </c>
      <c r="H15" s="988"/>
      <c r="I15" s="4"/>
      <c r="J15" s="4"/>
      <c r="K15" s="4"/>
      <c r="L15" s="4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spans="1:55" s="528" customFormat="1" ht="21" customHeight="1" thickTop="1">
      <c r="A16" s="685">
        <v>6</v>
      </c>
      <c r="B16" s="585" t="s">
        <v>214</v>
      </c>
      <c r="C16" s="681" t="s">
        <v>289</v>
      </c>
      <c r="D16" s="686">
        <v>6500</v>
      </c>
      <c r="E16" s="686">
        <v>2600</v>
      </c>
      <c r="F16" s="686">
        <v>1500</v>
      </c>
      <c r="G16" s="989">
        <v>5100</v>
      </c>
      <c r="H16" s="990" t="s">
        <v>424</v>
      </c>
      <c r="I16" s="4"/>
      <c r="J16" s="4"/>
      <c r="K16" s="4"/>
      <c r="L16" s="4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spans="1:55" s="528" customFormat="1" ht="20.25" customHeight="1" thickBot="1">
      <c r="A17" s="679">
        <v>7</v>
      </c>
      <c r="B17" s="680" t="s">
        <v>291</v>
      </c>
      <c r="C17" s="681"/>
      <c r="D17" s="682">
        <v>300</v>
      </c>
      <c r="E17" s="682">
        <v>190</v>
      </c>
      <c r="F17" s="682">
        <v>70</v>
      </c>
      <c r="G17" s="986"/>
      <c r="H17" s="987" t="s">
        <v>425</v>
      </c>
      <c r="I17" s="4"/>
      <c r="J17" s="4"/>
      <c r="K17" s="4"/>
      <c r="L17" s="4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spans="1:55" ht="35.25" customHeight="1" thickBot="1" thickTop="1">
      <c r="A18" s="665">
        <v>3</v>
      </c>
      <c r="B18" s="687" t="s">
        <v>293</v>
      </c>
      <c r="C18" s="667"/>
      <c r="D18" s="688"/>
      <c r="E18" s="688"/>
      <c r="F18" s="689">
        <f>F19</f>
        <v>250</v>
      </c>
      <c r="G18" s="689">
        <f>G19</f>
        <v>297</v>
      </c>
      <c r="H18" s="991"/>
      <c r="I18" s="528"/>
      <c r="J18" s="528"/>
      <c r="K18" s="528"/>
      <c r="L18" s="528"/>
      <c r="M18" s="691"/>
      <c r="N18" s="691"/>
      <c r="O18" s="691"/>
      <c r="P18" s="691"/>
      <c r="Q18" s="691"/>
      <c r="R18" s="691"/>
      <c r="S18" s="691"/>
      <c r="T18" s="691"/>
      <c r="U18" s="691"/>
      <c r="V18" s="691"/>
      <c r="W18" s="691"/>
      <c r="X18" s="691"/>
      <c r="Y18" s="691"/>
      <c r="Z18" s="691"/>
      <c r="AA18" s="691"/>
      <c r="AB18" s="691"/>
      <c r="AC18" s="691"/>
      <c r="AD18" s="691"/>
      <c r="AE18" s="691"/>
      <c r="AF18" s="691"/>
      <c r="AG18" s="691"/>
      <c r="AH18" s="691"/>
      <c r="AI18" s="691"/>
      <c r="AJ18" s="691"/>
      <c r="AK18" s="691"/>
      <c r="AL18" s="691"/>
      <c r="AM18" s="691"/>
      <c r="AN18" s="691"/>
      <c r="AO18" s="691"/>
      <c r="AP18" s="691"/>
      <c r="AQ18" s="691"/>
      <c r="AR18" s="691"/>
      <c r="AS18" s="691"/>
      <c r="AT18" s="691"/>
      <c r="AU18" s="691"/>
      <c r="AV18" s="691"/>
      <c r="AW18" s="691"/>
      <c r="AX18" s="691"/>
      <c r="AY18" s="691"/>
      <c r="AZ18" s="691"/>
      <c r="BA18" s="691"/>
      <c r="BB18" s="691"/>
      <c r="BC18" s="691"/>
    </row>
    <row r="19" spans="1:8" s="606" customFormat="1" ht="23.25" customHeight="1" thickBot="1" thickTop="1">
      <c r="A19" s="721">
        <v>8</v>
      </c>
      <c r="B19" s="992" t="s">
        <v>294</v>
      </c>
      <c r="C19" s="793" t="s">
        <v>295</v>
      </c>
      <c r="D19" s="993"/>
      <c r="E19" s="995">
        <v>200</v>
      </c>
      <c r="F19" s="996">
        <v>250</v>
      </c>
      <c r="G19" s="997">
        <v>297</v>
      </c>
      <c r="H19" s="727" t="s">
        <v>427</v>
      </c>
    </row>
    <row r="20" spans="1:8" s="606" customFormat="1" ht="23.25" customHeight="1" thickBot="1" thickTop="1">
      <c r="A20" s="665">
        <v>4</v>
      </c>
      <c r="B20" s="699" t="s">
        <v>221</v>
      </c>
      <c r="C20" s="667"/>
      <c r="D20" s="700"/>
      <c r="E20" s="701"/>
      <c r="F20" s="689">
        <f>F21+F22+F23</f>
        <v>1605.9</v>
      </c>
      <c r="G20" s="689">
        <f>G21+G22+G23</f>
        <v>0</v>
      </c>
      <c r="H20" s="702"/>
    </row>
    <row r="21" spans="1:8" s="606" customFormat="1" ht="28.5" customHeight="1" thickTop="1">
      <c r="A21" s="573">
        <v>9</v>
      </c>
      <c r="B21" s="703" t="s">
        <v>223</v>
      </c>
      <c r="C21" s="676"/>
      <c r="D21" s="704"/>
      <c r="E21" s="705"/>
      <c r="F21" s="706">
        <v>69</v>
      </c>
      <c r="G21" s="998"/>
      <c r="H21" s="987" t="s">
        <v>426</v>
      </c>
    </row>
    <row r="22" spans="1:8" s="606" customFormat="1" ht="21" customHeight="1">
      <c r="A22" s="573">
        <v>10</v>
      </c>
      <c r="B22" s="703" t="s">
        <v>298</v>
      </c>
      <c r="C22" s="676"/>
      <c r="D22" s="704"/>
      <c r="E22" s="705"/>
      <c r="F22" s="706">
        <v>24.4</v>
      </c>
      <c r="G22" s="998"/>
      <c r="H22" s="987" t="s">
        <v>426</v>
      </c>
    </row>
    <row r="23" spans="1:8" s="606" customFormat="1" ht="21.75" customHeight="1" thickBot="1">
      <c r="A23" s="570">
        <v>11</v>
      </c>
      <c r="B23" s="999" t="s">
        <v>300</v>
      </c>
      <c r="C23" s="674"/>
      <c r="D23" s="790"/>
      <c r="E23" s="788"/>
      <c r="F23" s="675">
        <v>1512.5</v>
      </c>
      <c r="G23" s="572"/>
      <c r="H23" s="987" t="s">
        <v>426</v>
      </c>
    </row>
    <row r="24" spans="1:8" s="606" customFormat="1" ht="26.25" customHeight="1" thickBot="1" thickTop="1">
      <c r="A24" s="665">
        <v>5</v>
      </c>
      <c r="B24" s="719" t="s">
        <v>232</v>
      </c>
      <c r="C24" s="667"/>
      <c r="D24" s="700"/>
      <c r="E24" s="701"/>
      <c r="F24" s="789">
        <f>F25</f>
        <v>160</v>
      </c>
      <c r="G24" s="1000"/>
      <c r="H24" s="1001"/>
    </row>
    <row r="25" spans="1:8" s="606" customFormat="1" ht="21.75" customHeight="1" thickBot="1" thickTop="1">
      <c r="A25" s="573">
        <v>12</v>
      </c>
      <c r="B25" s="717" t="s">
        <v>234</v>
      </c>
      <c r="C25" s="676"/>
      <c r="D25" s="718">
        <v>400</v>
      </c>
      <c r="E25" s="677">
        <v>147</v>
      </c>
      <c r="F25" s="677">
        <v>160</v>
      </c>
      <c r="G25" s="985"/>
      <c r="H25" s="678" t="s">
        <v>302</v>
      </c>
    </row>
    <row r="26" spans="1:8" s="606" customFormat="1" ht="39" customHeight="1" thickBot="1" thickTop="1">
      <c r="A26" s="665">
        <v>6</v>
      </c>
      <c r="B26" s="1002" t="s">
        <v>236</v>
      </c>
      <c r="C26" s="667"/>
      <c r="D26" s="700"/>
      <c r="E26" s="701"/>
      <c r="F26" s="668">
        <f>SUM(F27:F37)</f>
        <v>5605</v>
      </c>
      <c r="G26" s="668">
        <f>SUM(G27:G37)</f>
        <v>9360</v>
      </c>
      <c r="H26" s="1003"/>
    </row>
    <row r="27" spans="1:8" s="606" customFormat="1" ht="29.25" customHeight="1" thickTop="1">
      <c r="A27" s="721">
        <v>13</v>
      </c>
      <c r="B27" s="1004" t="s">
        <v>238</v>
      </c>
      <c r="C27" s="1005"/>
      <c r="D27" s="993"/>
      <c r="E27" s="995"/>
      <c r="F27" s="726">
        <v>3000</v>
      </c>
      <c r="G27" s="726">
        <v>4000</v>
      </c>
      <c r="H27" s="683" t="s">
        <v>428</v>
      </c>
    </row>
    <row r="28" spans="1:8" ht="21.75" customHeight="1">
      <c r="A28" s="728">
        <v>14</v>
      </c>
      <c r="B28" s="729" t="s">
        <v>304</v>
      </c>
      <c r="C28" s="676" t="s">
        <v>295</v>
      </c>
      <c r="D28" s="730">
        <v>1250</v>
      </c>
      <c r="E28" s="730">
        <v>50</v>
      </c>
      <c r="F28" s="730">
        <v>500</v>
      </c>
      <c r="G28" s="1006">
        <v>200</v>
      </c>
      <c r="H28" s="990" t="s">
        <v>426</v>
      </c>
    </row>
    <row r="29" spans="1:55" s="606" customFormat="1" ht="18.75" customHeight="1">
      <c r="A29" s="1007">
        <v>15</v>
      </c>
      <c r="B29" s="732" t="s">
        <v>242</v>
      </c>
      <c r="C29" s="681" t="s">
        <v>295</v>
      </c>
      <c r="D29" s="733">
        <v>5250</v>
      </c>
      <c r="E29" s="733">
        <v>550</v>
      </c>
      <c r="F29" s="733">
        <v>50</v>
      </c>
      <c r="G29" s="1008">
        <v>200</v>
      </c>
      <c r="H29" s="990" t="s">
        <v>426</v>
      </c>
      <c r="I29" s="4"/>
      <c r="J29" s="4"/>
      <c r="K29" s="4"/>
      <c r="L29" s="4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</row>
    <row r="30" spans="1:55" s="606" customFormat="1" ht="18.75" customHeight="1">
      <c r="A30" s="740">
        <v>16</v>
      </c>
      <c r="B30" s="736" t="s">
        <v>307</v>
      </c>
      <c r="C30" s="681"/>
      <c r="D30" s="737">
        <v>1000</v>
      </c>
      <c r="E30" s="737">
        <v>180</v>
      </c>
      <c r="F30" s="737">
        <v>200</v>
      </c>
      <c r="G30" s="1009">
        <v>1750</v>
      </c>
      <c r="H30" s="990" t="s">
        <v>426</v>
      </c>
      <c r="I30" s="4"/>
      <c r="J30" s="4"/>
      <c r="K30" s="4"/>
      <c r="L30" s="4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</row>
    <row r="31" spans="1:55" s="606" customFormat="1" ht="21" customHeight="1">
      <c r="A31" s="740">
        <v>17</v>
      </c>
      <c r="B31" s="736" t="s">
        <v>241</v>
      </c>
      <c r="C31" s="681"/>
      <c r="D31" s="737"/>
      <c r="E31" s="737"/>
      <c r="F31" s="737">
        <v>1000</v>
      </c>
      <c r="G31" s="1009">
        <v>180</v>
      </c>
      <c r="H31" s="990" t="s">
        <v>426</v>
      </c>
      <c r="I31" s="4"/>
      <c r="J31" s="4"/>
      <c r="K31" s="4"/>
      <c r="L31" s="4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</row>
    <row r="32" spans="1:55" s="606" customFormat="1" ht="21" customHeight="1">
      <c r="A32" s="740">
        <v>18</v>
      </c>
      <c r="B32" s="736" t="s">
        <v>247</v>
      </c>
      <c r="C32" s="681"/>
      <c r="D32" s="737"/>
      <c r="E32" s="737"/>
      <c r="F32" s="737">
        <v>75</v>
      </c>
      <c r="G32" s="1009">
        <v>150</v>
      </c>
      <c r="H32" s="990" t="s">
        <v>426</v>
      </c>
      <c r="I32" s="4"/>
      <c r="J32" s="4"/>
      <c r="K32" s="4"/>
      <c r="L32" s="4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</row>
    <row r="33" spans="1:55" s="606" customFormat="1" ht="21" customHeight="1">
      <c r="A33" s="679">
        <v>19</v>
      </c>
      <c r="B33" s="680" t="s">
        <v>249</v>
      </c>
      <c r="C33" s="681" t="s">
        <v>311</v>
      </c>
      <c r="D33" s="682">
        <v>7390</v>
      </c>
      <c r="E33" s="682">
        <v>1300</v>
      </c>
      <c r="F33" s="682">
        <v>200</v>
      </c>
      <c r="G33" s="986">
        <v>2100</v>
      </c>
      <c r="H33" s="990" t="s">
        <v>426</v>
      </c>
      <c r="I33" s="4"/>
      <c r="J33" s="4"/>
      <c r="K33" s="4"/>
      <c r="L33" s="4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</row>
    <row r="34" spans="1:8" ht="18" customHeight="1">
      <c r="A34" s="679">
        <v>20</v>
      </c>
      <c r="B34" s="680" t="s">
        <v>248</v>
      </c>
      <c r="C34" s="681" t="s">
        <v>311</v>
      </c>
      <c r="D34" s="682">
        <v>1500</v>
      </c>
      <c r="E34" s="682">
        <v>1560</v>
      </c>
      <c r="F34" s="682">
        <v>100</v>
      </c>
      <c r="G34" s="986">
        <v>300</v>
      </c>
      <c r="H34" s="990" t="s">
        <v>426</v>
      </c>
    </row>
    <row r="35" spans="1:8" ht="18" customHeight="1">
      <c r="A35" s="679">
        <v>21</v>
      </c>
      <c r="B35" s="680" t="s">
        <v>250</v>
      </c>
      <c r="C35" s="681" t="s">
        <v>311</v>
      </c>
      <c r="D35" s="739" t="s">
        <v>314</v>
      </c>
      <c r="E35" s="680"/>
      <c r="F35" s="682">
        <v>150</v>
      </c>
      <c r="G35" s="986">
        <v>150</v>
      </c>
      <c r="H35" s="987" t="s">
        <v>429</v>
      </c>
    </row>
    <row r="36" spans="1:8" ht="20.25" customHeight="1">
      <c r="A36" s="679">
        <v>22</v>
      </c>
      <c r="B36" s="680" t="s">
        <v>251</v>
      </c>
      <c r="C36" s="681" t="s">
        <v>311</v>
      </c>
      <c r="D36" s="739" t="s">
        <v>314</v>
      </c>
      <c r="E36" s="680"/>
      <c r="F36" s="682">
        <v>100</v>
      </c>
      <c r="G36" s="986">
        <v>100</v>
      </c>
      <c r="H36" s="987" t="s">
        <v>429</v>
      </c>
    </row>
    <row r="37" spans="1:8" ht="18" customHeight="1" thickBot="1">
      <c r="A37" s="740">
        <v>23</v>
      </c>
      <c r="B37" s="736" t="s">
        <v>253</v>
      </c>
      <c r="C37" s="741" t="s">
        <v>317</v>
      </c>
      <c r="D37" s="742" t="s">
        <v>314</v>
      </c>
      <c r="E37" s="736"/>
      <c r="F37" s="737">
        <v>230</v>
      </c>
      <c r="G37" s="1009">
        <v>230</v>
      </c>
      <c r="H37" s="987" t="s">
        <v>429</v>
      </c>
    </row>
    <row r="38" spans="1:8" ht="33.75" customHeight="1" thickBot="1" thickTop="1">
      <c r="A38" s="665">
        <v>7</v>
      </c>
      <c r="B38" s="743" t="s">
        <v>254</v>
      </c>
      <c r="C38" s="667"/>
      <c r="D38" s="744"/>
      <c r="E38" s="666"/>
      <c r="F38" s="789">
        <f>F39+F40</f>
        <v>276</v>
      </c>
      <c r="G38" s="668">
        <f>G39+G40</f>
        <v>800</v>
      </c>
      <c r="H38" s="1003"/>
    </row>
    <row r="39" spans="1:8" ht="21" customHeight="1" thickTop="1">
      <c r="A39" s="728">
        <v>24</v>
      </c>
      <c r="B39" s="729" t="s">
        <v>430</v>
      </c>
      <c r="C39" s="745" t="s">
        <v>319</v>
      </c>
      <c r="D39" s="729">
        <v>1118</v>
      </c>
      <c r="E39" s="1010">
        <v>118</v>
      </c>
      <c r="F39" s="794">
        <v>100</v>
      </c>
      <c r="G39" s="1006">
        <v>500</v>
      </c>
      <c r="H39" s="990" t="s">
        <v>424</v>
      </c>
    </row>
    <row r="40" spans="1:8" ht="21.75" customHeight="1">
      <c r="A40" s="679">
        <v>25</v>
      </c>
      <c r="B40" s="1010" t="s">
        <v>259</v>
      </c>
      <c r="C40" s="681"/>
      <c r="D40" s="766"/>
      <c r="E40" s="1011"/>
      <c r="F40" s="730">
        <v>176</v>
      </c>
      <c r="G40" s="1012">
        <v>300</v>
      </c>
      <c r="H40" s="990" t="s">
        <v>424</v>
      </c>
    </row>
    <row r="41" spans="1:8" ht="24" customHeight="1" thickBot="1">
      <c r="A41" s="710">
        <v>8</v>
      </c>
      <c r="B41" s="1013" t="s">
        <v>263</v>
      </c>
      <c r="C41" s="712"/>
      <c r="D41" s="1014"/>
      <c r="E41" s="1014"/>
      <c r="F41" s="715">
        <f>F42</f>
        <v>3500</v>
      </c>
      <c r="G41" s="1015">
        <f>G42</f>
        <v>8000</v>
      </c>
      <c r="H41" s="1016"/>
    </row>
    <row r="42" spans="1:8" ht="54.75" customHeight="1" thickTop="1">
      <c r="A42" s="1017">
        <v>26</v>
      </c>
      <c r="B42" s="1018" t="s">
        <v>322</v>
      </c>
      <c r="C42" s="1019" t="s">
        <v>323</v>
      </c>
      <c r="D42" s="1018">
        <v>15000</v>
      </c>
      <c r="E42" s="1018">
        <v>1250</v>
      </c>
      <c r="F42" s="1020">
        <v>3500</v>
      </c>
      <c r="G42" s="1021">
        <v>8000</v>
      </c>
      <c r="H42" s="727" t="s">
        <v>324</v>
      </c>
    </row>
    <row r="43" spans="1:8" ht="28.5" customHeight="1" thickBot="1">
      <c r="A43" s="1022" t="s">
        <v>1309</v>
      </c>
      <c r="B43" s="1023" t="s">
        <v>325</v>
      </c>
      <c r="C43" s="1024"/>
      <c r="D43" s="1025"/>
      <c r="E43" s="1026"/>
      <c r="F43" s="1027">
        <f>F44+F61+F63+F65+F67+F69+F71+F75+F80</f>
        <v>31010.2</v>
      </c>
      <c r="G43" s="1028">
        <f>G44+G61+G63+G67+G69+G71+G75+G80</f>
        <v>22481.7</v>
      </c>
      <c r="H43" s="1029"/>
    </row>
    <row r="44" spans="1:8" s="764" customFormat="1" ht="21" customHeight="1" thickBot="1" thickTop="1">
      <c r="A44" s="665">
        <v>1</v>
      </c>
      <c r="B44" s="666" t="s">
        <v>184</v>
      </c>
      <c r="C44" s="667"/>
      <c r="D44" s="666"/>
      <c r="E44" s="666"/>
      <c r="F44" s="668">
        <f>SUM(F45:F50)+F53+F54+F55+F56+F57+F58+F59+F60</f>
        <v>16331.2</v>
      </c>
      <c r="G44" s="789">
        <f>SUM(G45:G50)+G53+G54+G55+G56+G57+G58+G59+G60</f>
        <v>7973.7</v>
      </c>
      <c r="H44" s="1030"/>
    </row>
    <row r="45" spans="1:8" s="764" customFormat="1" ht="28.5" customHeight="1" thickTop="1">
      <c r="A45" s="679">
        <v>27</v>
      </c>
      <c r="B45" s="765" t="s">
        <v>326</v>
      </c>
      <c r="C45" s="681"/>
      <c r="D45" s="680"/>
      <c r="E45" s="680"/>
      <c r="F45" s="682">
        <v>5200</v>
      </c>
      <c r="G45" s="986">
        <v>1300</v>
      </c>
      <c r="H45" s="673" t="s">
        <v>431</v>
      </c>
    </row>
    <row r="46" spans="1:8" s="764" customFormat="1" ht="17.25" customHeight="1">
      <c r="A46" s="679">
        <v>28</v>
      </c>
      <c r="B46" s="680" t="s">
        <v>328</v>
      </c>
      <c r="C46" s="681"/>
      <c r="D46" s="680"/>
      <c r="E46" s="680"/>
      <c r="F46" s="682">
        <v>1600</v>
      </c>
      <c r="G46" s="986">
        <v>4613.7</v>
      </c>
      <c r="H46" s="683" t="s">
        <v>432</v>
      </c>
    </row>
    <row r="47" spans="1:8" s="764" customFormat="1" ht="15.75" customHeight="1">
      <c r="A47" s="679">
        <v>29</v>
      </c>
      <c r="B47" s="680" t="s">
        <v>433</v>
      </c>
      <c r="C47" s="681"/>
      <c r="D47" s="680"/>
      <c r="E47" s="680"/>
      <c r="F47" s="682">
        <v>1600</v>
      </c>
      <c r="G47" s="986"/>
      <c r="H47" s="683" t="s">
        <v>434</v>
      </c>
    </row>
    <row r="48" spans="1:8" s="764" customFormat="1" ht="17.25" customHeight="1">
      <c r="A48" s="679">
        <v>30</v>
      </c>
      <c r="B48" s="680" t="s">
        <v>193</v>
      </c>
      <c r="C48" s="681"/>
      <c r="D48" s="680"/>
      <c r="E48" s="680"/>
      <c r="F48" s="682">
        <v>3000</v>
      </c>
      <c r="G48" s="986">
        <v>1300</v>
      </c>
      <c r="H48" s="683" t="s">
        <v>434</v>
      </c>
    </row>
    <row r="49" spans="1:8" s="764" customFormat="1" ht="20.25" customHeight="1">
      <c r="A49" s="728">
        <v>31</v>
      </c>
      <c r="B49" s="1031" t="s">
        <v>194</v>
      </c>
      <c r="C49" s="676"/>
      <c r="D49" s="729"/>
      <c r="E49" s="729"/>
      <c r="F49" s="730">
        <v>100</v>
      </c>
      <c r="G49" s="1006"/>
      <c r="H49" s="683" t="s">
        <v>434</v>
      </c>
    </row>
    <row r="50" spans="1:8" s="764" customFormat="1" ht="18" customHeight="1">
      <c r="A50" s="567">
        <v>32</v>
      </c>
      <c r="B50" s="736" t="s">
        <v>332</v>
      </c>
      <c r="C50" s="741" t="s">
        <v>284</v>
      </c>
      <c r="D50" s="1032">
        <v>2045.2</v>
      </c>
      <c r="E50" s="1032">
        <v>65</v>
      </c>
      <c r="F50" s="1032">
        <f>SUM(F51:F52)</f>
        <v>1980.2</v>
      </c>
      <c r="G50" s="1033">
        <v>350</v>
      </c>
      <c r="H50" s="673" t="s">
        <v>435</v>
      </c>
    </row>
    <row r="51" spans="1:12" s="691" customFormat="1" ht="20.25" customHeight="1">
      <c r="A51" s="567"/>
      <c r="B51" s="767" t="s">
        <v>334</v>
      </c>
      <c r="C51" s="674" t="s">
        <v>335</v>
      </c>
      <c r="D51" s="767"/>
      <c r="E51" s="767">
        <v>0</v>
      </c>
      <c r="F51" s="767">
        <v>1485.2</v>
      </c>
      <c r="G51" s="767"/>
      <c r="H51" s="673" t="s">
        <v>436</v>
      </c>
      <c r="I51" s="528"/>
      <c r="J51" s="528"/>
      <c r="K51" s="528"/>
      <c r="L51" s="528"/>
    </row>
    <row r="52" spans="1:12" s="691" customFormat="1" ht="19.5" customHeight="1">
      <c r="A52" s="728"/>
      <c r="B52" s="729" t="s">
        <v>336</v>
      </c>
      <c r="C52" s="676" t="s">
        <v>337</v>
      </c>
      <c r="D52" s="729"/>
      <c r="E52" s="729">
        <v>65</v>
      </c>
      <c r="F52" s="729">
        <v>495</v>
      </c>
      <c r="G52" s="729"/>
      <c r="H52" s="678"/>
      <c r="I52" s="528"/>
      <c r="J52" s="528"/>
      <c r="K52" s="528"/>
      <c r="L52" s="528"/>
    </row>
    <row r="53" spans="1:12" s="691" customFormat="1" ht="19.5" customHeight="1">
      <c r="A53" s="679">
        <v>33</v>
      </c>
      <c r="B53" s="680" t="s">
        <v>338</v>
      </c>
      <c r="C53" s="681" t="s">
        <v>284</v>
      </c>
      <c r="D53" s="680">
        <v>260</v>
      </c>
      <c r="E53" s="680">
        <v>10</v>
      </c>
      <c r="F53" s="680">
        <v>250</v>
      </c>
      <c r="G53" s="1034">
        <v>260</v>
      </c>
      <c r="H53" s="683" t="s">
        <v>434</v>
      </c>
      <c r="I53" s="528"/>
      <c r="J53" s="528"/>
      <c r="K53" s="528"/>
      <c r="L53" s="528"/>
    </row>
    <row r="54" spans="1:12" s="691" customFormat="1" ht="19.5" customHeight="1">
      <c r="A54" s="740">
        <v>34</v>
      </c>
      <c r="B54" s="736" t="s">
        <v>201</v>
      </c>
      <c r="C54" s="741" t="s">
        <v>284</v>
      </c>
      <c r="D54" s="736">
        <v>150</v>
      </c>
      <c r="E54" s="736">
        <v>0</v>
      </c>
      <c r="F54" s="736">
        <v>150</v>
      </c>
      <c r="G54" s="1035">
        <v>150</v>
      </c>
      <c r="H54" s="683" t="s">
        <v>434</v>
      </c>
      <c r="I54" s="528"/>
      <c r="J54" s="528"/>
      <c r="K54" s="528"/>
      <c r="L54" s="528"/>
    </row>
    <row r="55" spans="1:12" s="691" customFormat="1" ht="16.5" customHeight="1">
      <c r="A55" s="679">
        <v>35</v>
      </c>
      <c r="B55" s="680" t="s">
        <v>341</v>
      </c>
      <c r="C55" s="681"/>
      <c r="D55" s="680"/>
      <c r="E55" s="680"/>
      <c r="F55" s="682">
        <v>1500</v>
      </c>
      <c r="G55" s="986"/>
      <c r="H55" s="683" t="s">
        <v>434</v>
      </c>
      <c r="I55" s="528"/>
      <c r="J55" s="528"/>
      <c r="K55" s="528"/>
      <c r="L55" s="528"/>
    </row>
    <row r="56" spans="1:12" s="691" customFormat="1" ht="18.75" customHeight="1">
      <c r="A56" s="679">
        <v>36</v>
      </c>
      <c r="B56" s="680" t="s">
        <v>343</v>
      </c>
      <c r="C56" s="681"/>
      <c r="D56" s="680"/>
      <c r="E56" s="682"/>
      <c r="F56" s="682">
        <v>600</v>
      </c>
      <c r="G56" s="986"/>
      <c r="H56" s="683" t="s">
        <v>434</v>
      </c>
      <c r="I56" s="528"/>
      <c r="J56" s="528"/>
      <c r="K56" s="528"/>
      <c r="L56" s="528"/>
    </row>
    <row r="57" spans="1:12" s="691" customFormat="1" ht="20.25" customHeight="1">
      <c r="A57" s="679">
        <v>37</v>
      </c>
      <c r="B57" s="680" t="s">
        <v>206</v>
      </c>
      <c r="C57" s="681"/>
      <c r="D57" s="680"/>
      <c r="E57" s="680"/>
      <c r="F57" s="682">
        <v>170</v>
      </c>
      <c r="G57" s="986"/>
      <c r="H57" s="683" t="s">
        <v>434</v>
      </c>
      <c r="I57" s="528"/>
      <c r="J57" s="528"/>
      <c r="K57" s="528"/>
      <c r="L57" s="528"/>
    </row>
    <row r="58" spans="1:12" s="691" customFormat="1" ht="22.5" customHeight="1">
      <c r="A58" s="679">
        <v>38</v>
      </c>
      <c r="B58" s="680" t="s">
        <v>345</v>
      </c>
      <c r="C58" s="681"/>
      <c r="D58" s="680"/>
      <c r="E58" s="680"/>
      <c r="F58" s="682">
        <v>100</v>
      </c>
      <c r="G58" s="986"/>
      <c r="H58" s="683" t="s">
        <v>434</v>
      </c>
      <c r="I58" s="528"/>
      <c r="J58" s="528"/>
      <c r="K58" s="528"/>
      <c r="L58" s="528"/>
    </row>
    <row r="59" spans="1:12" s="691" customFormat="1" ht="19.5" customHeight="1">
      <c r="A59" s="679">
        <v>39</v>
      </c>
      <c r="B59" s="680" t="s">
        <v>346</v>
      </c>
      <c r="C59" s="681"/>
      <c r="D59" s="680"/>
      <c r="E59" s="680"/>
      <c r="F59" s="682">
        <v>80</v>
      </c>
      <c r="G59" s="986"/>
      <c r="H59" s="683" t="s">
        <v>434</v>
      </c>
      <c r="I59" s="528"/>
      <c r="J59" s="528"/>
      <c r="K59" s="528"/>
      <c r="L59" s="528"/>
    </row>
    <row r="60" spans="1:12" s="691" customFormat="1" ht="21.75" customHeight="1" thickBot="1">
      <c r="A60" s="746">
        <v>40</v>
      </c>
      <c r="B60" s="1036" t="s">
        <v>348</v>
      </c>
      <c r="C60" s="748"/>
      <c r="D60" s="1036"/>
      <c r="E60" s="1036"/>
      <c r="F60" s="1037">
        <v>1</v>
      </c>
      <c r="G60" s="1038"/>
      <c r="H60" s="1039" t="s">
        <v>434</v>
      </c>
      <c r="I60" s="528"/>
      <c r="J60" s="528"/>
      <c r="K60" s="528"/>
      <c r="L60" s="528"/>
    </row>
    <row r="61" spans="1:12" s="691" customFormat="1" ht="22.5" customHeight="1" thickBot="1" thickTop="1">
      <c r="A61" s="665">
        <v>2</v>
      </c>
      <c r="B61" s="666" t="s">
        <v>211</v>
      </c>
      <c r="C61" s="667"/>
      <c r="D61" s="666"/>
      <c r="E61" s="666"/>
      <c r="F61" s="668">
        <f>F62</f>
        <v>6500</v>
      </c>
      <c r="G61" s="668">
        <f>G62</f>
        <v>7500</v>
      </c>
      <c r="H61" s="1003"/>
      <c r="I61" s="528"/>
      <c r="J61" s="528"/>
      <c r="K61" s="528"/>
      <c r="L61" s="528"/>
    </row>
    <row r="62" spans="1:12" s="691" customFormat="1" ht="24" customHeight="1" thickBot="1" thickTop="1">
      <c r="A62" s="567">
        <v>41</v>
      </c>
      <c r="B62" s="767" t="s">
        <v>213</v>
      </c>
      <c r="C62" s="674"/>
      <c r="D62" s="767"/>
      <c r="E62" s="767"/>
      <c r="F62" s="770">
        <v>6500</v>
      </c>
      <c r="G62" s="1040">
        <v>7500</v>
      </c>
      <c r="H62" s="990" t="s">
        <v>424</v>
      </c>
      <c r="I62" s="528"/>
      <c r="J62" s="528"/>
      <c r="K62" s="528"/>
      <c r="L62" s="528"/>
    </row>
    <row r="63" spans="1:12" s="691" customFormat="1" ht="33.75" customHeight="1" thickBot="1" thickTop="1">
      <c r="A63" s="665">
        <v>3</v>
      </c>
      <c r="B63" s="687" t="s">
        <v>293</v>
      </c>
      <c r="C63" s="667"/>
      <c r="D63" s="688"/>
      <c r="E63" s="688"/>
      <c r="F63" s="668">
        <f>F64</f>
        <v>30</v>
      </c>
      <c r="G63" s="668">
        <f>G64</f>
        <v>150</v>
      </c>
      <c r="H63" s="988"/>
      <c r="I63" s="528"/>
      <c r="J63" s="528"/>
      <c r="K63" s="528"/>
      <c r="L63" s="528"/>
    </row>
    <row r="64" spans="1:12" s="691" customFormat="1" ht="21.75" customHeight="1" thickBot="1" thickTop="1">
      <c r="A64" s="570">
        <v>42</v>
      </c>
      <c r="B64" s="999" t="s">
        <v>220</v>
      </c>
      <c r="C64" s="674"/>
      <c r="D64" s="790"/>
      <c r="E64" s="788"/>
      <c r="F64" s="1041">
        <v>30</v>
      </c>
      <c r="G64" s="1042">
        <v>150</v>
      </c>
      <c r="H64" s="673" t="s">
        <v>434</v>
      </c>
      <c r="I64" s="528"/>
      <c r="J64" s="528"/>
      <c r="K64" s="528"/>
      <c r="L64" s="528"/>
    </row>
    <row r="65" spans="1:12" s="691" customFormat="1" ht="21.75" customHeight="1" thickBot="1" thickTop="1">
      <c r="A65" s="665">
        <v>4</v>
      </c>
      <c r="B65" s="699" t="s">
        <v>227</v>
      </c>
      <c r="C65" s="667"/>
      <c r="D65" s="700"/>
      <c r="E65" s="701"/>
      <c r="F65" s="689">
        <f>F66</f>
        <v>120</v>
      </c>
      <c r="G65" s="689">
        <f>G66</f>
        <v>120</v>
      </c>
      <c r="H65" s="1001"/>
      <c r="I65" s="528"/>
      <c r="J65" s="528"/>
      <c r="K65" s="528"/>
      <c r="L65" s="528"/>
    </row>
    <row r="66" spans="1:12" s="691" customFormat="1" ht="26.25" customHeight="1" thickBot="1" thickTop="1">
      <c r="A66" s="570">
        <v>43</v>
      </c>
      <c r="B66" s="786" t="s">
        <v>437</v>
      </c>
      <c r="C66" s="674"/>
      <c r="D66" s="1043">
        <v>250</v>
      </c>
      <c r="E66" s="572">
        <v>130</v>
      </c>
      <c r="F66" s="1044">
        <v>120</v>
      </c>
      <c r="G66" s="1042">
        <v>120</v>
      </c>
      <c r="H66" s="683" t="s">
        <v>428</v>
      </c>
      <c r="I66" s="528"/>
      <c r="J66" s="528"/>
      <c r="K66" s="528"/>
      <c r="L66" s="528"/>
    </row>
    <row r="67" spans="1:12" s="691" customFormat="1" ht="23.25" customHeight="1" thickBot="1" thickTop="1">
      <c r="A67" s="665">
        <v>5</v>
      </c>
      <c r="B67" s="699" t="s">
        <v>230</v>
      </c>
      <c r="C67" s="667"/>
      <c r="D67" s="700"/>
      <c r="E67" s="701"/>
      <c r="F67" s="668">
        <f>F68</f>
        <v>1000</v>
      </c>
      <c r="G67" s="762"/>
      <c r="H67" s="1001"/>
      <c r="I67" s="528"/>
      <c r="J67" s="528"/>
      <c r="K67" s="528"/>
      <c r="L67" s="528"/>
    </row>
    <row r="68" spans="1:12" s="691" customFormat="1" ht="25.5" customHeight="1" thickBot="1" thickTop="1">
      <c r="A68" s="570">
        <v>44</v>
      </c>
      <c r="B68" s="786" t="s">
        <v>352</v>
      </c>
      <c r="C68" s="674"/>
      <c r="D68" s="790"/>
      <c r="E68" s="788"/>
      <c r="F68" s="675">
        <v>1000</v>
      </c>
      <c r="G68" s="572"/>
      <c r="H68" s="987" t="s">
        <v>438</v>
      </c>
      <c r="I68" s="528"/>
      <c r="J68" s="528"/>
      <c r="K68" s="528"/>
      <c r="L68" s="528"/>
    </row>
    <row r="69" spans="1:12" s="691" customFormat="1" ht="19.5" customHeight="1" thickBot="1" thickTop="1">
      <c r="A69" s="665">
        <v>6</v>
      </c>
      <c r="B69" s="719" t="s">
        <v>232</v>
      </c>
      <c r="C69" s="667"/>
      <c r="D69" s="700"/>
      <c r="E69" s="701"/>
      <c r="F69" s="789">
        <f>F70</f>
        <v>35</v>
      </c>
      <c r="G69" s="1045"/>
      <c r="H69" s="1001"/>
      <c r="I69" s="528"/>
      <c r="J69" s="528"/>
      <c r="K69" s="528"/>
      <c r="L69" s="528"/>
    </row>
    <row r="70" spans="1:12" s="691" customFormat="1" ht="22.5" customHeight="1" thickTop="1">
      <c r="A70" s="721">
        <v>45</v>
      </c>
      <c r="B70" s="1004" t="s">
        <v>354</v>
      </c>
      <c r="C70" s="793"/>
      <c r="D70" s="993"/>
      <c r="E70" s="995"/>
      <c r="F70" s="725">
        <v>35</v>
      </c>
      <c r="G70" s="1046"/>
      <c r="H70" s="727" t="s">
        <v>434</v>
      </c>
      <c r="I70" s="528"/>
      <c r="J70" s="528"/>
      <c r="K70" s="528"/>
      <c r="L70" s="528"/>
    </row>
    <row r="71" spans="1:12" s="691" customFormat="1" ht="28.5" customHeight="1" thickBot="1">
      <c r="A71" s="710">
        <v>7</v>
      </c>
      <c r="B71" s="711" t="s">
        <v>236</v>
      </c>
      <c r="C71" s="712"/>
      <c r="D71" s="713"/>
      <c r="E71" s="714"/>
      <c r="F71" s="1015">
        <f>SUM(F72:F74)</f>
        <v>900</v>
      </c>
      <c r="G71" s="1015">
        <f>G73+G74</f>
        <v>2438</v>
      </c>
      <c r="H71" s="698"/>
      <c r="I71" s="528"/>
      <c r="J71" s="528"/>
      <c r="K71" s="528"/>
      <c r="L71" s="528"/>
    </row>
    <row r="72" spans="1:12" s="1052" customFormat="1" ht="28.5" customHeight="1" thickTop="1">
      <c r="A72" s="1047">
        <v>46</v>
      </c>
      <c r="B72" s="780" t="s">
        <v>243</v>
      </c>
      <c r="C72" s="1048"/>
      <c r="D72" s="1049"/>
      <c r="E72" s="1050"/>
      <c r="F72" s="725">
        <v>100</v>
      </c>
      <c r="G72" s="1051">
        <v>200</v>
      </c>
      <c r="H72" s="683" t="s">
        <v>434</v>
      </c>
      <c r="I72" s="606"/>
      <c r="J72" s="606"/>
      <c r="K72" s="606"/>
      <c r="L72" s="606"/>
    </row>
    <row r="73" spans="1:12" s="691" customFormat="1" ht="18.75" customHeight="1">
      <c r="A73" s="735">
        <v>47</v>
      </c>
      <c r="B73" s="736" t="s">
        <v>245</v>
      </c>
      <c r="C73" s="681"/>
      <c r="D73" s="737">
        <v>200</v>
      </c>
      <c r="E73" s="737"/>
      <c r="F73" s="737">
        <v>200</v>
      </c>
      <c r="G73" s="1009">
        <v>350</v>
      </c>
      <c r="H73" s="683" t="s">
        <v>434</v>
      </c>
      <c r="I73" s="528"/>
      <c r="J73" s="528"/>
      <c r="K73" s="528"/>
      <c r="L73" s="528"/>
    </row>
    <row r="74" spans="1:12" s="691" customFormat="1" ht="21" customHeight="1" thickBot="1">
      <c r="A74" s="679">
        <v>48</v>
      </c>
      <c r="B74" s="680" t="s">
        <v>252</v>
      </c>
      <c r="C74" s="681"/>
      <c r="D74" s="796"/>
      <c r="E74" s="682"/>
      <c r="F74" s="682">
        <v>600</v>
      </c>
      <c r="G74" s="986">
        <v>2088</v>
      </c>
      <c r="H74" s="673" t="s">
        <v>434</v>
      </c>
      <c r="I74" s="528"/>
      <c r="J74" s="528"/>
      <c r="K74" s="528"/>
      <c r="L74" s="528"/>
    </row>
    <row r="75" spans="1:21" s="691" customFormat="1" ht="28.5" customHeight="1" thickBot="1" thickTop="1">
      <c r="A75" s="665">
        <v>8</v>
      </c>
      <c r="B75" s="743" t="s">
        <v>254</v>
      </c>
      <c r="C75" s="667"/>
      <c r="D75" s="744"/>
      <c r="E75" s="666"/>
      <c r="F75" s="1053">
        <f>SUM(F76:F77)</f>
        <v>2094</v>
      </c>
      <c r="G75" s="1053">
        <f>SUM(G76:G77)</f>
        <v>2170</v>
      </c>
      <c r="H75" s="1003"/>
      <c r="I75" s="4"/>
      <c r="J75" s="4"/>
      <c r="K75" s="4"/>
      <c r="L75" s="4"/>
      <c r="M75"/>
      <c r="N75"/>
      <c r="O75"/>
      <c r="P75"/>
      <c r="Q75"/>
      <c r="R75"/>
      <c r="S75"/>
      <c r="T75"/>
      <c r="U75"/>
    </row>
    <row r="76" spans="1:21" s="691" customFormat="1" ht="21" customHeight="1" thickTop="1">
      <c r="A76" s="721">
        <v>49</v>
      </c>
      <c r="B76" s="799" t="s">
        <v>256</v>
      </c>
      <c r="C76" s="676" t="s">
        <v>359</v>
      </c>
      <c r="D76" s="677">
        <v>8500</v>
      </c>
      <c r="E76" s="677">
        <v>650</v>
      </c>
      <c r="F76" s="677">
        <v>200</v>
      </c>
      <c r="G76" s="985">
        <v>1350</v>
      </c>
      <c r="H76" s="987" t="s">
        <v>438</v>
      </c>
      <c r="I76" s="4"/>
      <c r="J76" s="4"/>
      <c r="K76" s="4"/>
      <c r="L76" s="4"/>
      <c r="M76"/>
      <c r="N76"/>
      <c r="O76"/>
      <c r="P76"/>
      <c r="Q76"/>
      <c r="R76"/>
      <c r="S76"/>
      <c r="T76"/>
      <c r="U76"/>
    </row>
    <row r="77" spans="1:8" ht="25.5" customHeight="1">
      <c r="A77" s="1054">
        <v>50</v>
      </c>
      <c r="B77" s="566" t="s">
        <v>361</v>
      </c>
      <c r="C77" s="741" t="s">
        <v>362</v>
      </c>
      <c r="D77" s="805">
        <v>1580</v>
      </c>
      <c r="E77" s="805">
        <v>75</v>
      </c>
      <c r="F77" s="1055">
        <f>SUM(F78:F79)</f>
        <v>1894</v>
      </c>
      <c r="G77" s="1055">
        <v>820</v>
      </c>
      <c r="H77" s="1056" t="s">
        <v>439</v>
      </c>
    </row>
    <row r="78" spans="1:8" ht="19.5" customHeight="1">
      <c r="A78" s="552"/>
      <c r="B78" s="553" t="s">
        <v>364</v>
      </c>
      <c r="C78" s="674" t="s">
        <v>335</v>
      </c>
      <c r="D78" s="1057"/>
      <c r="E78" s="675">
        <v>0</v>
      </c>
      <c r="F78" s="1058">
        <v>1126.6</v>
      </c>
      <c r="G78" s="1059"/>
      <c r="H78" s="808" t="s">
        <v>365</v>
      </c>
    </row>
    <row r="79" spans="1:8" ht="14.25" customHeight="1" thickBot="1">
      <c r="A79" s="552"/>
      <c r="B79" s="807" t="s">
        <v>366</v>
      </c>
      <c r="C79" s="674" t="s">
        <v>367</v>
      </c>
      <c r="D79" s="675"/>
      <c r="E79" s="675">
        <v>75</v>
      </c>
      <c r="F79" s="553">
        <v>767.4</v>
      </c>
      <c r="G79" s="1060"/>
      <c r="H79" s="808"/>
    </row>
    <row r="80" spans="1:8" ht="19.5" customHeight="1" thickBot="1" thickTop="1">
      <c r="A80" s="1061">
        <v>9</v>
      </c>
      <c r="B80" s="743" t="s">
        <v>263</v>
      </c>
      <c r="C80" s="667"/>
      <c r="D80" s="810"/>
      <c r="E80" s="810"/>
      <c r="F80" s="668">
        <f>F81</f>
        <v>4000</v>
      </c>
      <c r="G80" s="668">
        <f>G81</f>
        <v>2250</v>
      </c>
      <c r="H80" s="1062"/>
    </row>
    <row r="81" spans="1:8" ht="31.5" customHeight="1" thickTop="1">
      <c r="A81" s="573">
        <v>51</v>
      </c>
      <c r="B81" s="799" t="s">
        <v>266</v>
      </c>
      <c r="C81" s="676" t="s">
        <v>368</v>
      </c>
      <c r="D81" s="677">
        <v>18000</v>
      </c>
      <c r="E81" s="677">
        <v>0</v>
      </c>
      <c r="F81" s="677">
        <v>4000</v>
      </c>
      <c r="G81" s="985">
        <v>2250</v>
      </c>
      <c r="H81" s="678" t="s">
        <v>369</v>
      </c>
    </row>
    <row r="82" spans="1:8" ht="21.75" customHeight="1" thickBot="1">
      <c r="A82" s="1063"/>
      <c r="B82" s="1064" t="s">
        <v>370</v>
      </c>
      <c r="C82" s="1065"/>
      <c r="D82" s="1066"/>
      <c r="E82" s="1066"/>
      <c r="F82" s="1067">
        <f>F6+F43</f>
        <v>57377.100000000006</v>
      </c>
      <c r="G82" s="1067">
        <f>G6+G43</f>
        <v>74858.7</v>
      </c>
      <c r="H82" s="1068"/>
    </row>
    <row r="83" spans="1:21" s="691" customFormat="1" ht="24.75" customHeight="1" thickBot="1">
      <c r="A83" s="635"/>
      <c r="B83" s="4"/>
      <c r="C83" s="4"/>
      <c r="D83" s="4"/>
      <c r="E83" s="4"/>
      <c r="F83"/>
      <c r="G83"/>
      <c r="H83"/>
      <c r="I83" s="606"/>
      <c r="J83" s="606"/>
      <c r="K83" s="606"/>
      <c r="L83" s="606"/>
      <c r="M83" s="606"/>
      <c r="N83" s="606"/>
      <c r="O83" s="606"/>
      <c r="P83" s="606"/>
      <c r="Q83" s="606"/>
      <c r="R83" s="606"/>
      <c r="S83" s="606"/>
      <c r="T83" s="606"/>
      <c r="U83" s="606"/>
    </row>
    <row r="84" spans="1:12" ht="19.5" customHeight="1" thickBot="1" thickTop="1">
      <c r="A84" s="1069"/>
      <c r="B84" s="1070" t="s">
        <v>440</v>
      </c>
      <c r="C84" s="1071" t="e">
        <f>C87+#REF!+C89+C91+C93+C96+C100+C103+C107</f>
        <v>#REF!</v>
      </c>
      <c r="D84" s="1071" t="e">
        <f>D87+#REF!+D89+D91+D93+D96+D100+D103+D107</f>
        <v>#REF!</v>
      </c>
      <c r="E84" s="1072"/>
      <c r="F84" s="1071">
        <f>F85+F87+F89+F91+F93+F96+F100+F103+F107</f>
        <v>8107.3</v>
      </c>
      <c r="G84" s="1071">
        <f>G85+G87+G89+G91+G93+G96+G100+G103+G107</f>
        <v>31589.6</v>
      </c>
      <c r="H84" s="1073"/>
      <c r="I84"/>
      <c r="J84"/>
      <c r="K84"/>
      <c r="L84"/>
    </row>
    <row r="85" spans="1:12" ht="19.5" customHeight="1" thickBot="1" thickTop="1">
      <c r="A85" s="1074">
        <v>1</v>
      </c>
      <c r="B85" s="1075" t="s">
        <v>395</v>
      </c>
      <c r="C85" s="1071"/>
      <c r="D85" s="1071"/>
      <c r="E85" s="1072"/>
      <c r="F85" s="1076">
        <f>F86</f>
        <v>220</v>
      </c>
      <c r="G85" s="1071"/>
      <c r="H85" s="1077"/>
      <c r="I85"/>
      <c r="J85"/>
      <c r="K85"/>
      <c r="L85"/>
    </row>
    <row r="86" spans="1:12" ht="19.5" customHeight="1" thickBot="1" thickTop="1">
      <c r="A86" s="1069"/>
      <c r="B86" s="1078" t="s">
        <v>396</v>
      </c>
      <c r="C86" s="1071"/>
      <c r="D86" s="1071"/>
      <c r="E86" s="1072"/>
      <c r="F86" s="1079">
        <v>220</v>
      </c>
      <c r="G86" s="672">
        <v>800</v>
      </c>
      <c r="H86" s="1080" t="s">
        <v>441</v>
      </c>
      <c r="I86"/>
      <c r="J86"/>
      <c r="K86"/>
      <c r="L86"/>
    </row>
    <row r="87" spans="1:12" ht="20.25" customHeight="1" thickBot="1" thickTop="1">
      <c r="A87" s="1081">
        <v>2</v>
      </c>
      <c r="B87" s="1082" t="s">
        <v>184</v>
      </c>
      <c r="C87" s="1083">
        <f>SUM(C88)</f>
        <v>5327.6</v>
      </c>
      <c r="D87" s="1083">
        <f>SUM(D88)</f>
        <v>5000</v>
      </c>
      <c r="E87" s="1084"/>
      <c r="F87" s="1083">
        <f>SUM(F88)</f>
        <v>4966.7</v>
      </c>
      <c r="G87" s="1083">
        <f>SUM(G88)</f>
        <v>21827.6</v>
      </c>
      <c r="H87" s="1085"/>
      <c r="I87"/>
      <c r="J87"/>
      <c r="K87"/>
      <c r="L87"/>
    </row>
    <row r="88" spans="1:12" ht="18.75" customHeight="1" thickTop="1">
      <c r="A88" s="1086"/>
      <c r="B88" s="1087" t="s">
        <v>442</v>
      </c>
      <c r="C88" s="1088">
        <v>5327.6</v>
      </c>
      <c r="D88" s="1088">
        <v>5000</v>
      </c>
      <c r="E88" s="1089" t="s">
        <v>443</v>
      </c>
      <c r="F88" s="1088">
        <v>4966.7</v>
      </c>
      <c r="G88" s="1088">
        <v>21827.6</v>
      </c>
      <c r="H88" s="1089" t="s">
        <v>443</v>
      </c>
      <c r="I88"/>
      <c r="J88"/>
      <c r="K88"/>
      <c r="L88"/>
    </row>
    <row r="89" spans="1:49" s="634" customFormat="1" ht="18.75" thickBot="1">
      <c r="A89" s="1090">
        <v>3</v>
      </c>
      <c r="B89" s="1091" t="s">
        <v>401</v>
      </c>
      <c r="C89" s="1092">
        <f>SUM(C90:C90)</f>
        <v>700</v>
      </c>
      <c r="D89" s="1092">
        <f>SUM(D90:D90)</f>
        <v>650</v>
      </c>
      <c r="E89" s="1084"/>
      <c r="F89" s="1092">
        <f>SUM(F90:F90)</f>
        <v>555</v>
      </c>
      <c r="G89" s="1092">
        <f>SUM(G90:G90)</f>
        <v>1360</v>
      </c>
      <c r="H89" s="1084"/>
      <c r="I89" s="636"/>
      <c r="J89" s="636"/>
      <c r="K89" s="636"/>
      <c r="L89" s="636"/>
      <c r="M89" s="636"/>
      <c r="N89" s="636"/>
      <c r="O89" s="636"/>
      <c r="P89" s="636"/>
      <c r="Q89" s="636"/>
      <c r="R89" s="636"/>
      <c r="S89" s="636"/>
      <c r="T89" s="636"/>
      <c r="U89" s="636"/>
      <c r="V89" s="636"/>
      <c r="W89" s="636"/>
      <c r="X89" s="636"/>
      <c r="Y89" s="636"/>
      <c r="Z89" s="636"/>
      <c r="AA89" s="636"/>
      <c r="AB89" s="636"/>
      <c r="AC89" s="636"/>
      <c r="AD89" s="636"/>
      <c r="AE89" s="636"/>
      <c r="AF89" s="636"/>
      <c r="AG89" s="636"/>
      <c r="AH89" s="636"/>
      <c r="AI89" s="636"/>
      <c r="AJ89" s="636"/>
      <c r="AK89" s="636"/>
      <c r="AL89" s="636"/>
      <c r="AM89" s="636"/>
      <c r="AN89" s="636"/>
      <c r="AO89" s="636"/>
      <c r="AP89" s="636"/>
      <c r="AQ89" s="636"/>
      <c r="AR89" s="636"/>
      <c r="AS89" s="636"/>
      <c r="AT89" s="636"/>
      <c r="AU89" s="636"/>
      <c r="AV89" s="636"/>
      <c r="AW89" s="636"/>
    </row>
    <row r="90" spans="1:8" s="636" customFormat="1" ht="54.75" customHeight="1" thickBot="1" thickTop="1">
      <c r="A90" s="1086"/>
      <c r="B90" s="1093" t="s">
        <v>444</v>
      </c>
      <c r="C90" s="1094">
        <v>700</v>
      </c>
      <c r="D90" s="1094">
        <v>650</v>
      </c>
      <c r="E90" s="1095" t="s">
        <v>445</v>
      </c>
      <c r="F90" s="1094">
        <v>555</v>
      </c>
      <c r="G90" s="1094">
        <v>1360</v>
      </c>
      <c r="H90" s="1095" t="s">
        <v>445</v>
      </c>
    </row>
    <row r="91" spans="1:15" s="636" customFormat="1" ht="28.5" customHeight="1" thickBot="1" thickTop="1">
      <c r="A91" s="1081">
        <v>4</v>
      </c>
      <c r="B91" s="1096" t="s">
        <v>216</v>
      </c>
      <c r="C91" s="1097">
        <f>SUM(C92:C92)</f>
        <v>47</v>
      </c>
      <c r="D91" s="1097">
        <f>SUM(D92:D92)</f>
        <v>0</v>
      </c>
      <c r="E91" s="1098"/>
      <c r="F91" s="1097">
        <f>SUM(F92:F92)</f>
        <v>60</v>
      </c>
      <c r="G91" s="1097">
        <f>SUM(G92:G92)</f>
        <v>297</v>
      </c>
      <c r="H91" s="1098"/>
      <c r="I91" s="608"/>
      <c r="J91" s="608"/>
      <c r="K91" s="608"/>
      <c r="L91" s="608"/>
      <c r="M91" s="608"/>
      <c r="N91" s="608"/>
      <c r="O91" s="608"/>
    </row>
    <row r="92" spans="1:49" s="636" customFormat="1" ht="18.75" customHeight="1" thickBot="1" thickTop="1">
      <c r="A92" s="1099"/>
      <c r="B92" s="1100" t="s">
        <v>403</v>
      </c>
      <c r="C92" s="1101">
        <v>47</v>
      </c>
      <c r="D92" s="1101">
        <v>0</v>
      </c>
      <c r="E92" s="1102" t="s">
        <v>445</v>
      </c>
      <c r="F92" s="1101">
        <v>60</v>
      </c>
      <c r="G92" s="1101">
        <v>297</v>
      </c>
      <c r="H92" s="1102" t="s">
        <v>445</v>
      </c>
      <c r="I92" s="608"/>
      <c r="J92" s="608"/>
      <c r="K92" s="608"/>
      <c r="L92" s="608"/>
      <c r="M92" s="608"/>
      <c r="N92" s="608"/>
      <c r="O92" s="608"/>
      <c r="P92" s="608"/>
      <c r="Q92" s="608"/>
      <c r="R92" s="608"/>
      <c r="S92" s="608"/>
      <c r="T92" s="608"/>
      <c r="U92" s="608"/>
      <c r="V92" s="608"/>
      <c r="W92" s="608"/>
      <c r="X92" s="608"/>
      <c r="Y92" s="608"/>
      <c r="Z92" s="608"/>
      <c r="AA92" s="608"/>
      <c r="AB92" s="608"/>
      <c r="AC92" s="608"/>
      <c r="AD92" s="608"/>
      <c r="AE92" s="608"/>
      <c r="AF92" s="608"/>
      <c r="AG92" s="608"/>
      <c r="AH92" s="608"/>
      <c r="AI92" s="608"/>
      <c r="AJ92" s="608"/>
      <c r="AK92" s="608"/>
      <c r="AL92" s="608"/>
      <c r="AM92" s="608"/>
      <c r="AN92" s="608"/>
      <c r="AO92" s="608"/>
      <c r="AP92" s="608"/>
      <c r="AQ92" s="608"/>
      <c r="AR92" s="608"/>
      <c r="AS92" s="608"/>
      <c r="AT92" s="608"/>
      <c r="AU92" s="608"/>
      <c r="AV92" s="608"/>
      <c r="AW92" s="608"/>
    </row>
    <row r="93" spans="1:21" s="608" customFormat="1" ht="15.75" customHeight="1" thickBot="1" thickTop="1">
      <c r="A93" s="1081">
        <v>5</v>
      </c>
      <c r="B93" s="1096" t="s">
        <v>221</v>
      </c>
      <c r="C93" s="1097">
        <f>SUM(C94:C95)</f>
        <v>1428.1</v>
      </c>
      <c r="D93" s="1097">
        <f>SUM(D94:D95)</f>
        <v>2050</v>
      </c>
      <c r="E93" s="1098"/>
      <c r="F93" s="1097">
        <f>SUM(F94:F95)</f>
        <v>449.8</v>
      </c>
      <c r="G93" s="1097">
        <f>SUM(G94:G95)</f>
        <v>1280.3</v>
      </c>
      <c r="H93" s="1098"/>
      <c r="I93" s="568"/>
      <c r="J93" s="568"/>
      <c r="K93" s="568"/>
      <c r="L93" s="568"/>
      <c r="M93" s="636"/>
      <c r="N93" s="636"/>
      <c r="O93" s="636"/>
      <c r="P93" s="636"/>
      <c r="Q93" s="636"/>
      <c r="R93" s="636"/>
      <c r="S93" s="636"/>
      <c r="T93" s="636"/>
      <c r="U93" s="636"/>
    </row>
    <row r="94" spans="1:55" s="608" customFormat="1" ht="24.75" customHeight="1" thickTop="1">
      <c r="A94" s="1103"/>
      <c r="B94" s="1093" t="s">
        <v>446</v>
      </c>
      <c r="C94" s="1094">
        <v>202.1</v>
      </c>
      <c r="D94" s="1094">
        <v>250</v>
      </c>
      <c r="E94" s="1095" t="s">
        <v>447</v>
      </c>
      <c r="F94" s="1094">
        <v>201.8</v>
      </c>
      <c r="G94" s="1094">
        <v>250</v>
      </c>
      <c r="H94" s="1095" t="s">
        <v>447</v>
      </c>
      <c r="I94" s="568"/>
      <c r="J94" s="568"/>
      <c r="K94" s="568"/>
      <c r="L94" s="568"/>
      <c r="M94" s="636"/>
      <c r="N94" s="636"/>
      <c r="O94" s="636"/>
      <c r="P94" s="636"/>
      <c r="Q94" s="636"/>
      <c r="R94" s="636"/>
      <c r="S94" s="636"/>
      <c r="T94" s="636"/>
      <c r="U94" s="636"/>
      <c r="V94" s="636"/>
      <c r="W94" s="636"/>
      <c r="X94" s="636"/>
      <c r="Y94" s="636"/>
      <c r="Z94" s="636"/>
      <c r="AA94" s="636"/>
      <c r="AB94" s="636"/>
      <c r="AC94" s="636"/>
      <c r="AD94" s="636"/>
      <c r="AE94" s="636"/>
      <c r="AF94" s="636"/>
      <c r="AG94" s="636"/>
      <c r="AH94" s="636"/>
      <c r="AI94" s="636"/>
      <c r="AJ94" s="636"/>
      <c r="AK94" s="636"/>
      <c r="AL94" s="636"/>
      <c r="AM94" s="636"/>
      <c r="AN94" s="636"/>
      <c r="AO94" s="636"/>
      <c r="AP94" s="636"/>
      <c r="AQ94" s="636"/>
      <c r="AR94" s="636"/>
      <c r="AS94" s="636"/>
      <c r="AT94" s="636"/>
      <c r="AU94" s="636"/>
      <c r="AV94" s="636"/>
      <c r="AW94" s="636"/>
      <c r="AX94" s="636"/>
      <c r="AY94" s="636"/>
      <c r="AZ94" s="636"/>
      <c r="BA94" s="636"/>
      <c r="BB94" s="636"/>
      <c r="BC94" s="636"/>
    </row>
    <row r="95" spans="1:12" s="636" customFormat="1" ht="18.75" customHeight="1" thickBot="1">
      <c r="A95" s="1104"/>
      <c r="B95" s="1105" t="s">
        <v>448</v>
      </c>
      <c r="C95" s="1106">
        <v>1226</v>
      </c>
      <c r="D95" s="1106">
        <v>1800</v>
      </c>
      <c r="E95" s="1107" t="s">
        <v>449</v>
      </c>
      <c r="F95" s="1106">
        <v>248</v>
      </c>
      <c r="G95" s="1106">
        <v>1030.3</v>
      </c>
      <c r="H95" s="1107" t="s">
        <v>449</v>
      </c>
      <c r="I95" s="568"/>
      <c r="J95" s="568"/>
      <c r="K95" s="568"/>
      <c r="L95" s="568"/>
    </row>
    <row r="96" spans="1:12" s="636" customFormat="1" ht="17.25" customHeight="1" thickBot="1" thickTop="1">
      <c r="A96" s="1081">
        <v>6</v>
      </c>
      <c r="B96" s="1096" t="s">
        <v>407</v>
      </c>
      <c r="C96" s="1097">
        <f>SUM(C97:C99)</f>
        <v>48.15</v>
      </c>
      <c r="D96" s="1097">
        <f>SUM(E96:E96)</f>
        <v>0</v>
      </c>
      <c r="E96" s="1098"/>
      <c r="F96" s="1097">
        <f>SUM(F97:F99)</f>
        <v>113</v>
      </c>
      <c r="G96" s="1097">
        <f>SUM(G97:G99)</f>
        <v>570</v>
      </c>
      <c r="H96" s="1098"/>
      <c r="I96" s="568"/>
      <c r="J96" s="568"/>
      <c r="K96" s="568"/>
      <c r="L96" s="568"/>
    </row>
    <row r="97" spans="1:21" s="636" customFormat="1" ht="18" customHeight="1" thickTop="1">
      <c r="A97" s="1103"/>
      <c r="B97" s="1093" t="s">
        <v>450</v>
      </c>
      <c r="C97" s="1108">
        <v>1.15</v>
      </c>
      <c r="D97" s="1108">
        <f>SUM(E97:E97)</f>
        <v>0</v>
      </c>
      <c r="E97" s="1109" t="s">
        <v>445</v>
      </c>
      <c r="F97" s="1108">
        <v>1</v>
      </c>
      <c r="G97" s="1108">
        <f>SUM(H97:H97)</f>
        <v>0</v>
      </c>
      <c r="H97" s="1095" t="s">
        <v>445</v>
      </c>
      <c r="I97" s="640"/>
      <c r="J97" s="641"/>
      <c r="K97" s="641"/>
      <c r="L97" s="641"/>
      <c r="M97" s="642"/>
      <c r="N97" s="642"/>
      <c r="O97" s="642"/>
      <c r="P97" s="642"/>
      <c r="Q97" s="642"/>
      <c r="R97" s="642"/>
      <c r="S97" s="642"/>
      <c r="T97" s="642"/>
      <c r="U97" s="642"/>
    </row>
    <row r="98" spans="1:55" s="636" customFormat="1" ht="16.5" customHeight="1">
      <c r="A98" s="1099"/>
      <c r="B98" s="1110" t="s">
        <v>409</v>
      </c>
      <c r="C98" s="1111">
        <v>2</v>
      </c>
      <c r="D98" s="1111">
        <v>29</v>
      </c>
      <c r="E98" s="1112" t="s">
        <v>445</v>
      </c>
      <c r="F98" s="1111">
        <v>7</v>
      </c>
      <c r="G98" s="1111">
        <v>0</v>
      </c>
      <c r="H98" s="1113" t="s">
        <v>445</v>
      </c>
      <c r="I98" s="640"/>
      <c r="J98" s="641"/>
      <c r="K98" s="641"/>
      <c r="L98" s="641"/>
      <c r="M98" s="642"/>
      <c r="N98" s="642"/>
      <c r="O98" s="642"/>
      <c r="P98" s="642"/>
      <c r="Q98" s="642"/>
      <c r="R98" s="642"/>
      <c r="S98" s="642"/>
      <c r="T98" s="642"/>
      <c r="U98" s="642"/>
      <c r="V98" s="642"/>
      <c r="W98" s="642"/>
      <c r="X98" s="642"/>
      <c r="Y98" s="642"/>
      <c r="Z98" s="642"/>
      <c r="AA98" s="642"/>
      <c r="AB98" s="642"/>
      <c r="AC98" s="642"/>
      <c r="AD98" s="642"/>
      <c r="AE98" s="642"/>
      <c r="AF98" s="642"/>
      <c r="AG98" s="642"/>
      <c r="AH98" s="642"/>
      <c r="AI98" s="642"/>
      <c r="AJ98" s="642"/>
      <c r="AK98" s="642"/>
      <c r="AL98" s="642"/>
      <c r="AM98" s="642"/>
      <c r="AN98" s="642"/>
      <c r="AO98" s="642"/>
      <c r="AP98" s="642"/>
      <c r="AQ98" s="642"/>
      <c r="AR98" s="642"/>
      <c r="AS98" s="642"/>
      <c r="AT98" s="642"/>
      <c r="AU98" s="642"/>
      <c r="AV98" s="642"/>
      <c r="AW98" s="642"/>
      <c r="AX98" s="642"/>
      <c r="AY98" s="642"/>
      <c r="AZ98" s="642"/>
      <c r="BA98" s="642"/>
      <c r="BB98" s="642"/>
      <c r="BC98" s="642"/>
    </row>
    <row r="99" spans="1:12" s="642" customFormat="1" ht="17.25" customHeight="1">
      <c r="A99" s="1114"/>
      <c r="B99" s="1110" t="s">
        <v>410</v>
      </c>
      <c r="C99" s="1111">
        <v>45</v>
      </c>
      <c r="D99" s="1111">
        <v>100</v>
      </c>
      <c r="E99" s="1112" t="s">
        <v>445</v>
      </c>
      <c r="F99" s="1111">
        <v>105</v>
      </c>
      <c r="G99" s="1111">
        <v>570</v>
      </c>
      <c r="H99" s="1113" t="s">
        <v>445</v>
      </c>
      <c r="I99" s="640"/>
      <c r="J99" s="641"/>
      <c r="K99" s="641"/>
      <c r="L99" s="641"/>
    </row>
    <row r="100" spans="1:12" s="642" customFormat="1" ht="21.75" customHeight="1" thickBot="1">
      <c r="A100" s="1090">
        <v>7</v>
      </c>
      <c r="B100" s="1091" t="s">
        <v>232</v>
      </c>
      <c r="C100" s="1115">
        <f>C101+C102</f>
        <v>166.3</v>
      </c>
      <c r="D100" s="1115">
        <f>D101+D102</f>
        <v>50</v>
      </c>
      <c r="E100" s="1116"/>
      <c r="F100" s="1115">
        <f>F101+F102</f>
        <v>24.3</v>
      </c>
      <c r="G100" s="1115">
        <f>G101+G102</f>
        <v>0</v>
      </c>
      <c r="H100" s="1116"/>
      <c r="I100" s="640"/>
      <c r="J100" s="641"/>
      <c r="K100" s="641"/>
      <c r="L100" s="641"/>
    </row>
    <row r="101" spans="1:12" s="642" customFormat="1" ht="19.5" customHeight="1" thickTop="1">
      <c r="A101" s="1117"/>
      <c r="B101" s="1118" t="s">
        <v>412</v>
      </c>
      <c r="C101" s="1108">
        <v>8.3</v>
      </c>
      <c r="D101" s="1108">
        <v>50</v>
      </c>
      <c r="E101" s="1119" t="s">
        <v>451</v>
      </c>
      <c r="F101" s="1108">
        <v>8.3</v>
      </c>
      <c r="G101" s="1108"/>
      <c r="H101" s="1119" t="s">
        <v>451</v>
      </c>
      <c r="I101" s="640"/>
      <c r="J101" s="641"/>
      <c r="K101" s="641"/>
      <c r="L101" s="641"/>
    </row>
    <row r="102" spans="1:12" s="642" customFormat="1" ht="20.25" customHeight="1" thickBot="1">
      <c r="A102" s="1120"/>
      <c r="B102" s="1105" t="s">
        <v>233</v>
      </c>
      <c r="C102" s="1106">
        <v>158</v>
      </c>
      <c r="D102" s="1106">
        <f>SUM(E102:E102)</f>
        <v>0</v>
      </c>
      <c r="E102" s="1107" t="s">
        <v>445</v>
      </c>
      <c r="F102" s="1106">
        <v>16</v>
      </c>
      <c r="G102" s="1106">
        <f>SUM(H102:H102)</f>
        <v>0</v>
      </c>
      <c r="H102" s="1107" t="s">
        <v>445</v>
      </c>
      <c r="I102" s="640"/>
      <c r="J102" s="641"/>
      <c r="K102" s="641"/>
      <c r="L102" s="641"/>
    </row>
    <row r="103" spans="1:12" s="642" customFormat="1" ht="29.25" customHeight="1" thickBot="1" thickTop="1">
      <c r="A103" s="1081">
        <v>8</v>
      </c>
      <c r="B103" s="1096" t="s">
        <v>236</v>
      </c>
      <c r="C103" s="1097">
        <f>SUM(C104:C106)</f>
        <v>1611.7</v>
      </c>
      <c r="D103" s="1097">
        <f>SUM(D104:D106)</f>
        <v>1030</v>
      </c>
      <c r="E103" s="1098"/>
      <c r="F103" s="1097">
        <f>SUM(F104:F106)</f>
        <v>1518.5</v>
      </c>
      <c r="G103" s="1097">
        <f>SUM(G104:G106)</f>
        <v>5954.7</v>
      </c>
      <c r="H103" s="1098"/>
      <c r="I103" s="640"/>
      <c r="J103" s="641"/>
      <c r="K103" s="641"/>
      <c r="L103" s="641"/>
    </row>
    <row r="104" spans="1:12" s="642" customFormat="1" ht="22.5" customHeight="1" thickTop="1">
      <c r="A104" s="1117"/>
      <c r="B104" s="1121" t="s">
        <v>413</v>
      </c>
      <c r="C104" s="1122">
        <v>22</v>
      </c>
      <c r="D104" s="1122">
        <v>30</v>
      </c>
      <c r="E104" s="1123" t="s">
        <v>445</v>
      </c>
      <c r="F104" s="1122">
        <v>150</v>
      </c>
      <c r="G104" s="1122">
        <v>1200</v>
      </c>
      <c r="H104" s="1123" t="s">
        <v>445</v>
      </c>
      <c r="I104" s="640"/>
      <c r="J104" s="641"/>
      <c r="K104" s="641"/>
      <c r="L104" s="641"/>
    </row>
    <row r="105" spans="1:12" s="642" customFormat="1" ht="18.75" customHeight="1">
      <c r="A105" s="1124"/>
      <c r="B105" s="1121" t="s">
        <v>452</v>
      </c>
      <c r="C105" s="1111">
        <v>1300</v>
      </c>
      <c r="D105" s="1111">
        <v>1000</v>
      </c>
      <c r="E105" s="1125" t="s">
        <v>453</v>
      </c>
      <c r="F105" s="1111">
        <v>1175</v>
      </c>
      <c r="G105" s="1111">
        <v>4300</v>
      </c>
      <c r="H105" s="1125" t="s">
        <v>453</v>
      </c>
      <c r="I105" s="640"/>
      <c r="J105" s="641"/>
      <c r="K105" s="641"/>
      <c r="L105" s="641"/>
    </row>
    <row r="106" spans="1:21" s="642" customFormat="1" ht="21" customHeight="1" thickBot="1">
      <c r="A106" s="1120"/>
      <c r="B106" s="1105" t="s">
        <v>454</v>
      </c>
      <c r="C106" s="1106">
        <v>289.7</v>
      </c>
      <c r="D106" s="1106">
        <f>SUM(E106:E106)</f>
        <v>0</v>
      </c>
      <c r="E106" s="1107" t="s">
        <v>445</v>
      </c>
      <c r="F106" s="1106">
        <v>193.5</v>
      </c>
      <c r="G106" s="1106">
        <v>454.7</v>
      </c>
      <c r="H106" s="1107" t="s">
        <v>445</v>
      </c>
      <c r="I106" s="4"/>
      <c r="J106" s="4"/>
      <c r="K106" s="4"/>
      <c r="L106" s="4"/>
      <c r="M106"/>
      <c r="N106"/>
      <c r="O106"/>
      <c r="P106"/>
      <c r="Q106"/>
      <c r="R106"/>
      <c r="S106"/>
      <c r="T106"/>
      <c r="U106"/>
    </row>
    <row r="107" spans="1:55" s="642" customFormat="1" ht="30" thickBot="1" thickTop="1">
      <c r="A107" s="1081">
        <v>9</v>
      </c>
      <c r="B107" s="1096" t="s">
        <v>254</v>
      </c>
      <c r="C107" s="1097">
        <f>SUM(C108:C108)</f>
        <v>100</v>
      </c>
      <c r="D107" s="1097">
        <f>SUM(D108:D108)</f>
        <v>100</v>
      </c>
      <c r="E107" s="1098"/>
      <c r="F107" s="1097">
        <f>SUM(F108:F108)</f>
        <v>200</v>
      </c>
      <c r="G107" s="1097">
        <f>SUM(G108:G108)</f>
        <v>300</v>
      </c>
      <c r="H107" s="1098"/>
      <c r="I107" s="4"/>
      <c r="J107" s="4"/>
      <c r="K107" s="4"/>
      <c r="L107" s="4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</row>
    <row r="108" spans="1:8" ht="24" customHeight="1" thickBot="1" thickTop="1">
      <c r="A108" s="1099"/>
      <c r="B108" s="1100" t="s">
        <v>418</v>
      </c>
      <c r="C108" s="1101">
        <v>100</v>
      </c>
      <c r="D108" s="1101">
        <v>100</v>
      </c>
      <c r="E108" s="1102" t="s">
        <v>441</v>
      </c>
      <c r="F108" s="1101">
        <v>200</v>
      </c>
      <c r="G108" s="1101">
        <v>300</v>
      </c>
      <c r="H108" s="1102" t="s">
        <v>441</v>
      </c>
    </row>
    <row r="109" spans="1:8" ht="30" customHeight="1" thickBot="1" thickTop="1">
      <c r="A109" s="1126"/>
      <c r="B109" s="1127" t="s">
        <v>455</v>
      </c>
      <c r="C109" s="1128" t="e">
        <f>C84+#REF!</f>
        <v>#REF!</v>
      </c>
      <c r="D109" s="1128" t="e">
        <f>D84+#REF!</f>
        <v>#REF!</v>
      </c>
      <c r="E109" s="1129"/>
      <c r="F109" s="1128">
        <f>F84+F82</f>
        <v>65484.40000000001</v>
      </c>
      <c r="G109" s="1128">
        <f>G84+G82</f>
        <v>106448.29999999999</v>
      </c>
      <c r="H109" s="1129"/>
    </row>
    <row r="110" spans="2:8" ht="13.5" thickTop="1">
      <c r="B110" s="152"/>
      <c r="H110" s="4"/>
    </row>
    <row r="111" ht="12.75">
      <c r="B111" s="152"/>
    </row>
  </sheetData>
  <mergeCells count="2">
    <mergeCell ref="B1:G1"/>
    <mergeCell ref="H8:H1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08"/>
  <sheetViews>
    <sheetView workbookViewId="0" topLeftCell="A1">
      <selection activeCell="G4" sqref="G4"/>
    </sheetView>
  </sheetViews>
  <sheetFormatPr defaultColWidth="9.00390625" defaultRowHeight="12.75"/>
  <cols>
    <col min="1" max="1" width="3.625" style="380" customWidth="1"/>
    <col min="2" max="2" width="6.375" style="484" customWidth="1"/>
    <col min="3" max="3" width="12.125" style="249" customWidth="1"/>
    <col min="4" max="4" width="35.75390625" style="380" customWidth="1"/>
    <col min="5" max="6" width="19.75390625" style="380" customWidth="1"/>
    <col min="7" max="7" width="3.375" style="380" customWidth="1"/>
    <col min="8" max="16384" width="9.125" style="380" customWidth="1"/>
  </cols>
  <sheetData>
    <row r="1" ht="10.5" customHeight="1"/>
    <row r="2" ht="15.75">
      <c r="F2" s="1130" t="s">
        <v>456</v>
      </c>
    </row>
    <row r="3" spans="1:7" s="1133" customFormat="1" ht="49.5">
      <c r="A3" s="1131" t="s">
        <v>457</v>
      </c>
      <c r="B3" s="1132"/>
      <c r="C3" s="1131"/>
      <c r="D3" s="1131"/>
      <c r="E3" s="1131"/>
      <c r="F3" s="1131"/>
      <c r="G3" s="1131"/>
    </row>
    <row r="4" spans="1:7" s="1133" customFormat="1" ht="17.25">
      <c r="A4" s="1131" t="s">
        <v>458</v>
      </c>
      <c r="B4" s="1132"/>
      <c r="C4" s="1131"/>
      <c r="D4" s="1131"/>
      <c r="E4" s="1131"/>
      <c r="F4" s="1131"/>
      <c r="G4" s="1131"/>
    </row>
    <row r="5" ht="15" customHeight="1" thickBot="1">
      <c r="F5" s="385" t="s">
        <v>1420</v>
      </c>
    </row>
    <row r="6" spans="2:6" s="484" customFormat="1" ht="48.75" thickBot="1" thickTop="1">
      <c r="B6" s="1134" t="s">
        <v>1315</v>
      </c>
      <c r="C6" s="1135" t="s">
        <v>459</v>
      </c>
      <c r="D6" s="1136" t="s">
        <v>460</v>
      </c>
      <c r="E6" s="1136" t="s">
        <v>1312</v>
      </c>
      <c r="F6" s="1137" t="s">
        <v>461</v>
      </c>
    </row>
    <row r="7" spans="2:8" s="508" customFormat="1" ht="44.25" customHeight="1" thickBot="1" thickTop="1">
      <c r="B7" s="1138"/>
      <c r="C7" s="1139" t="s">
        <v>462</v>
      </c>
      <c r="D7" s="1140" t="s">
        <v>463</v>
      </c>
      <c r="E7" s="1141">
        <f>E8+E14+E17+E23+E28+E32+E35+E39+E43+E47+E52+E56+E60+E64+E69+E72+E77+E81+E86+E90</f>
        <v>44528600</v>
      </c>
      <c r="F7" s="1142">
        <f>F8+F14+F17+F23+F28+F32+F35+F39+F43+F47+F52+F56+F60+F64+F69+F72+F77+F81+F86+F90</f>
        <v>36941000</v>
      </c>
      <c r="G7" s="1143"/>
      <c r="H7" s="1143"/>
    </row>
    <row r="8" spans="2:6" s="508" customFormat="1" ht="20.25" customHeight="1" thickTop="1">
      <c r="B8" s="1144">
        <v>1</v>
      </c>
      <c r="C8" s="1145"/>
      <c r="D8" s="1146" t="s">
        <v>464</v>
      </c>
      <c r="E8" s="1146">
        <f>SUM(E9:E13)</f>
        <v>3025700</v>
      </c>
      <c r="F8" s="1147">
        <f>SUM(F9:F13)</f>
        <v>2128300</v>
      </c>
    </row>
    <row r="9" spans="2:6" s="1148" customFormat="1" ht="15" customHeight="1">
      <c r="B9" s="1149"/>
      <c r="C9" s="1150">
        <v>80101</v>
      </c>
      <c r="D9" s="1151" t="s">
        <v>465</v>
      </c>
      <c r="E9" s="1151">
        <v>1716100</v>
      </c>
      <c r="F9" s="1152">
        <v>1438700</v>
      </c>
    </row>
    <row r="10" spans="2:6" s="1148" customFormat="1" ht="15" customHeight="1">
      <c r="B10" s="1153"/>
      <c r="C10" s="1150">
        <v>80110</v>
      </c>
      <c r="D10" s="1151" t="s">
        <v>466</v>
      </c>
      <c r="E10" s="1151">
        <v>677900</v>
      </c>
      <c r="F10" s="1152">
        <v>584400</v>
      </c>
    </row>
    <row r="11" spans="2:6" s="1148" customFormat="1" ht="15" customHeight="1">
      <c r="B11" s="1153"/>
      <c r="C11" s="1150">
        <v>80146</v>
      </c>
      <c r="D11" s="1151" t="s">
        <v>467</v>
      </c>
      <c r="E11" s="1151">
        <v>10900</v>
      </c>
      <c r="F11" s="1152">
        <v>10300</v>
      </c>
    </row>
    <row r="12" spans="2:6" s="1148" customFormat="1" ht="15" customHeight="1">
      <c r="B12" s="1153"/>
      <c r="C12" s="1150">
        <v>80195</v>
      </c>
      <c r="D12" s="1151" t="s">
        <v>468</v>
      </c>
      <c r="E12" s="1151">
        <v>534900</v>
      </c>
      <c r="F12" s="1152">
        <v>13700</v>
      </c>
    </row>
    <row r="13" spans="2:6" s="1148" customFormat="1" ht="15" customHeight="1">
      <c r="B13" s="1154"/>
      <c r="C13" s="1150">
        <v>85401</v>
      </c>
      <c r="D13" s="1151" t="s">
        <v>469</v>
      </c>
      <c r="E13" s="1151">
        <v>85900</v>
      </c>
      <c r="F13" s="1152">
        <v>81200</v>
      </c>
    </row>
    <row r="14" spans="2:6" s="508" customFormat="1" ht="17.25" customHeight="1">
      <c r="B14" s="1155">
        <v>2</v>
      </c>
      <c r="C14" s="1156"/>
      <c r="D14" s="1157" t="s">
        <v>470</v>
      </c>
      <c r="E14" s="1157">
        <f>SUM(E15:E16)</f>
        <v>1736500</v>
      </c>
      <c r="F14" s="1158">
        <f>SUM(F15:F16)</f>
        <v>1456300</v>
      </c>
    </row>
    <row r="15" spans="2:6" s="1148" customFormat="1" ht="15" customHeight="1">
      <c r="B15" s="1149"/>
      <c r="C15" s="1150">
        <v>80110</v>
      </c>
      <c r="D15" s="1151" t="s">
        <v>466</v>
      </c>
      <c r="E15" s="1151">
        <v>1727900</v>
      </c>
      <c r="F15" s="1152">
        <v>1447700</v>
      </c>
    </row>
    <row r="16" spans="2:6" s="1148" customFormat="1" ht="15" customHeight="1">
      <c r="B16" s="1154"/>
      <c r="C16" s="1150">
        <v>80195</v>
      </c>
      <c r="D16" s="1151" t="s">
        <v>468</v>
      </c>
      <c r="E16" s="1151">
        <v>8600</v>
      </c>
      <c r="F16" s="1152">
        <v>8600</v>
      </c>
    </row>
    <row r="17" spans="2:6" s="508" customFormat="1" ht="20.25" customHeight="1">
      <c r="B17" s="1155">
        <v>3</v>
      </c>
      <c r="C17" s="1159"/>
      <c r="D17" s="1157" t="s">
        <v>471</v>
      </c>
      <c r="E17" s="1157">
        <f>SUM(E18:E22)</f>
        <v>3449500</v>
      </c>
      <c r="F17" s="1158">
        <f>SUM(F18:F22)</f>
        <v>2893800</v>
      </c>
    </row>
    <row r="18" spans="2:6" s="1148" customFormat="1" ht="15" customHeight="1">
      <c r="B18" s="1149"/>
      <c r="C18" s="1150">
        <v>80101</v>
      </c>
      <c r="D18" s="1151" t="s">
        <v>465</v>
      </c>
      <c r="E18" s="1151">
        <v>1806100</v>
      </c>
      <c r="F18" s="1152">
        <v>1512000</v>
      </c>
    </row>
    <row r="19" spans="2:6" s="1148" customFormat="1" ht="15" customHeight="1">
      <c r="B19" s="1153"/>
      <c r="C19" s="1150">
        <v>80103</v>
      </c>
      <c r="D19" s="1151" t="s">
        <v>472</v>
      </c>
      <c r="E19" s="1151">
        <v>55000</v>
      </c>
      <c r="F19" s="1152">
        <v>52700</v>
      </c>
    </row>
    <row r="20" spans="2:6" s="1148" customFormat="1" ht="15" customHeight="1">
      <c r="B20" s="1153"/>
      <c r="C20" s="1150">
        <v>80110</v>
      </c>
      <c r="D20" s="1151" t="s">
        <v>473</v>
      </c>
      <c r="E20" s="1151">
        <v>1468600</v>
      </c>
      <c r="F20" s="1152">
        <v>1238300</v>
      </c>
    </row>
    <row r="21" spans="2:6" s="1148" customFormat="1" ht="15" customHeight="1">
      <c r="B21" s="1153"/>
      <c r="C21" s="1150">
        <v>80195</v>
      </c>
      <c r="D21" s="1151" t="s">
        <v>468</v>
      </c>
      <c r="E21" s="1151">
        <v>49300</v>
      </c>
      <c r="F21" s="1152">
        <v>23700</v>
      </c>
    </row>
    <row r="22" spans="2:6" s="1148" customFormat="1" ht="15" customHeight="1">
      <c r="B22" s="1154"/>
      <c r="C22" s="1150">
        <v>85401</v>
      </c>
      <c r="D22" s="1151" t="s">
        <v>469</v>
      </c>
      <c r="E22" s="1151">
        <v>70500</v>
      </c>
      <c r="F22" s="1152">
        <v>67100</v>
      </c>
    </row>
    <row r="23" spans="2:6" s="164" customFormat="1" ht="21.75" customHeight="1">
      <c r="B23" s="1155">
        <v>4</v>
      </c>
      <c r="C23" s="1159"/>
      <c r="D23" s="1157" t="s">
        <v>474</v>
      </c>
      <c r="E23" s="1157">
        <f>SUM(E24:E27)</f>
        <v>1544600</v>
      </c>
      <c r="F23" s="1158">
        <f>SUM(F24:F27)</f>
        <v>1250400</v>
      </c>
    </row>
    <row r="24" spans="2:6" s="1148" customFormat="1" ht="15" customHeight="1">
      <c r="B24" s="1149"/>
      <c r="C24" s="1150">
        <v>80101</v>
      </c>
      <c r="D24" s="1151" t="s">
        <v>475</v>
      </c>
      <c r="E24" s="1151">
        <v>1427100</v>
      </c>
      <c r="F24" s="1152">
        <v>1154500</v>
      </c>
    </row>
    <row r="25" spans="2:6" s="1148" customFormat="1" ht="15" customHeight="1">
      <c r="B25" s="1153"/>
      <c r="C25" s="1150">
        <v>80146</v>
      </c>
      <c r="D25" s="1151" t="s">
        <v>467</v>
      </c>
      <c r="E25" s="1151">
        <v>7300</v>
      </c>
      <c r="F25" s="1152">
        <v>6900</v>
      </c>
    </row>
    <row r="26" spans="2:6" s="1148" customFormat="1" ht="15" customHeight="1">
      <c r="B26" s="1153"/>
      <c r="C26" s="1150">
        <v>80195</v>
      </c>
      <c r="D26" s="1151" t="s">
        <v>468</v>
      </c>
      <c r="E26" s="1151">
        <v>24600</v>
      </c>
      <c r="F26" s="1152">
        <v>8800</v>
      </c>
    </row>
    <row r="27" spans="2:6" s="1148" customFormat="1" ht="15" customHeight="1">
      <c r="B27" s="1154"/>
      <c r="C27" s="1150">
        <v>85401</v>
      </c>
      <c r="D27" s="1151" t="s">
        <v>469</v>
      </c>
      <c r="E27" s="1151">
        <v>85600</v>
      </c>
      <c r="F27" s="1152">
        <v>80200</v>
      </c>
    </row>
    <row r="28" spans="2:6" s="164" customFormat="1" ht="20.25" customHeight="1">
      <c r="B28" s="1155">
        <v>5</v>
      </c>
      <c r="C28" s="1156"/>
      <c r="D28" s="1157" t="s">
        <v>476</v>
      </c>
      <c r="E28" s="1157">
        <f>SUM(E29:E31)</f>
        <v>1884000</v>
      </c>
      <c r="F28" s="1158">
        <f>SUM(F29:F31)</f>
        <v>1549400</v>
      </c>
    </row>
    <row r="29" spans="2:6" s="1148" customFormat="1" ht="15" customHeight="1">
      <c r="B29" s="1149"/>
      <c r="C29" s="1150">
        <v>80101</v>
      </c>
      <c r="D29" s="1151" t="s">
        <v>475</v>
      </c>
      <c r="E29" s="1151">
        <v>1764900</v>
      </c>
      <c r="F29" s="1152">
        <v>1458600</v>
      </c>
    </row>
    <row r="30" spans="2:6" s="1148" customFormat="1" ht="15" customHeight="1">
      <c r="B30" s="1153"/>
      <c r="C30" s="1150">
        <v>80195</v>
      </c>
      <c r="D30" s="1151" t="s">
        <v>468</v>
      </c>
      <c r="E30" s="1151">
        <v>42800</v>
      </c>
      <c r="F30" s="1152">
        <v>18500</v>
      </c>
    </row>
    <row r="31" spans="2:6" s="1148" customFormat="1" ht="15" customHeight="1">
      <c r="B31" s="1154"/>
      <c r="C31" s="1150">
        <v>85401</v>
      </c>
      <c r="D31" s="1151" t="s">
        <v>469</v>
      </c>
      <c r="E31" s="1151">
        <v>76300</v>
      </c>
      <c r="F31" s="1152">
        <v>72300</v>
      </c>
    </row>
    <row r="32" spans="2:6" s="164" customFormat="1" ht="17.25" customHeight="1">
      <c r="B32" s="1155">
        <v>6</v>
      </c>
      <c r="C32" s="1156"/>
      <c r="D32" s="1157" t="s">
        <v>477</v>
      </c>
      <c r="E32" s="1157">
        <f>SUM(E33:E34)</f>
        <v>1354000</v>
      </c>
      <c r="F32" s="1158">
        <f>SUM(F33:F34)</f>
        <v>1134800</v>
      </c>
    </row>
    <row r="33" spans="2:6" s="1148" customFormat="1" ht="15" customHeight="1">
      <c r="B33" s="1149"/>
      <c r="C33" s="1150">
        <v>80110</v>
      </c>
      <c r="D33" s="1151" t="s">
        <v>466</v>
      </c>
      <c r="E33" s="1151">
        <v>1339800</v>
      </c>
      <c r="F33" s="1152">
        <v>1120600</v>
      </c>
    </row>
    <row r="34" spans="2:6" s="1148" customFormat="1" ht="21.75" customHeight="1">
      <c r="B34" s="1154"/>
      <c r="C34" s="1150">
        <v>80195</v>
      </c>
      <c r="D34" s="1151" t="s">
        <v>468</v>
      </c>
      <c r="E34" s="1151">
        <v>14200</v>
      </c>
      <c r="F34" s="1152">
        <v>14200</v>
      </c>
    </row>
    <row r="35" spans="2:6" s="164" customFormat="1" ht="20.25" customHeight="1">
      <c r="B35" s="1155">
        <v>7</v>
      </c>
      <c r="C35" s="1159"/>
      <c r="D35" s="1157" t="s">
        <v>478</v>
      </c>
      <c r="E35" s="1157">
        <f>SUM(E36:E38)</f>
        <v>2217900</v>
      </c>
      <c r="F35" s="1158">
        <f>SUM(F36:F38)</f>
        <v>1846000</v>
      </c>
    </row>
    <row r="36" spans="2:6" s="1148" customFormat="1" ht="15" customHeight="1">
      <c r="B36" s="1149"/>
      <c r="C36" s="1150">
        <v>80101</v>
      </c>
      <c r="D36" s="1151" t="s">
        <v>475</v>
      </c>
      <c r="E36" s="1151">
        <v>2073600</v>
      </c>
      <c r="F36" s="1152">
        <v>1728500</v>
      </c>
    </row>
    <row r="37" spans="2:6" s="1148" customFormat="1" ht="12" customHeight="1">
      <c r="B37" s="1153"/>
      <c r="C37" s="1150">
        <v>80195</v>
      </c>
      <c r="D37" s="1151" t="s">
        <v>468</v>
      </c>
      <c r="E37" s="1151">
        <v>33600</v>
      </c>
      <c r="F37" s="1152">
        <v>11900</v>
      </c>
    </row>
    <row r="38" spans="2:6" s="1148" customFormat="1" ht="15" customHeight="1">
      <c r="B38" s="1154"/>
      <c r="C38" s="1150">
        <v>85401</v>
      </c>
      <c r="D38" s="1151" t="s">
        <v>469</v>
      </c>
      <c r="E38" s="1151">
        <v>110700</v>
      </c>
      <c r="F38" s="1152">
        <v>105600</v>
      </c>
    </row>
    <row r="39" spans="2:6" s="164" customFormat="1" ht="15" customHeight="1">
      <c r="B39" s="1155">
        <v>8</v>
      </c>
      <c r="C39" s="1160"/>
      <c r="D39" s="1157" t="s">
        <v>479</v>
      </c>
      <c r="E39" s="1157">
        <f>SUM(E40:E42)</f>
        <v>2160100</v>
      </c>
      <c r="F39" s="1158">
        <f>SUM(F40:F42)</f>
        <v>1767600</v>
      </c>
    </row>
    <row r="40" spans="2:6" s="1148" customFormat="1" ht="15" customHeight="1">
      <c r="B40" s="1149"/>
      <c r="C40" s="1150">
        <v>80101</v>
      </c>
      <c r="D40" s="1151" t="s">
        <v>475</v>
      </c>
      <c r="E40" s="1151">
        <v>2048500</v>
      </c>
      <c r="F40" s="1152">
        <v>1684400</v>
      </c>
    </row>
    <row r="41" spans="2:6" s="1148" customFormat="1" ht="15" customHeight="1">
      <c r="B41" s="1153"/>
      <c r="C41" s="1150">
        <v>80195</v>
      </c>
      <c r="D41" s="1151" t="s">
        <v>468</v>
      </c>
      <c r="E41" s="1151">
        <v>37400</v>
      </c>
      <c r="F41" s="1152">
        <v>13100</v>
      </c>
    </row>
    <row r="42" spans="2:6" s="1148" customFormat="1" ht="15.75">
      <c r="B42" s="1154"/>
      <c r="C42" s="1150">
        <v>85401</v>
      </c>
      <c r="D42" s="1151" t="s">
        <v>469</v>
      </c>
      <c r="E42" s="1151">
        <v>74200</v>
      </c>
      <c r="F42" s="1152">
        <v>70100</v>
      </c>
    </row>
    <row r="43" spans="2:6" s="164" customFormat="1" ht="21" customHeight="1">
      <c r="B43" s="1155">
        <v>9</v>
      </c>
      <c r="C43" s="1160"/>
      <c r="D43" s="1157" t="s">
        <v>480</v>
      </c>
      <c r="E43" s="1157">
        <f>SUM(E44:E46)</f>
        <v>2781400</v>
      </c>
      <c r="F43" s="1158">
        <f>SUM(F44:F46)</f>
        <v>2360800</v>
      </c>
    </row>
    <row r="44" spans="2:6" s="1148" customFormat="1" ht="15" customHeight="1">
      <c r="B44" s="1149"/>
      <c r="C44" s="1150">
        <v>80101</v>
      </c>
      <c r="D44" s="1151" t="s">
        <v>465</v>
      </c>
      <c r="E44" s="1151">
        <v>2611600</v>
      </c>
      <c r="F44" s="1152">
        <v>2227200</v>
      </c>
    </row>
    <row r="45" spans="2:6" s="1148" customFormat="1" ht="15.75">
      <c r="B45" s="1153"/>
      <c r="C45" s="1150">
        <v>80195</v>
      </c>
      <c r="D45" s="1151" t="s">
        <v>468</v>
      </c>
      <c r="E45" s="1151">
        <v>67500</v>
      </c>
      <c r="F45" s="1152">
        <f>25500+10000</f>
        <v>35500</v>
      </c>
    </row>
    <row r="46" spans="2:6" s="1148" customFormat="1" ht="15" customHeight="1">
      <c r="B46" s="1154"/>
      <c r="C46" s="1150">
        <v>85401</v>
      </c>
      <c r="D46" s="1151" t="s">
        <v>469</v>
      </c>
      <c r="E46" s="1151">
        <v>102300</v>
      </c>
      <c r="F46" s="1152">
        <v>98100</v>
      </c>
    </row>
    <row r="47" spans="2:6" s="164" customFormat="1" ht="21" customHeight="1">
      <c r="B47" s="1161">
        <v>10</v>
      </c>
      <c r="C47" s="1159"/>
      <c r="D47" s="1157" t="s">
        <v>481</v>
      </c>
      <c r="E47" s="1157">
        <f>SUM(E48:E51)</f>
        <v>2006100</v>
      </c>
      <c r="F47" s="1158">
        <f>SUM(F48:F51)</f>
        <v>1673200</v>
      </c>
    </row>
    <row r="48" spans="2:6" s="1148" customFormat="1" ht="15" customHeight="1">
      <c r="B48" s="1149"/>
      <c r="C48" s="1150">
        <v>80101</v>
      </c>
      <c r="D48" s="1151" t="s">
        <v>465</v>
      </c>
      <c r="E48" s="1151">
        <v>1897300</v>
      </c>
      <c r="F48" s="1152">
        <v>1589000</v>
      </c>
    </row>
    <row r="49" spans="2:6" s="1148" customFormat="1" ht="15" customHeight="1" hidden="1">
      <c r="B49" s="1153"/>
      <c r="C49" s="1150">
        <v>80146</v>
      </c>
      <c r="D49" s="1151" t="s">
        <v>467</v>
      </c>
      <c r="E49" s="1151"/>
      <c r="F49" s="1152"/>
    </row>
    <row r="50" spans="2:6" s="1148" customFormat="1" ht="15" customHeight="1">
      <c r="B50" s="1153"/>
      <c r="C50" s="1150">
        <v>80195</v>
      </c>
      <c r="D50" s="1151" t="s">
        <v>468</v>
      </c>
      <c r="E50" s="1151">
        <v>43600</v>
      </c>
      <c r="F50" s="1152">
        <v>23400</v>
      </c>
    </row>
    <row r="51" spans="2:6" s="1148" customFormat="1" ht="15.75" customHeight="1">
      <c r="B51" s="1154"/>
      <c r="C51" s="1150">
        <v>85401</v>
      </c>
      <c r="D51" s="1151" t="s">
        <v>469</v>
      </c>
      <c r="E51" s="1151">
        <v>65200</v>
      </c>
      <c r="F51" s="1152">
        <v>60800</v>
      </c>
    </row>
    <row r="52" spans="2:6" s="164" customFormat="1" ht="21" customHeight="1">
      <c r="B52" s="1162">
        <v>11</v>
      </c>
      <c r="C52" s="1159"/>
      <c r="D52" s="1157" t="s">
        <v>482</v>
      </c>
      <c r="E52" s="1157">
        <f>SUM(E53:E55)</f>
        <v>2469500</v>
      </c>
      <c r="F52" s="1158">
        <f>SUM(F53:F55)</f>
        <v>2031800</v>
      </c>
    </row>
    <row r="53" spans="2:6" s="1148" customFormat="1" ht="15" customHeight="1">
      <c r="B53" s="1149"/>
      <c r="C53" s="1150">
        <v>80110</v>
      </c>
      <c r="D53" s="1151" t="s">
        <v>466</v>
      </c>
      <c r="E53" s="1151">
        <v>2364600</v>
      </c>
      <c r="F53" s="1152">
        <v>2011100</v>
      </c>
    </row>
    <row r="54" spans="2:6" s="1148" customFormat="1" ht="15" customHeight="1">
      <c r="B54" s="1153"/>
      <c r="C54" s="1150">
        <v>80146</v>
      </c>
      <c r="D54" s="1151" t="s">
        <v>467</v>
      </c>
      <c r="E54" s="1151">
        <v>8600</v>
      </c>
      <c r="F54" s="1152">
        <v>8100</v>
      </c>
    </row>
    <row r="55" spans="2:6" s="1148" customFormat="1" ht="15" customHeight="1">
      <c r="B55" s="1154"/>
      <c r="C55" s="1150">
        <v>80195</v>
      </c>
      <c r="D55" s="1151" t="s">
        <v>468</v>
      </c>
      <c r="E55" s="1151">
        <v>96300</v>
      </c>
      <c r="F55" s="1152">
        <v>12600</v>
      </c>
    </row>
    <row r="56" spans="2:6" s="164" customFormat="1" ht="21" customHeight="1">
      <c r="B56" s="1162">
        <v>12</v>
      </c>
      <c r="C56" s="1159"/>
      <c r="D56" s="1157" t="s">
        <v>483</v>
      </c>
      <c r="E56" s="1157">
        <f>SUM(E57:E59)</f>
        <v>1339600</v>
      </c>
      <c r="F56" s="1158">
        <f>SUM(F57:F59)</f>
        <v>1097600</v>
      </c>
    </row>
    <row r="57" spans="2:6" s="1148" customFormat="1" ht="15" customHeight="1">
      <c r="B57" s="1149"/>
      <c r="C57" s="1150">
        <v>80101</v>
      </c>
      <c r="D57" s="1151" t="s">
        <v>465</v>
      </c>
      <c r="E57" s="1151">
        <v>1260600</v>
      </c>
      <c r="F57" s="1152">
        <v>1036400</v>
      </c>
    </row>
    <row r="58" spans="2:6" s="1148" customFormat="1" ht="15" customHeight="1">
      <c r="B58" s="1153"/>
      <c r="C58" s="1150">
        <v>80195</v>
      </c>
      <c r="D58" s="1151" t="s">
        <v>468</v>
      </c>
      <c r="E58" s="1151">
        <v>22400</v>
      </c>
      <c r="F58" s="1152">
        <v>6800</v>
      </c>
    </row>
    <row r="59" spans="2:6" s="1148" customFormat="1" ht="15" customHeight="1">
      <c r="B59" s="1154"/>
      <c r="C59" s="1150">
        <v>85401</v>
      </c>
      <c r="D59" s="1151" t="s">
        <v>469</v>
      </c>
      <c r="E59" s="1151">
        <v>56600</v>
      </c>
      <c r="F59" s="1152">
        <v>54400</v>
      </c>
    </row>
    <row r="60" spans="2:6" s="164" customFormat="1" ht="21" customHeight="1">
      <c r="B60" s="1162">
        <v>13</v>
      </c>
      <c r="C60" s="1159"/>
      <c r="D60" s="1157" t="s">
        <v>484</v>
      </c>
      <c r="E60" s="1157">
        <f>SUM(E61:E63)</f>
        <v>3398800</v>
      </c>
      <c r="F60" s="1158">
        <f>SUM(F61:F63)</f>
        <v>2885900</v>
      </c>
    </row>
    <row r="61" spans="2:6" s="1148" customFormat="1" ht="15" customHeight="1">
      <c r="B61" s="1149"/>
      <c r="C61" s="1150">
        <v>80110</v>
      </c>
      <c r="D61" s="1151" t="s">
        <v>466</v>
      </c>
      <c r="E61" s="1151">
        <v>3354300</v>
      </c>
      <c r="F61" s="1152">
        <v>2842200</v>
      </c>
    </row>
    <row r="62" spans="2:6" s="1148" customFormat="1" ht="15" customHeight="1">
      <c r="B62" s="1153"/>
      <c r="C62" s="1150">
        <v>80146</v>
      </c>
      <c r="D62" s="1151" t="s">
        <v>467</v>
      </c>
      <c r="E62" s="1151">
        <v>19700</v>
      </c>
      <c r="F62" s="1152">
        <v>18900</v>
      </c>
    </row>
    <row r="63" spans="2:6" s="1148" customFormat="1" ht="15" customHeight="1">
      <c r="B63" s="1154"/>
      <c r="C63" s="1150">
        <v>80195</v>
      </c>
      <c r="D63" s="1151" t="s">
        <v>468</v>
      </c>
      <c r="E63" s="1151">
        <v>24800</v>
      </c>
      <c r="F63" s="1152">
        <v>24800</v>
      </c>
    </row>
    <row r="64" spans="2:6" s="164" customFormat="1" ht="21" customHeight="1">
      <c r="B64" s="1162">
        <v>14</v>
      </c>
      <c r="C64" s="1159"/>
      <c r="D64" s="1157" t="s">
        <v>485</v>
      </c>
      <c r="E64" s="1157">
        <f>SUM(E65:E68)</f>
        <v>4081800</v>
      </c>
      <c r="F64" s="1158">
        <f>SUM(F65:F68)</f>
        <v>3401000</v>
      </c>
    </row>
    <row r="65" spans="2:6" s="1148" customFormat="1" ht="15" customHeight="1">
      <c r="B65" s="1149"/>
      <c r="C65" s="1150">
        <v>80101</v>
      </c>
      <c r="D65" s="1151" t="s">
        <v>465</v>
      </c>
      <c r="E65" s="1151">
        <v>3787000</v>
      </c>
      <c r="F65" s="1152">
        <v>3163000</v>
      </c>
    </row>
    <row r="66" spans="2:6" s="1148" customFormat="1" ht="15" customHeight="1">
      <c r="B66" s="1153"/>
      <c r="C66" s="1150">
        <v>80103</v>
      </c>
      <c r="D66" s="1151" t="s">
        <v>472</v>
      </c>
      <c r="E66" s="1151">
        <v>85000</v>
      </c>
      <c r="F66" s="1152">
        <v>78600</v>
      </c>
    </row>
    <row r="67" spans="2:6" s="1148" customFormat="1" ht="15" customHeight="1">
      <c r="B67" s="1153"/>
      <c r="C67" s="1150">
        <v>80195</v>
      </c>
      <c r="D67" s="1151" t="s">
        <v>468</v>
      </c>
      <c r="E67" s="1151">
        <v>69800</v>
      </c>
      <c r="F67" s="1152">
        <v>28800</v>
      </c>
    </row>
    <row r="68" spans="2:6" s="1148" customFormat="1" ht="15" customHeight="1">
      <c r="B68" s="1154"/>
      <c r="C68" s="1150">
        <v>85401</v>
      </c>
      <c r="D68" s="1151" t="s">
        <v>469</v>
      </c>
      <c r="E68" s="1151">
        <v>140000</v>
      </c>
      <c r="F68" s="1152">
        <v>130600</v>
      </c>
    </row>
    <row r="69" spans="2:6" s="164" customFormat="1" ht="21" customHeight="1">
      <c r="B69" s="1162">
        <v>15</v>
      </c>
      <c r="C69" s="1159"/>
      <c r="D69" s="1157" t="s">
        <v>486</v>
      </c>
      <c r="E69" s="1157">
        <f>SUM(E70:E71)</f>
        <v>2099000</v>
      </c>
      <c r="F69" s="1158">
        <f>SUM(F70:F71)</f>
        <v>1779000</v>
      </c>
    </row>
    <row r="70" spans="2:6" s="1148" customFormat="1" ht="15" customHeight="1">
      <c r="B70" s="1149"/>
      <c r="C70" s="1150">
        <v>80110</v>
      </c>
      <c r="D70" s="1151" t="s">
        <v>466</v>
      </c>
      <c r="E70" s="1151">
        <v>2089000</v>
      </c>
      <c r="F70" s="1152">
        <v>1769000</v>
      </c>
    </row>
    <row r="71" spans="2:6" s="1148" customFormat="1" ht="15" customHeight="1">
      <c r="B71" s="1154"/>
      <c r="C71" s="1150">
        <v>80195</v>
      </c>
      <c r="D71" s="1151" t="s">
        <v>468</v>
      </c>
      <c r="E71" s="1151">
        <v>10000</v>
      </c>
      <c r="F71" s="1152">
        <v>10000</v>
      </c>
    </row>
    <row r="72" spans="2:6" s="164" customFormat="1" ht="21" customHeight="1">
      <c r="B72" s="1162">
        <v>16</v>
      </c>
      <c r="C72" s="1159"/>
      <c r="D72" s="1157" t="s">
        <v>487</v>
      </c>
      <c r="E72" s="1157">
        <f>SUM(E73:E76)</f>
        <v>3045400</v>
      </c>
      <c r="F72" s="1158">
        <f>SUM(F73:F76)</f>
        <v>2551100</v>
      </c>
    </row>
    <row r="73" spans="2:6" s="1148" customFormat="1" ht="15" customHeight="1">
      <c r="B73" s="1149"/>
      <c r="C73" s="1150">
        <v>80101</v>
      </c>
      <c r="D73" s="1151" t="s">
        <v>465</v>
      </c>
      <c r="E73" s="1151">
        <v>2818300</v>
      </c>
      <c r="F73" s="1152">
        <v>2375800</v>
      </c>
    </row>
    <row r="74" spans="2:6" s="1148" customFormat="1" ht="15" customHeight="1">
      <c r="B74" s="1153"/>
      <c r="C74" s="1150">
        <v>80146</v>
      </c>
      <c r="D74" s="1151" t="s">
        <v>467</v>
      </c>
      <c r="E74" s="1151">
        <v>20900</v>
      </c>
      <c r="F74" s="1152">
        <v>19900</v>
      </c>
    </row>
    <row r="75" spans="2:6" s="1148" customFormat="1" ht="15" customHeight="1">
      <c r="B75" s="1153"/>
      <c r="C75" s="1150">
        <v>80195</v>
      </c>
      <c r="D75" s="1151" t="s">
        <v>468</v>
      </c>
      <c r="E75" s="1151">
        <v>58600</v>
      </c>
      <c r="F75" s="1152">
        <v>17600</v>
      </c>
    </row>
    <row r="76" spans="2:6" s="1148" customFormat="1" ht="15.75">
      <c r="B76" s="1154"/>
      <c r="C76" s="1150">
        <v>85401</v>
      </c>
      <c r="D76" s="1151" t="s">
        <v>469</v>
      </c>
      <c r="E76" s="1151">
        <v>147600</v>
      </c>
      <c r="F76" s="1152">
        <v>137800</v>
      </c>
    </row>
    <row r="77" spans="2:6" s="164" customFormat="1" ht="21" customHeight="1">
      <c r="B77" s="1162">
        <v>17</v>
      </c>
      <c r="C77" s="1159"/>
      <c r="D77" s="1157" t="s">
        <v>488</v>
      </c>
      <c r="E77" s="1157">
        <f>SUM(E78:E80)</f>
        <v>1800400</v>
      </c>
      <c r="F77" s="1158">
        <f>SUM(F78:F80)</f>
        <v>1569300</v>
      </c>
    </row>
    <row r="78" spans="2:6" s="1148" customFormat="1" ht="15" customHeight="1">
      <c r="B78" s="1149"/>
      <c r="C78" s="1150">
        <v>80110</v>
      </c>
      <c r="D78" s="1151" t="s">
        <v>466</v>
      </c>
      <c r="E78" s="1151">
        <v>1779200</v>
      </c>
      <c r="F78" s="1152">
        <v>1548600</v>
      </c>
    </row>
    <row r="79" spans="2:6" s="1148" customFormat="1" ht="15" customHeight="1">
      <c r="B79" s="1153"/>
      <c r="C79" s="1150">
        <v>80146</v>
      </c>
      <c r="D79" s="1151" t="s">
        <v>467</v>
      </c>
      <c r="E79" s="1151">
        <v>9900</v>
      </c>
      <c r="F79" s="1152">
        <v>9400</v>
      </c>
    </row>
    <row r="80" spans="2:6" s="1148" customFormat="1" ht="15" customHeight="1">
      <c r="B80" s="1154"/>
      <c r="C80" s="1150">
        <v>80195</v>
      </c>
      <c r="D80" s="1151" t="s">
        <v>468</v>
      </c>
      <c r="E80" s="1151">
        <v>11300</v>
      </c>
      <c r="F80" s="1152">
        <v>11300</v>
      </c>
    </row>
    <row r="81" spans="2:6" s="164" customFormat="1" ht="21" customHeight="1">
      <c r="B81" s="1162">
        <v>18</v>
      </c>
      <c r="C81" s="1159"/>
      <c r="D81" s="1157" t="s">
        <v>489</v>
      </c>
      <c r="E81" s="1157">
        <f>SUM(E82:E85)</f>
        <v>2074300</v>
      </c>
      <c r="F81" s="1158">
        <f>SUM(F82:F85)</f>
        <v>1807000</v>
      </c>
    </row>
    <row r="82" spans="2:6" s="1148" customFormat="1" ht="15" customHeight="1">
      <c r="B82" s="1149"/>
      <c r="C82" s="1150">
        <v>80101</v>
      </c>
      <c r="D82" s="1151" t="s">
        <v>465</v>
      </c>
      <c r="E82" s="1151">
        <v>1887000</v>
      </c>
      <c r="F82" s="1152">
        <v>1650400</v>
      </c>
    </row>
    <row r="83" spans="2:6" s="1148" customFormat="1" ht="16.5" customHeight="1">
      <c r="B83" s="1153"/>
      <c r="C83" s="1150">
        <v>80103</v>
      </c>
      <c r="D83" s="1151" t="s">
        <v>472</v>
      </c>
      <c r="E83" s="1151">
        <v>89400</v>
      </c>
      <c r="F83" s="1152">
        <v>84900</v>
      </c>
    </row>
    <row r="84" spans="2:6" s="1148" customFormat="1" ht="19.5" customHeight="1">
      <c r="B84" s="1153"/>
      <c r="C84" s="1150">
        <v>80195</v>
      </c>
      <c r="D84" s="1151" t="s">
        <v>468</v>
      </c>
      <c r="E84" s="1151">
        <v>35800</v>
      </c>
      <c r="F84" s="1152">
        <v>11900</v>
      </c>
    </row>
    <row r="85" spans="2:6" s="1148" customFormat="1" ht="19.5" customHeight="1">
      <c r="B85" s="1154"/>
      <c r="C85" s="1150">
        <v>85401</v>
      </c>
      <c r="D85" s="1151" t="s">
        <v>469</v>
      </c>
      <c r="E85" s="1151">
        <v>62100</v>
      </c>
      <c r="F85" s="1152">
        <v>59800</v>
      </c>
    </row>
    <row r="86" spans="2:6" s="164" customFormat="1" ht="20.25" customHeight="1">
      <c r="B86" s="1162">
        <v>19</v>
      </c>
      <c r="C86" s="1159"/>
      <c r="D86" s="1157" t="s">
        <v>490</v>
      </c>
      <c r="E86" s="1157">
        <f>SUM(E87:E89)</f>
        <v>1839800</v>
      </c>
      <c r="F86" s="1158">
        <f>SUM(F87:F89)</f>
        <v>1573500</v>
      </c>
    </row>
    <row r="87" spans="2:6" s="1148" customFormat="1" ht="15" customHeight="1">
      <c r="B87" s="1149"/>
      <c r="C87" s="1150">
        <v>80110</v>
      </c>
      <c r="D87" s="1151" t="s">
        <v>466</v>
      </c>
      <c r="E87" s="1151">
        <v>1809500</v>
      </c>
      <c r="F87" s="1152">
        <v>1553400</v>
      </c>
    </row>
    <row r="88" spans="2:6" s="1148" customFormat="1" ht="15" customHeight="1">
      <c r="B88" s="1153"/>
      <c r="C88" s="1150">
        <v>80146</v>
      </c>
      <c r="D88" s="1151" t="s">
        <v>467</v>
      </c>
      <c r="E88" s="1163">
        <v>11800</v>
      </c>
      <c r="F88" s="1164">
        <v>11300</v>
      </c>
    </row>
    <row r="89" spans="2:6" s="1148" customFormat="1" ht="15" customHeight="1">
      <c r="B89" s="1154"/>
      <c r="C89" s="1150">
        <v>80195</v>
      </c>
      <c r="D89" s="1151" t="s">
        <v>468</v>
      </c>
      <c r="E89" s="1163">
        <v>18500</v>
      </c>
      <c r="F89" s="1164">
        <v>8800</v>
      </c>
    </row>
    <row r="90" spans="2:6" s="508" customFormat="1" ht="21" customHeight="1">
      <c r="B90" s="1165">
        <v>22</v>
      </c>
      <c r="C90" s="1159"/>
      <c r="D90" s="1146" t="s">
        <v>491</v>
      </c>
      <c r="E90" s="1146">
        <f>SUM(E91)</f>
        <v>220200</v>
      </c>
      <c r="F90" s="1147">
        <f>SUM(F91)</f>
        <v>184200</v>
      </c>
    </row>
    <row r="91" spans="2:6" s="1148" customFormat="1" ht="15" customHeight="1" thickBot="1">
      <c r="B91" s="1166"/>
      <c r="C91" s="1167">
        <v>80110</v>
      </c>
      <c r="D91" s="1168" t="s">
        <v>466</v>
      </c>
      <c r="E91" s="1168">
        <v>220200</v>
      </c>
      <c r="F91" s="1169">
        <v>184200</v>
      </c>
    </row>
    <row r="92" spans="2:6" ht="19.5" thickTop="1">
      <c r="B92" s="1170"/>
      <c r="C92" s="1171"/>
      <c r="D92" s="1172" t="s">
        <v>492</v>
      </c>
      <c r="E92" s="1172">
        <f>E9+E18+E24+E29+E36+E40+E44+E48+E57+E65+E73+E82</f>
        <v>25098100</v>
      </c>
      <c r="F92" s="1173">
        <f>F9+F18+F24+F29+F36+F40+F44+F48+F57+F65+F73+F82</f>
        <v>21018500</v>
      </c>
    </row>
    <row r="93" spans="2:6" ht="18.75">
      <c r="B93" s="1174"/>
      <c r="C93" s="1175"/>
      <c r="D93" s="1176" t="s">
        <v>493</v>
      </c>
      <c r="E93" s="1176">
        <f>E19+E66+E83</f>
        <v>229400</v>
      </c>
      <c r="F93" s="1177">
        <f>F19+F66+F83</f>
        <v>216200</v>
      </c>
    </row>
    <row r="94" spans="2:6" ht="18.75">
      <c r="B94" s="1174"/>
      <c r="C94" s="1175"/>
      <c r="D94" s="1176" t="s">
        <v>494</v>
      </c>
      <c r="E94" s="1176">
        <f>E10+E15+E20+E33+E53+E61+E70+E78+E87+E91</f>
        <v>16831000</v>
      </c>
      <c r="F94" s="1177">
        <f>F10+F15+F20+F33+F53+F61+F70+F78+F87+F91</f>
        <v>14299500</v>
      </c>
    </row>
    <row r="95" spans="2:6" ht="18.75">
      <c r="B95" s="1174"/>
      <c r="C95" s="1175"/>
      <c r="D95" s="1176" t="s">
        <v>495</v>
      </c>
      <c r="E95" s="1176">
        <f>E11+E25+E49+E54+E62+E74+E79+E88</f>
        <v>89100</v>
      </c>
      <c r="F95" s="1177">
        <f>F11+F25+F49+F54+F62+F74+F79+F88</f>
        <v>84800</v>
      </c>
    </row>
    <row r="96" spans="2:6" ht="18.75">
      <c r="B96" s="1174"/>
      <c r="C96" s="1175"/>
      <c r="D96" s="1176" t="s">
        <v>496</v>
      </c>
      <c r="E96" s="1176">
        <f>E12+E16+E21+E26+E30+E34+E37+E41+E45+E50+E55+E58+E63+E67+E71+E75+E80+E84+E89</f>
        <v>1204000</v>
      </c>
      <c r="F96" s="1177">
        <f>F12+F16+F21+F26+F30+F34+F37+F41+F45+F50+F55+F58+F63+F67+F71+F75+F80+F84+F89</f>
        <v>304000</v>
      </c>
    </row>
    <row r="97" spans="2:6" ht="19.5" thickBot="1">
      <c r="B97" s="1178"/>
      <c r="C97" s="1179"/>
      <c r="D97" s="1180" t="s">
        <v>497</v>
      </c>
      <c r="E97" s="1180">
        <f>E13+E22+E27+E31+E38+E42+E46+E51+E59+E68+E76+E85</f>
        <v>1077000</v>
      </c>
      <c r="F97" s="1181">
        <f>F13+F22+F27+F31+F38+F42+F46+F51+F59+F68+F76+F85</f>
        <v>1018000</v>
      </c>
    </row>
    <row r="98" spans="3:6" ht="16.5" thickTop="1">
      <c r="C98" s="1182"/>
      <c r="E98" s="1183"/>
      <c r="F98" s="1183"/>
    </row>
    <row r="99" spans="2:3" ht="12.75">
      <c r="B99" s="152"/>
      <c r="C99" s="1182"/>
    </row>
    <row r="100" spans="2:3" ht="12.75">
      <c r="B100" s="152"/>
      <c r="C100" s="1182"/>
    </row>
    <row r="101" ht="15.75">
      <c r="C101" s="1182"/>
    </row>
    <row r="102" ht="15.75">
      <c r="C102" s="1182"/>
    </row>
    <row r="103" ht="15.75">
      <c r="C103" s="1182"/>
    </row>
    <row r="104" ht="15.75">
      <c r="C104" s="1182"/>
    </row>
    <row r="105" ht="15.75">
      <c r="C105" s="1182"/>
    </row>
    <row r="106" ht="15.75">
      <c r="C106" s="1182"/>
    </row>
    <row r="107" ht="15.75">
      <c r="C107" s="1182"/>
    </row>
    <row r="108" ht="15.75">
      <c r="C108" s="1182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94"/>
  <sheetViews>
    <sheetView workbookViewId="0" topLeftCell="A1">
      <selection activeCell="H3" sqref="H3"/>
    </sheetView>
  </sheetViews>
  <sheetFormatPr defaultColWidth="9.00390625" defaultRowHeight="12.75"/>
  <cols>
    <col min="1" max="1" width="2.375" style="380" customWidth="1"/>
    <col min="2" max="2" width="7.625" style="380" customWidth="1"/>
    <col min="3" max="3" width="10.75390625" style="380" customWidth="1"/>
    <col min="4" max="4" width="34.75390625" style="380" customWidth="1"/>
    <col min="5" max="6" width="17.375" style="380" customWidth="1"/>
    <col min="7" max="7" width="4.125" style="380" customWidth="1"/>
    <col min="8" max="16384" width="9.125" style="380" customWidth="1"/>
  </cols>
  <sheetData>
    <row r="1" ht="9.75" customHeight="1"/>
    <row r="2" ht="12.75">
      <c r="F2" s="1130" t="s">
        <v>498</v>
      </c>
    </row>
    <row r="3" spans="1:7" s="164" customFormat="1" ht="33">
      <c r="A3" s="1131" t="s">
        <v>499</v>
      </c>
      <c r="B3" s="1184"/>
      <c r="C3" s="1184"/>
      <c r="D3" s="1184"/>
      <c r="E3" s="1184"/>
      <c r="F3" s="1184"/>
      <c r="G3" s="1185"/>
    </row>
    <row r="4" spans="1:7" s="1133" customFormat="1" ht="16.5">
      <c r="A4" s="1186" t="s">
        <v>458</v>
      </c>
      <c r="B4" s="1187"/>
      <c r="C4" s="1187"/>
      <c r="D4" s="1187"/>
      <c r="E4" s="1187"/>
      <c r="F4" s="1187"/>
      <c r="G4" s="1186"/>
    </row>
    <row r="5" spans="2:6" s="508" customFormat="1" ht="12.75" customHeight="1" thickBot="1">
      <c r="B5" s="1188"/>
      <c r="C5" s="1188"/>
      <c r="D5" s="1188"/>
      <c r="E5" s="1188"/>
      <c r="F5" s="1189" t="s">
        <v>1420</v>
      </c>
    </row>
    <row r="6" spans="2:6" ht="39.75" thickBot="1" thickTop="1">
      <c r="B6" s="1190" t="s">
        <v>1315</v>
      </c>
      <c r="C6" s="1191" t="s">
        <v>500</v>
      </c>
      <c r="D6" s="1191" t="s">
        <v>460</v>
      </c>
      <c r="E6" s="1191" t="s">
        <v>1312</v>
      </c>
      <c r="F6" s="1192" t="s">
        <v>501</v>
      </c>
    </row>
    <row r="7" spans="2:6" s="1193" customFormat="1" ht="48.75" thickBot="1" thickTop="1">
      <c r="B7" s="1194"/>
      <c r="C7" s="1195" t="s">
        <v>462</v>
      </c>
      <c r="D7" s="1196" t="s">
        <v>463</v>
      </c>
      <c r="E7" s="1197">
        <f>E8+E12+E16+E19+E23+E27+E31+E36+E41+E46+E50+E57+E65+E67+E69+E71</f>
        <v>42491700</v>
      </c>
      <c r="F7" s="1198">
        <f>F8+F12+F16+F19+F23+F27+F31+F36+F41+F46+F50+F57+F65+F67+F69+F71</f>
        <v>35239200</v>
      </c>
    </row>
    <row r="8" spans="2:6" s="456" customFormat="1" ht="16.5" thickTop="1">
      <c r="B8" s="1199">
        <v>1</v>
      </c>
      <c r="C8" s="369"/>
      <c r="D8" s="1200" t="s">
        <v>502</v>
      </c>
      <c r="E8" s="1201">
        <f>SUM(E9:E11)</f>
        <v>3229200</v>
      </c>
      <c r="F8" s="1202">
        <f>SUM(F9:F11)</f>
        <v>2783900</v>
      </c>
    </row>
    <row r="9" spans="2:6" s="1203" customFormat="1" ht="12.75">
      <c r="B9" s="1204"/>
      <c r="C9" s="1205">
        <v>80120</v>
      </c>
      <c r="D9" s="1206" t="s">
        <v>503</v>
      </c>
      <c r="E9" s="1207">
        <v>3175300</v>
      </c>
      <c r="F9" s="1208">
        <v>2731000</v>
      </c>
    </row>
    <row r="10" spans="2:6" s="1203" customFormat="1" ht="12.75">
      <c r="B10" s="1209"/>
      <c r="C10" s="1205">
        <v>80146</v>
      </c>
      <c r="D10" s="1206" t="s">
        <v>504</v>
      </c>
      <c r="E10" s="1207">
        <v>20800</v>
      </c>
      <c r="F10" s="1208">
        <v>19800</v>
      </c>
    </row>
    <row r="11" spans="2:6" s="1203" customFormat="1" ht="15" customHeight="1">
      <c r="B11" s="1210"/>
      <c r="C11" s="1205">
        <v>80195</v>
      </c>
      <c r="D11" s="1206" t="s">
        <v>209</v>
      </c>
      <c r="E11" s="1207">
        <v>33100</v>
      </c>
      <c r="F11" s="1208">
        <v>33100</v>
      </c>
    </row>
    <row r="12" spans="2:6" s="456" customFormat="1" ht="15.75">
      <c r="B12" s="1211">
        <v>2</v>
      </c>
      <c r="C12" s="1212"/>
      <c r="D12" s="1213" t="s">
        <v>505</v>
      </c>
      <c r="E12" s="1214">
        <f>SUM(E13:E15)</f>
        <v>2917300</v>
      </c>
      <c r="F12" s="1215">
        <f>SUM(F13:F15)</f>
        <v>2434900</v>
      </c>
    </row>
    <row r="13" spans="2:6" s="1203" customFormat="1" ht="12.75">
      <c r="B13" s="1204"/>
      <c r="C13" s="1205">
        <v>80120</v>
      </c>
      <c r="D13" s="1206" t="s">
        <v>503</v>
      </c>
      <c r="E13" s="1207">
        <v>2847200</v>
      </c>
      <c r="F13" s="1208">
        <v>2387000</v>
      </c>
    </row>
    <row r="14" spans="2:6" s="1203" customFormat="1" ht="12.75">
      <c r="B14" s="1209"/>
      <c r="C14" s="1205">
        <v>80146</v>
      </c>
      <c r="D14" s="1206" t="s">
        <v>504</v>
      </c>
      <c r="E14" s="1207">
        <v>22000</v>
      </c>
      <c r="F14" s="1208">
        <v>21000</v>
      </c>
    </row>
    <row r="15" spans="2:6" s="1203" customFormat="1" ht="12.75">
      <c r="B15" s="1210"/>
      <c r="C15" s="1205">
        <v>80195</v>
      </c>
      <c r="D15" s="1206" t="s">
        <v>209</v>
      </c>
      <c r="E15" s="1207">
        <v>48100</v>
      </c>
      <c r="F15" s="1208">
        <v>26900</v>
      </c>
    </row>
    <row r="16" spans="2:6" s="456" customFormat="1" ht="15.75">
      <c r="B16" s="1211">
        <v>3</v>
      </c>
      <c r="C16" s="1212"/>
      <c r="D16" s="1213" t="s">
        <v>490</v>
      </c>
      <c r="E16" s="1214">
        <f>SUM(E17:E18)</f>
        <v>2760100</v>
      </c>
      <c r="F16" s="1215">
        <f>SUM(F17:F18)</f>
        <v>2375900</v>
      </c>
    </row>
    <row r="17" spans="2:6" s="1203" customFormat="1" ht="12.75">
      <c r="B17" s="1204"/>
      <c r="C17" s="1216">
        <v>80120</v>
      </c>
      <c r="D17" s="1206" t="s">
        <v>503</v>
      </c>
      <c r="E17" s="1207">
        <v>2717400</v>
      </c>
      <c r="F17" s="1208">
        <v>2349000</v>
      </c>
    </row>
    <row r="18" spans="2:6" s="1203" customFormat="1" ht="12.75">
      <c r="B18" s="1210"/>
      <c r="C18" s="1216">
        <v>80195</v>
      </c>
      <c r="D18" s="1206" t="s">
        <v>209</v>
      </c>
      <c r="E18" s="1207">
        <v>42700</v>
      </c>
      <c r="F18" s="1208">
        <v>26900</v>
      </c>
    </row>
    <row r="19" spans="2:6" s="456" customFormat="1" ht="15.75">
      <c r="B19" s="1211">
        <v>4</v>
      </c>
      <c r="C19" s="1212"/>
      <c r="D19" s="1213" t="s">
        <v>506</v>
      </c>
      <c r="E19" s="1214">
        <f>SUM(E20:E22)</f>
        <v>2165600</v>
      </c>
      <c r="F19" s="1215">
        <f>SUM(F20:F22)</f>
        <v>1869100</v>
      </c>
    </row>
    <row r="20" spans="2:6" s="1203" customFormat="1" ht="12.75">
      <c r="B20" s="1204"/>
      <c r="C20" s="1205">
        <v>80120</v>
      </c>
      <c r="D20" s="1206" t="s">
        <v>503</v>
      </c>
      <c r="E20" s="1207">
        <v>2111000</v>
      </c>
      <c r="F20" s="1208">
        <v>1816000</v>
      </c>
    </row>
    <row r="21" spans="2:6" s="1203" customFormat="1" ht="12.75">
      <c r="B21" s="1209"/>
      <c r="C21" s="1205">
        <v>80146</v>
      </c>
      <c r="D21" s="1206" t="s">
        <v>504</v>
      </c>
      <c r="E21" s="1207">
        <v>31500</v>
      </c>
      <c r="F21" s="1208">
        <v>30000</v>
      </c>
    </row>
    <row r="22" spans="2:6" s="1203" customFormat="1" ht="15" customHeight="1">
      <c r="B22" s="1210"/>
      <c r="C22" s="1205">
        <v>80195</v>
      </c>
      <c r="D22" s="1206" t="s">
        <v>209</v>
      </c>
      <c r="E22" s="1207">
        <v>23100</v>
      </c>
      <c r="F22" s="1208">
        <v>23100</v>
      </c>
    </row>
    <row r="23" spans="2:6" s="456" customFormat="1" ht="15.75">
      <c r="B23" s="1211">
        <v>5</v>
      </c>
      <c r="C23" s="1212"/>
      <c r="D23" s="1213" t="s">
        <v>507</v>
      </c>
      <c r="E23" s="1214">
        <f>SUM(E24:E26)</f>
        <v>4770900</v>
      </c>
      <c r="F23" s="1215">
        <f>SUM(F24:F26)</f>
        <v>3943300</v>
      </c>
    </row>
    <row r="24" spans="2:6" s="1203" customFormat="1" ht="12.75">
      <c r="B24" s="1204"/>
      <c r="C24" s="1205">
        <v>80123</v>
      </c>
      <c r="D24" s="1206" t="s">
        <v>508</v>
      </c>
      <c r="E24" s="1207">
        <v>150300</v>
      </c>
      <c r="F24" s="1208">
        <v>136500</v>
      </c>
    </row>
    <row r="25" spans="2:6" s="1203" customFormat="1" ht="12.75">
      <c r="B25" s="1209"/>
      <c r="C25" s="1205">
        <v>80130</v>
      </c>
      <c r="D25" s="1206" t="s">
        <v>509</v>
      </c>
      <c r="E25" s="1207">
        <v>4575800</v>
      </c>
      <c r="F25" s="1208">
        <v>3776000</v>
      </c>
    </row>
    <row r="26" spans="2:6" s="1203" customFormat="1" ht="12.75">
      <c r="B26" s="1210"/>
      <c r="C26" s="1205">
        <v>80195</v>
      </c>
      <c r="D26" s="1206" t="s">
        <v>209</v>
      </c>
      <c r="E26" s="1207">
        <f>14000+30800</f>
        <v>44800</v>
      </c>
      <c r="F26" s="1208">
        <v>30800</v>
      </c>
    </row>
    <row r="27" spans="2:6" s="456" customFormat="1" ht="15.75">
      <c r="B27" s="1211">
        <v>6</v>
      </c>
      <c r="C27" s="1212"/>
      <c r="D27" s="1213" t="s">
        <v>510</v>
      </c>
      <c r="E27" s="1214">
        <f>SUM(E28:E30)</f>
        <v>1760500</v>
      </c>
      <c r="F27" s="1215">
        <f>SUM(F28:F30)</f>
        <v>1424600</v>
      </c>
    </row>
    <row r="28" spans="2:6" s="1203" customFormat="1" ht="12.75">
      <c r="B28" s="1204"/>
      <c r="C28" s="1205">
        <v>80123</v>
      </c>
      <c r="D28" s="1206" t="s">
        <v>508</v>
      </c>
      <c r="E28" s="1207">
        <v>451800</v>
      </c>
      <c r="F28" s="1208">
        <v>388700</v>
      </c>
    </row>
    <row r="29" spans="2:6" s="1203" customFormat="1" ht="12.75">
      <c r="B29" s="1209"/>
      <c r="C29" s="1205">
        <v>80130</v>
      </c>
      <c r="D29" s="1206" t="s">
        <v>509</v>
      </c>
      <c r="E29" s="1207">
        <v>1294800</v>
      </c>
      <c r="F29" s="1208">
        <v>1022000</v>
      </c>
    </row>
    <row r="30" spans="2:6" s="1203" customFormat="1" ht="15" customHeight="1">
      <c r="B30" s="1210"/>
      <c r="C30" s="1205">
        <v>80195</v>
      </c>
      <c r="D30" s="1206" t="s">
        <v>209</v>
      </c>
      <c r="E30" s="1207">
        <v>13900</v>
      </c>
      <c r="F30" s="1208">
        <v>13900</v>
      </c>
    </row>
    <row r="31" spans="2:6" s="456" customFormat="1" ht="12.75" customHeight="1">
      <c r="B31" s="1211">
        <v>7</v>
      </c>
      <c r="C31" s="1212"/>
      <c r="D31" s="1213" t="s">
        <v>511</v>
      </c>
      <c r="E31" s="1214">
        <f>SUM(E32:E35)</f>
        <v>3484900</v>
      </c>
      <c r="F31" s="1215">
        <f>SUM(F32:F35)</f>
        <v>2763000</v>
      </c>
    </row>
    <row r="32" spans="2:6" s="1203" customFormat="1" ht="12.75">
      <c r="B32" s="1204"/>
      <c r="C32" s="1216">
        <v>80111</v>
      </c>
      <c r="D32" s="1206" t="s">
        <v>512</v>
      </c>
      <c r="E32" s="1207">
        <v>311900</v>
      </c>
      <c r="F32" s="1208">
        <v>251700</v>
      </c>
    </row>
    <row r="33" spans="2:6" s="1203" customFormat="1" ht="12.75">
      <c r="B33" s="1209"/>
      <c r="C33" s="1216">
        <v>80123</v>
      </c>
      <c r="D33" s="1206" t="s">
        <v>508</v>
      </c>
      <c r="E33" s="1207">
        <v>304900</v>
      </c>
      <c r="F33" s="1208">
        <v>244700</v>
      </c>
    </row>
    <row r="34" spans="2:6" s="1203" customFormat="1" ht="12.75">
      <c r="B34" s="1209"/>
      <c r="C34" s="1216">
        <v>80130</v>
      </c>
      <c r="D34" s="1206" t="s">
        <v>509</v>
      </c>
      <c r="E34" s="1207">
        <v>2699500</v>
      </c>
      <c r="F34" s="1208">
        <v>2245000</v>
      </c>
    </row>
    <row r="35" spans="2:6" s="1203" customFormat="1" ht="12.75">
      <c r="B35" s="1209"/>
      <c r="C35" s="1216">
        <v>80195</v>
      </c>
      <c r="D35" s="1206" t="s">
        <v>209</v>
      </c>
      <c r="E35" s="1207">
        <f>147000+21600</f>
        <v>168600</v>
      </c>
      <c r="F35" s="1208">
        <v>21600</v>
      </c>
    </row>
    <row r="36" spans="2:6" s="456" customFormat="1" ht="11.25" customHeight="1">
      <c r="B36" s="1211">
        <v>8</v>
      </c>
      <c r="C36" s="1212"/>
      <c r="D36" s="1213" t="s">
        <v>513</v>
      </c>
      <c r="E36" s="1214">
        <f>SUM(E37:E40)</f>
        <v>2915100</v>
      </c>
      <c r="F36" s="1215">
        <f>SUM(F37:F40)</f>
        <v>2525100</v>
      </c>
    </row>
    <row r="37" spans="2:6" s="1203" customFormat="1" ht="12.75">
      <c r="B37" s="1204"/>
      <c r="C37" s="1205">
        <v>80123</v>
      </c>
      <c r="D37" s="1206" t="s">
        <v>508</v>
      </c>
      <c r="E37" s="1207">
        <v>248500</v>
      </c>
      <c r="F37" s="1208">
        <v>219000</v>
      </c>
    </row>
    <row r="38" spans="2:6" s="1203" customFormat="1" ht="12.75">
      <c r="B38" s="1209"/>
      <c r="C38" s="1205">
        <v>80130</v>
      </c>
      <c r="D38" s="1206" t="s">
        <v>509</v>
      </c>
      <c r="E38" s="1207">
        <v>2536500</v>
      </c>
      <c r="F38" s="1208">
        <v>2275000</v>
      </c>
    </row>
    <row r="39" spans="2:6" s="1203" customFormat="1" ht="12.75">
      <c r="B39" s="1209"/>
      <c r="C39" s="1205">
        <v>80146</v>
      </c>
      <c r="D39" s="1206" t="s">
        <v>504</v>
      </c>
      <c r="E39" s="1207">
        <v>10900</v>
      </c>
      <c r="F39" s="1208">
        <v>10400</v>
      </c>
    </row>
    <row r="40" spans="2:6" s="1203" customFormat="1" ht="12.75">
      <c r="B40" s="1210"/>
      <c r="C40" s="1205">
        <v>80195</v>
      </c>
      <c r="D40" s="1206" t="s">
        <v>209</v>
      </c>
      <c r="E40" s="1207">
        <f>98500+20700</f>
        <v>119200</v>
      </c>
      <c r="F40" s="1208">
        <v>20700</v>
      </c>
    </row>
    <row r="41" spans="2:6" s="456" customFormat="1" ht="12.75" customHeight="1">
      <c r="B41" s="1211">
        <v>9</v>
      </c>
      <c r="C41" s="1212"/>
      <c r="D41" s="1213" t="s">
        <v>514</v>
      </c>
      <c r="E41" s="1214">
        <f>SUM(E42:E45)</f>
        <v>4508700</v>
      </c>
      <c r="F41" s="1215">
        <f>SUM(F42:F45)</f>
        <v>3620900</v>
      </c>
    </row>
    <row r="42" spans="2:6" s="1203" customFormat="1" ht="12.75">
      <c r="B42" s="1204"/>
      <c r="C42" s="1205">
        <v>80123</v>
      </c>
      <c r="D42" s="1206" t="s">
        <v>508</v>
      </c>
      <c r="E42" s="1207">
        <v>352100</v>
      </c>
      <c r="F42" s="1208">
        <v>318400</v>
      </c>
    </row>
    <row r="43" spans="2:6" s="1203" customFormat="1" ht="12.75">
      <c r="B43" s="1209"/>
      <c r="C43" s="1205">
        <v>80130</v>
      </c>
      <c r="D43" s="1206" t="s">
        <v>509</v>
      </c>
      <c r="E43" s="1207">
        <v>3648600</v>
      </c>
      <c r="F43" s="1208">
        <v>2984000</v>
      </c>
    </row>
    <row r="44" spans="2:6" s="1203" customFormat="1" ht="12.75">
      <c r="B44" s="1209"/>
      <c r="C44" s="1205">
        <v>80195</v>
      </c>
      <c r="D44" s="1206" t="s">
        <v>209</v>
      </c>
      <c r="E44" s="1207">
        <f>77300+21900</f>
        <v>99200</v>
      </c>
      <c r="F44" s="1208">
        <v>21900</v>
      </c>
    </row>
    <row r="45" spans="2:6" s="1203" customFormat="1" ht="12.75">
      <c r="B45" s="1210"/>
      <c r="C45" s="1205">
        <v>85410</v>
      </c>
      <c r="D45" s="1206" t="s">
        <v>515</v>
      </c>
      <c r="E45" s="1207">
        <v>408800</v>
      </c>
      <c r="F45" s="1208">
        <v>296600</v>
      </c>
    </row>
    <row r="46" spans="2:6" s="456" customFormat="1" ht="13.5" customHeight="1">
      <c r="B46" s="1211">
        <v>10</v>
      </c>
      <c r="C46" s="1212"/>
      <c r="D46" s="1213" t="s">
        <v>491</v>
      </c>
      <c r="E46" s="1214">
        <f>SUM(E47:E49)</f>
        <v>2753800</v>
      </c>
      <c r="F46" s="1215">
        <f>SUM(F47:F49)</f>
        <v>2360300</v>
      </c>
    </row>
    <row r="47" spans="2:6" s="1203" customFormat="1" ht="12.75">
      <c r="B47" s="1204"/>
      <c r="C47" s="1205">
        <v>80140</v>
      </c>
      <c r="D47" s="1206" t="s">
        <v>491</v>
      </c>
      <c r="E47" s="1207">
        <v>2748500</v>
      </c>
      <c r="F47" s="1208">
        <v>2355000</v>
      </c>
    </row>
    <row r="48" spans="2:6" s="1203" customFormat="1" ht="15" customHeight="1" hidden="1">
      <c r="B48" s="1209"/>
      <c r="C48" s="1205">
        <v>80146</v>
      </c>
      <c r="D48" s="1206" t="s">
        <v>504</v>
      </c>
      <c r="E48" s="1207"/>
      <c r="F48" s="1208"/>
    </row>
    <row r="49" spans="2:6" s="1203" customFormat="1" ht="15" customHeight="1">
      <c r="B49" s="1210"/>
      <c r="C49" s="1205">
        <v>80195</v>
      </c>
      <c r="D49" s="1206" t="s">
        <v>209</v>
      </c>
      <c r="E49" s="1207">
        <v>5300</v>
      </c>
      <c r="F49" s="1208">
        <v>5300</v>
      </c>
    </row>
    <row r="50" spans="2:6" s="456" customFormat="1" ht="13.5" customHeight="1">
      <c r="B50" s="1211">
        <v>11</v>
      </c>
      <c r="C50" s="1212"/>
      <c r="D50" s="1213" t="s">
        <v>516</v>
      </c>
      <c r="E50" s="1214">
        <f>SUM(E51:E56)</f>
        <v>2477900</v>
      </c>
      <c r="F50" s="1215">
        <f>SUM(F51:F56)</f>
        <v>2103700</v>
      </c>
    </row>
    <row r="51" spans="2:6" s="1203" customFormat="1" ht="12.75">
      <c r="B51" s="1204"/>
      <c r="C51" s="1216">
        <v>80102</v>
      </c>
      <c r="D51" s="1206" t="s">
        <v>517</v>
      </c>
      <c r="E51" s="1207">
        <v>916800</v>
      </c>
      <c r="F51" s="1208">
        <v>780000</v>
      </c>
    </row>
    <row r="52" spans="2:6" s="1203" customFormat="1" ht="12.75">
      <c r="B52" s="1209"/>
      <c r="C52" s="1216">
        <v>80111</v>
      </c>
      <c r="D52" s="1206" t="s">
        <v>512</v>
      </c>
      <c r="E52" s="1207">
        <v>781300</v>
      </c>
      <c r="F52" s="1208">
        <v>664000</v>
      </c>
    </row>
    <row r="53" spans="2:6" s="1203" customFormat="1" ht="12.75">
      <c r="B53" s="1209"/>
      <c r="C53" s="1216">
        <v>80134</v>
      </c>
      <c r="D53" s="1206" t="s">
        <v>518</v>
      </c>
      <c r="E53" s="1207">
        <v>679500</v>
      </c>
      <c r="F53" s="1208">
        <v>572000</v>
      </c>
    </row>
    <row r="54" spans="2:6" s="1203" customFormat="1" ht="15" customHeight="1" hidden="1">
      <c r="B54" s="1209"/>
      <c r="C54" s="1216">
        <v>80146</v>
      </c>
      <c r="D54" s="1206" t="s">
        <v>504</v>
      </c>
      <c r="E54" s="1207"/>
      <c r="F54" s="1208"/>
    </row>
    <row r="55" spans="2:6" s="1203" customFormat="1" ht="12.75">
      <c r="B55" s="1209"/>
      <c r="C55" s="1216">
        <v>80195</v>
      </c>
      <c r="D55" s="1206" t="s">
        <v>209</v>
      </c>
      <c r="E55" s="1207">
        <f>8100+10200</f>
        <v>18300</v>
      </c>
      <c r="F55" s="1208">
        <v>10200</v>
      </c>
    </row>
    <row r="56" spans="2:6" s="1203" customFormat="1" ht="12.75">
      <c r="B56" s="1210"/>
      <c r="C56" s="1216">
        <v>85401</v>
      </c>
      <c r="D56" s="1206" t="s">
        <v>519</v>
      </c>
      <c r="E56" s="1207">
        <v>82000</v>
      </c>
      <c r="F56" s="1208">
        <v>77500</v>
      </c>
    </row>
    <row r="57" spans="2:6" s="456" customFormat="1" ht="31.5">
      <c r="B57" s="1211">
        <v>12</v>
      </c>
      <c r="C57" s="1212"/>
      <c r="D57" s="1213" t="s">
        <v>520</v>
      </c>
      <c r="E57" s="1214">
        <f>SUM(E58:E64)</f>
        <v>4077100</v>
      </c>
      <c r="F57" s="1215">
        <f>SUM(F58:F64)</f>
        <v>3489200</v>
      </c>
    </row>
    <row r="58" spans="2:6" s="1203" customFormat="1" ht="12.75">
      <c r="B58" s="1204"/>
      <c r="C58" s="1205">
        <v>80102</v>
      </c>
      <c r="D58" s="1206" t="s">
        <v>517</v>
      </c>
      <c r="E58" s="1207">
        <v>1137100</v>
      </c>
      <c r="F58" s="1208">
        <v>1020000</v>
      </c>
    </row>
    <row r="59" spans="2:6" s="1203" customFormat="1" ht="12.75">
      <c r="B59" s="1209"/>
      <c r="C59" s="1205">
        <v>80105</v>
      </c>
      <c r="D59" s="1206" t="s">
        <v>521</v>
      </c>
      <c r="E59" s="1207">
        <v>466300</v>
      </c>
      <c r="F59" s="1208">
        <v>411000</v>
      </c>
    </row>
    <row r="60" spans="2:6" s="1203" customFormat="1" ht="12.75">
      <c r="B60" s="1209"/>
      <c r="C60" s="1205">
        <v>80111</v>
      </c>
      <c r="D60" s="1206" t="s">
        <v>512</v>
      </c>
      <c r="E60" s="1207">
        <v>676300</v>
      </c>
      <c r="F60" s="1208">
        <v>597800</v>
      </c>
    </row>
    <row r="61" spans="2:6" s="1203" customFormat="1" ht="12.75">
      <c r="B61" s="1209"/>
      <c r="C61" s="1205">
        <v>80134</v>
      </c>
      <c r="D61" s="1206" t="s">
        <v>518</v>
      </c>
      <c r="E61" s="1207">
        <v>453100</v>
      </c>
      <c r="F61" s="1208">
        <v>419500</v>
      </c>
    </row>
    <row r="62" spans="2:6" s="1203" customFormat="1" ht="12.75">
      <c r="B62" s="1209"/>
      <c r="C62" s="1205">
        <v>80195</v>
      </c>
      <c r="D62" s="1206" t="s">
        <v>209</v>
      </c>
      <c r="E62" s="1207">
        <f>8700+10500</f>
        <v>19200</v>
      </c>
      <c r="F62" s="1208">
        <v>10500</v>
      </c>
    </row>
    <row r="63" spans="2:6" s="1203" customFormat="1" ht="12.75">
      <c r="B63" s="1209"/>
      <c r="C63" s="1205">
        <v>85401</v>
      </c>
      <c r="D63" s="1206" t="s">
        <v>519</v>
      </c>
      <c r="E63" s="1207">
        <v>62700</v>
      </c>
      <c r="F63" s="1208">
        <v>54600</v>
      </c>
    </row>
    <row r="64" spans="2:6" s="1203" customFormat="1" ht="25.5">
      <c r="B64" s="1209"/>
      <c r="C64" s="1205">
        <v>85403</v>
      </c>
      <c r="D64" s="1206" t="s">
        <v>520</v>
      </c>
      <c r="E64" s="1207">
        <v>1262400</v>
      </c>
      <c r="F64" s="1208">
        <f>974800+1000</f>
        <v>975800</v>
      </c>
    </row>
    <row r="65" spans="2:6" s="456" customFormat="1" ht="20.25" customHeight="1">
      <c r="B65" s="1211">
        <v>13</v>
      </c>
      <c r="C65" s="1212"/>
      <c r="D65" s="1213" t="s">
        <v>522</v>
      </c>
      <c r="E65" s="1214">
        <f>E66</f>
        <v>2200800</v>
      </c>
      <c r="F65" s="1217">
        <f>F66</f>
        <v>1443000</v>
      </c>
    </row>
    <row r="66" spans="2:6" s="1203" customFormat="1" ht="12.75">
      <c r="B66" s="1204"/>
      <c r="C66" s="1205">
        <v>85410</v>
      </c>
      <c r="D66" s="1206" t="s">
        <v>523</v>
      </c>
      <c r="E66" s="1207">
        <v>2200800</v>
      </c>
      <c r="F66" s="1208">
        <v>1443000</v>
      </c>
    </row>
    <row r="67" spans="2:6" s="456" customFormat="1" ht="20.25" customHeight="1">
      <c r="B67" s="1211">
        <v>14</v>
      </c>
      <c r="C67" s="1212"/>
      <c r="D67" s="1213" t="s">
        <v>524</v>
      </c>
      <c r="E67" s="1214">
        <f>E68</f>
        <v>1067500</v>
      </c>
      <c r="F67" s="1217">
        <f>F68</f>
        <v>871500</v>
      </c>
    </row>
    <row r="68" spans="2:6" s="1203" customFormat="1" ht="12.75">
      <c r="B68" s="1204"/>
      <c r="C68" s="1205">
        <v>85407</v>
      </c>
      <c r="D68" s="1206" t="s">
        <v>524</v>
      </c>
      <c r="E68" s="1207">
        <v>1067500</v>
      </c>
      <c r="F68" s="1208">
        <v>871500</v>
      </c>
    </row>
    <row r="69" spans="2:6" s="1218" customFormat="1" ht="31.5">
      <c r="B69" s="1219">
        <v>15</v>
      </c>
      <c r="C69" s="1220"/>
      <c r="D69" s="1213" t="s">
        <v>525</v>
      </c>
      <c r="E69" s="1221">
        <f>E70</f>
        <v>206800</v>
      </c>
      <c r="F69" s="1222">
        <f>F70</f>
        <v>183400</v>
      </c>
    </row>
    <row r="70" spans="2:6" s="1203" customFormat="1" ht="12.75">
      <c r="B70" s="1210"/>
      <c r="C70" s="1216">
        <v>80132</v>
      </c>
      <c r="D70" s="1206" t="s">
        <v>525</v>
      </c>
      <c r="E70" s="1207">
        <v>206800</v>
      </c>
      <c r="F70" s="1208">
        <v>183400</v>
      </c>
    </row>
    <row r="71" spans="2:6" s="456" customFormat="1" ht="31.5">
      <c r="B71" s="1211">
        <v>16</v>
      </c>
      <c r="C71" s="1212"/>
      <c r="D71" s="1213" t="s">
        <v>526</v>
      </c>
      <c r="E71" s="1214">
        <f>E72</f>
        <v>1195500</v>
      </c>
      <c r="F71" s="1217">
        <f>F72</f>
        <v>1047400</v>
      </c>
    </row>
    <row r="72" spans="2:6" s="1203" customFormat="1" ht="26.25" thickBot="1">
      <c r="B72" s="1223"/>
      <c r="C72" s="1224">
        <v>85406</v>
      </c>
      <c r="D72" s="1225" t="s">
        <v>526</v>
      </c>
      <c r="E72" s="1226">
        <v>1195500</v>
      </c>
      <c r="F72" s="1227">
        <v>1047400</v>
      </c>
    </row>
    <row r="73" spans="2:6" s="159" customFormat="1" ht="17.25" customHeight="1" thickTop="1">
      <c r="B73" s="1228"/>
      <c r="C73" s="1229"/>
      <c r="D73" s="1230" t="s">
        <v>527</v>
      </c>
      <c r="E73" s="1231">
        <f>E58+E51</f>
        <v>2053900</v>
      </c>
      <c r="F73" s="1232">
        <f>F58+F51</f>
        <v>1800000</v>
      </c>
    </row>
    <row r="74" spans="2:6" s="159" customFormat="1" ht="15.75">
      <c r="B74" s="1228"/>
      <c r="C74" s="1229"/>
      <c r="D74" s="1233" t="s">
        <v>528</v>
      </c>
      <c r="E74" s="1234">
        <f>E59</f>
        <v>466300</v>
      </c>
      <c r="F74" s="1235">
        <f>F59</f>
        <v>411000</v>
      </c>
    </row>
    <row r="75" spans="2:6" s="159" customFormat="1" ht="15.75">
      <c r="B75" s="1228"/>
      <c r="C75" s="1229"/>
      <c r="D75" s="1233" t="s">
        <v>529</v>
      </c>
      <c r="E75" s="1234">
        <f>E60+E52+E32</f>
        <v>1769500</v>
      </c>
      <c r="F75" s="1235">
        <f>F60+F52+F32</f>
        <v>1513500</v>
      </c>
    </row>
    <row r="76" spans="2:6" s="159" customFormat="1" ht="15.75">
      <c r="B76" s="1228"/>
      <c r="C76" s="1229"/>
      <c r="D76" s="1233" t="s">
        <v>530</v>
      </c>
      <c r="E76" s="1234">
        <f>E9+E13+E17+E20</f>
        <v>10850900</v>
      </c>
      <c r="F76" s="1235">
        <f>F9+F13+F17+F20</f>
        <v>9283000</v>
      </c>
    </row>
    <row r="77" spans="2:6" s="159" customFormat="1" ht="15.75">
      <c r="B77" s="1228"/>
      <c r="C77" s="1229"/>
      <c r="D77" s="1233" t="s">
        <v>531</v>
      </c>
      <c r="E77" s="1234">
        <f>E42+E37+E33+E28+E24</f>
        <v>1507600</v>
      </c>
      <c r="F77" s="1235">
        <f>F42+F37+F33+F28+F24</f>
        <v>1307300</v>
      </c>
    </row>
    <row r="78" spans="2:6" s="159" customFormat="1" ht="15.75">
      <c r="B78" s="1228"/>
      <c r="C78" s="1229"/>
      <c r="D78" s="1233" t="s">
        <v>532</v>
      </c>
      <c r="E78" s="1234">
        <f>E43+E38+E34+E29+E25</f>
        <v>14755200</v>
      </c>
      <c r="F78" s="1235">
        <f>F43+F38+F34+F29+F25</f>
        <v>12302000</v>
      </c>
    </row>
    <row r="79" spans="2:6" s="159" customFormat="1" ht="15.75">
      <c r="B79" s="1228"/>
      <c r="C79" s="1229"/>
      <c r="D79" s="1233" t="s">
        <v>533</v>
      </c>
      <c r="E79" s="1234">
        <f>E70</f>
        <v>206800</v>
      </c>
      <c r="F79" s="1235">
        <f>F70</f>
        <v>183400</v>
      </c>
    </row>
    <row r="80" spans="2:6" s="159" customFormat="1" ht="15.75">
      <c r="B80" s="1228"/>
      <c r="C80" s="1229"/>
      <c r="D80" s="1233" t="s">
        <v>534</v>
      </c>
      <c r="E80" s="1234">
        <f>E61+E53</f>
        <v>1132600</v>
      </c>
      <c r="F80" s="1235">
        <f>F61+F53</f>
        <v>991500</v>
      </c>
    </row>
    <row r="81" spans="2:6" s="159" customFormat="1" ht="15.75">
      <c r="B81" s="1228"/>
      <c r="C81" s="1229"/>
      <c r="D81" s="1233" t="s">
        <v>535</v>
      </c>
      <c r="E81" s="1234">
        <f>E47</f>
        <v>2748500</v>
      </c>
      <c r="F81" s="1235">
        <f>F47</f>
        <v>2355000</v>
      </c>
    </row>
    <row r="82" spans="2:6" s="159" customFormat="1" ht="15.75">
      <c r="B82" s="1228"/>
      <c r="C82" s="1229"/>
      <c r="D82" s="1233" t="s">
        <v>495</v>
      </c>
      <c r="E82" s="1234">
        <f>E54+E48+E39+E21+E14+E10</f>
        <v>85200</v>
      </c>
      <c r="F82" s="1235">
        <f>F54+F48+F39+F21+F14+F10</f>
        <v>81200</v>
      </c>
    </row>
    <row r="83" spans="2:6" ht="15.75">
      <c r="B83" s="1236"/>
      <c r="C83" s="1237"/>
      <c r="D83" s="1233" t="s">
        <v>496</v>
      </c>
      <c r="E83" s="1234">
        <f>E62+E55+E49+E44+E40+E35+E30+E26+E22+E18+E15+E11</f>
        <v>635500</v>
      </c>
      <c r="F83" s="1235">
        <f>F62+F55+F49+F44+F40+F35+F30+F26+F22+F18+F15+F11</f>
        <v>244900</v>
      </c>
    </row>
    <row r="84" spans="2:6" s="456" customFormat="1" ht="18" customHeight="1">
      <c r="B84" s="1238"/>
      <c r="C84" s="1239"/>
      <c r="D84" s="1240" t="s">
        <v>536</v>
      </c>
      <c r="E84" s="1241">
        <f>SUM(E73:E83)</f>
        <v>36212000</v>
      </c>
      <c r="F84" s="1242">
        <f>SUM(F73:F83)</f>
        <v>30472800</v>
      </c>
    </row>
    <row r="85" spans="2:6" s="260" customFormat="1" ht="15.75">
      <c r="B85" s="1243"/>
      <c r="C85" s="1244"/>
      <c r="D85" s="1245" t="s">
        <v>497</v>
      </c>
      <c r="E85" s="1246">
        <f>E63+E56</f>
        <v>144700</v>
      </c>
      <c r="F85" s="1247">
        <f>F63+F56</f>
        <v>132100</v>
      </c>
    </row>
    <row r="86" spans="2:6" s="260" customFormat="1" ht="15.75">
      <c r="B86" s="1243"/>
      <c r="C86" s="1244"/>
      <c r="D86" s="1245" t="s">
        <v>537</v>
      </c>
      <c r="E86" s="1246">
        <f>E64</f>
        <v>1262400</v>
      </c>
      <c r="F86" s="1247">
        <f>F64</f>
        <v>975800</v>
      </c>
    </row>
    <row r="87" spans="2:6" s="260" customFormat="1" ht="15.75">
      <c r="B87" s="1243"/>
      <c r="C87" s="1244"/>
      <c r="D87" s="1245" t="s">
        <v>538</v>
      </c>
      <c r="E87" s="1246">
        <f>E72</f>
        <v>1195500</v>
      </c>
      <c r="F87" s="1247">
        <f>F72</f>
        <v>1047400</v>
      </c>
    </row>
    <row r="88" spans="2:6" s="260" customFormat="1" ht="15.75">
      <c r="B88" s="1243"/>
      <c r="C88" s="1244"/>
      <c r="D88" s="1245" t="s">
        <v>539</v>
      </c>
      <c r="E88" s="1246">
        <f>E68</f>
        <v>1067500</v>
      </c>
      <c r="F88" s="1247">
        <f>F68</f>
        <v>871500</v>
      </c>
    </row>
    <row r="89" spans="2:6" s="260" customFormat="1" ht="15.75">
      <c r="B89" s="1243"/>
      <c r="C89" s="1244"/>
      <c r="D89" s="1245" t="s">
        <v>540</v>
      </c>
      <c r="E89" s="1246">
        <f>E66+E45</f>
        <v>2609600</v>
      </c>
      <c r="F89" s="1247">
        <f>F66+F45</f>
        <v>1739600</v>
      </c>
    </row>
    <row r="90" spans="2:6" s="456" customFormat="1" ht="18" customHeight="1" thickBot="1">
      <c r="B90" s="1238"/>
      <c r="C90" s="1239"/>
      <c r="D90" s="1248" t="s">
        <v>541</v>
      </c>
      <c r="E90" s="1249">
        <f>SUM(E85:E89)</f>
        <v>6279700</v>
      </c>
      <c r="F90" s="1250">
        <f>SUM(F85:F89)</f>
        <v>4766400</v>
      </c>
    </row>
    <row r="91" spans="2:6" s="172" customFormat="1" ht="22.5" customHeight="1" thickBot="1" thickTop="1">
      <c r="B91" s="1251"/>
      <c r="C91" s="1252"/>
      <c r="D91" s="1253" t="s">
        <v>542</v>
      </c>
      <c r="E91" s="1254">
        <f>E90+E84</f>
        <v>42491700</v>
      </c>
      <c r="F91" s="1255">
        <f>F90+F84</f>
        <v>35239200</v>
      </c>
    </row>
    <row r="92" ht="13.5" thickTop="1"/>
    <row r="93" s="1256" customFormat="1" ht="12.75">
      <c r="B93" s="152"/>
    </row>
    <row r="94" s="1256" customFormat="1" ht="12.75">
      <c r="B94" s="152"/>
    </row>
    <row r="95" s="1256" customFormat="1" ht="12.75"/>
    <row r="96" s="1256" customFormat="1" ht="12.75"/>
    <row r="97" s="1256" customFormat="1" ht="12.75"/>
    <row r="98" s="1256" customFormat="1" ht="12.75"/>
    <row r="99" s="1256" customFormat="1" ht="12.75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Malgorzata Krol</cp:lastModifiedBy>
  <dcterms:created xsi:type="dcterms:W3CDTF">1997-02-26T13:46:56Z</dcterms:created>
  <dcterms:modified xsi:type="dcterms:W3CDTF">2006-01-11T13:22:16Z</dcterms:modified>
  <cp:category/>
  <cp:version/>
  <cp:contentType/>
  <cp:contentStatus/>
</cp:coreProperties>
</file>