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firstSheet="21" activeTab="24"/>
  </bookViews>
  <sheets>
    <sheet name="Synt. zestawienie" sheetId="1" r:id="rId1"/>
    <sheet name="Tabela nr 1 doch" sheetId="2" r:id="rId2"/>
    <sheet name="Tab nr 1a doch" sheetId="3" r:id="rId3"/>
    <sheet name="Tabela nr 2 doch" sheetId="4" r:id="rId4"/>
    <sheet name="Tabela nr 1 wyd" sheetId="5" r:id="rId5"/>
    <sheet name="Tab nr 1a wyd" sheetId="6" r:id="rId6"/>
    <sheet name="Tabela nr 2 wyd" sheetId="7" r:id="rId7"/>
    <sheet name="Tabela nr 3" sheetId="8" r:id="rId8"/>
    <sheet name="Tabela nr 4 i 5 " sheetId="9" r:id="rId9"/>
    <sheet name="Tab nr 6" sheetId="10" r:id="rId10"/>
    <sheet name="Tab nr 7" sheetId="11" r:id="rId11"/>
    <sheet name="Tab nr 8" sheetId="12" r:id="rId12"/>
    <sheet name="Tab nr 9" sheetId="13" r:id="rId13"/>
    <sheet name="Tab nr 10" sheetId="14" r:id="rId14"/>
    <sheet name="Tab nr 11" sheetId="15" r:id="rId15"/>
    <sheet name="Tab nr 12" sheetId="16" r:id="rId16"/>
    <sheet name="Tab nr 13" sheetId="17" r:id="rId17"/>
    <sheet name="Tab nr 14" sheetId="18" r:id="rId18"/>
    <sheet name="Tabela nr 1 inw" sheetId="19" r:id="rId19"/>
    <sheet name="Zał nr 2" sheetId="20" r:id="rId20"/>
    <sheet name="Zał nr 3" sheetId="21" r:id="rId21"/>
    <sheet name="Zał nr 4" sheetId="22" r:id="rId22"/>
    <sheet name="Tab nr 2 win" sheetId="23" r:id="rId23"/>
    <sheet name="Tab nr 3 zam.pub." sheetId="24" r:id="rId24"/>
    <sheet name="Tab nr 4 wyd" sheetId="25" r:id="rId25"/>
  </sheets>
  <definedNames>
    <definedName name="_xlnm.Print_Titles" localSheetId="22">'Tab nr 2 win'!$4:$6</definedName>
    <definedName name="_xlnm.Print_Titles" localSheetId="24">'Tab nr 4 wyd'!$5:$7</definedName>
    <definedName name="_xlnm.Print_Titles" localSheetId="12">'Tab nr 9'!$4:$6</definedName>
    <definedName name="_xlnm.Print_Titles" localSheetId="1">'Tabela nr 1 doch'!$5:$7</definedName>
    <definedName name="_xlnm.Print_Titles" localSheetId="18">'Tabela nr 1 inw'!$3:$6</definedName>
    <definedName name="_xlnm.Print_Titles" localSheetId="4">'Tabela nr 1 wyd'!$5:$7</definedName>
    <definedName name="_xlnm.Print_Titles" localSheetId="3">'Tabela nr 2 doch'!$5:$7</definedName>
    <definedName name="_xlnm.Print_Titles" localSheetId="6">'Tabela nr 2 wyd'!$4:$6</definedName>
    <definedName name="_xlnm.Print_Titles" localSheetId="7">'Tabela nr 3'!$4:$6</definedName>
    <definedName name="_xlnm.Print_Titles" localSheetId="8">'Tabela nr 4 i 5 '!$4:$6</definedName>
    <definedName name="_xlnm.Print_Titles" localSheetId="20">'Zał nr 3'!$7:$8</definedName>
  </definedNames>
  <calcPr fullCalcOnLoad="1"/>
</workbook>
</file>

<file path=xl/sharedStrings.xml><?xml version="1.0" encoding="utf-8"?>
<sst xmlns="http://schemas.openxmlformats.org/spreadsheetml/2006/main" count="3169" uniqueCount="1395">
  <si>
    <t>Dotacje celowe przekazane do samorządu województwa na zadania bieżące realizowane na podstawie porozumień między j.s.t.</t>
  </si>
  <si>
    <t>Dotacja przedmiotowa z budżetu dla pozostałych jednostek sektora  finansów publicznych</t>
  </si>
  <si>
    <t>Dotacja podmiotowa z budżetu dla pozostałych jednostek sektora  finansów publicznych</t>
  </si>
  <si>
    <r>
      <t xml:space="preserve">Dotacja przedmiotowa z budżetu dla pozostałych jednostek sektora finansów publicznych - </t>
    </r>
    <r>
      <rPr>
        <i/>
        <sz val="9"/>
        <rFont val="Times New Roman CE"/>
        <family val="1"/>
      </rPr>
      <t>realizacja "Programu zwalczania narkomanii".</t>
    </r>
  </si>
  <si>
    <t>Dotacja podmiotowa z budżetu dla pozostałych jednostek sektora  finansów publicznych- realizacja "Programu zwalczania narkomanii".</t>
  </si>
  <si>
    <t>Zakup pomocy naukowych, naukowo - dydaktycznych i książek</t>
  </si>
  <si>
    <t xml:space="preserve">Składki na ubezpieczenia zdrowotne  oraz świadczenia dla osób nie objętych obowiązkiem ubezpieczenia zdrowotnego  </t>
  </si>
  <si>
    <t>Izby Wytrzeźwień</t>
  </si>
  <si>
    <r>
      <t xml:space="preserve">Zakup usług zdrowotnych - </t>
    </r>
    <r>
      <rPr>
        <i/>
        <sz val="9"/>
        <rFont val="Times New Roman CE"/>
        <family val="1"/>
      </rPr>
      <t>badania lekarskie</t>
    </r>
  </si>
  <si>
    <t>Opłata na rzecz budżetu jednostek samorz. terytor.</t>
  </si>
  <si>
    <t>Dotacja przedmiotowa z budżetu otrzymana przez pozostałe jednostki sektora finansów publicznych - na likwidację barier architektonicznych</t>
  </si>
  <si>
    <t>Zakup materiałów i wyposożenia</t>
  </si>
  <si>
    <t>Koszty postępowania sądowego i prokuratorskie</t>
  </si>
  <si>
    <t>Placówki opiekuńczo-wychowawcze -Rodzinne Domy Dziecka</t>
  </si>
  <si>
    <t>Dotacja celowa z budżetu lub dofinansowanie zadań zleconych do realizacji stowarzyszeniom</t>
  </si>
  <si>
    <t>Świadczenia społeczne</t>
  </si>
  <si>
    <t>Zakup usług zdrowotnych - badania lekarskie</t>
  </si>
  <si>
    <t>Zakup usług przez j.s.t. od innych j.s.t.</t>
  </si>
  <si>
    <t>Domy pomocy społecznej</t>
  </si>
  <si>
    <t>"Złoty Wiek"</t>
  </si>
  <si>
    <t>Hotel dla bezdomnych "Przytulisko"</t>
  </si>
  <si>
    <t>"Odrodzenie" - ŚDS 1</t>
  </si>
  <si>
    <t>Rodziny zastępcze</t>
  </si>
  <si>
    <t>Dodotkowe wynagrodzenia roczne</t>
  </si>
  <si>
    <t>Dodatki mieszkaniowe</t>
  </si>
  <si>
    <t>Zwrot dotacji wykorzystanych niezgodnie z przeznaczeniem lub pobranych w nadmiernej wysokości</t>
  </si>
  <si>
    <t>Zasiłki rodzinne, pielęgnacyjne i wychowawcze</t>
  </si>
  <si>
    <t>Powiatowe centra pomocy rodzinie</t>
  </si>
  <si>
    <t>Podatek od towarów i usług VAT</t>
  </si>
  <si>
    <t xml:space="preserve">Koszty postępowania sądowego i prokuratorskiego </t>
  </si>
  <si>
    <t xml:space="preserve">niewłaściwe obciążenia </t>
  </si>
  <si>
    <r>
      <t xml:space="preserve">Wydatki na zakupy inwestycyjne jednostek budżetowych </t>
    </r>
    <r>
      <rPr>
        <i/>
        <sz val="9"/>
        <rFont val="Times New Roman CE"/>
        <family val="1"/>
      </rPr>
      <t xml:space="preserve">- zestawów komputerowych </t>
    </r>
  </si>
  <si>
    <t>Jednostki specjalistyczne poradnictwa, mieszkania chronione i ośrodki  interwencji kryzysowej</t>
  </si>
  <si>
    <t xml:space="preserve">Podróże służbowe krajowe </t>
  </si>
  <si>
    <t>Usługi opiekuńcze i specjalistyczne usługi opiekuńcze</t>
  </si>
  <si>
    <t>Pomoc dla repatriantów</t>
  </si>
  <si>
    <t>Dotacja celowa z budżetu na finansowanie lub dofinansowanie zadań zleconych do realizacji stowarzyszeniom</t>
  </si>
  <si>
    <r>
      <t>Zakup usług pozostałych -</t>
    </r>
    <r>
      <rPr>
        <i/>
        <sz val="9"/>
        <rFont val="Times New Roman CE"/>
        <family val="1"/>
      </rPr>
      <t xml:space="preserve"> RO</t>
    </r>
  </si>
  <si>
    <t>Zakup usług pozostałych KS</t>
  </si>
  <si>
    <t xml:space="preserve">POZOSTAŁE ZADANIA W ZAKRESIE POLITYKI SPOŁECZNEJ </t>
  </si>
  <si>
    <t>Rehabilitacja zawodowa i społeczna osób niepełnosprawnych</t>
  </si>
  <si>
    <t>Zakup usług pozostałych - WTZ</t>
  </si>
  <si>
    <t>Świetlice szkolne</t>
  </si>
  <si>
    <t>Specjalne ośrodki szkolno-wychowawcze</t>
  </si>
  <si>
    <t>Zakup pomocy naukowych, dydakt. książek</t>
  </si>
  <si>
    <t>Zakup pomocy naukowych, dydakt.i książek</t>
  </si>
  <si>
    <t>Placówki wychowania pozaszkolnego</t>
  </si>
  <si>
    <t>Wydatki inwestycyjne jednostek budżetowych - E</t>
  </si>
  <si>
    <t>Pomoc materialna dla uczniów</t>
  </si>
  <si>
    <t xml:space="preserve">Stypendia oraz inne formy pomocy dla uczniów </t>
  </si>
  <si>
    <t>Szkolne Schroniska Młodzieżowe</t>
  </si>
  <si>
    <t>Dotacja podmiotowa z budżetu państwa dla instytucji kultury - Filharmonia Koszalińska (organizacja koncertów dla młodzieży)</t>
  </si>
  <si>
    <r>
      <t xml:space="preserve">Zakup materiałów i wyposażenia - </t>
    </r>
    <r>
      <rPr>
        <i/>
        <sz val="9"/>
        <rFont val="Times New Roman CE"/>
        <family val="1"/>
      </rPr>
      <t xml:space="preserve"> RO</t>
    </r>
  </si>
  <si>
    <r>
      <t xml:space="preserve">Różne opłaty i składki </t>
    </r>
    <r>
      <rPr>
        <i/>
        <sz val="9"/>
        <rFont val="Times New Roman CE"/>
        <family val="1"/>
      </rPr>
      <t>- RO</t>
    </r>
  </si>
  <si>
    <t>Obiekty sportowe</t>
  </si>
  <si>
    <r>
      <t xml:space="preserve">Zakup usług remontowych (w tym: </t>
    </r>
    <r>
      <rPr>
        <i/>
        <sz val="9"/>
        <rFont val="Times New Roman CE"/>
        <family val="1"/>
      </rPr>
      <t>stadion BAŁTYK - 1mln zł, basen - 1 mln zl, obiekty ZOS - 200,0 tys.zł)</t>
    </r>
  </si>
  <si>
    <t>Wydatki na zakup i objęcie akcji oraz wniesienie wkładów do spółek prawa handlowego (ZOS)</t>
  </si>
  <si>
    <t xml:space="preserve">Bałtyk </t>
  </si>
  <si>
    <t xml:space="preserve">Pozostała działalność </t>
  </si>
  <si>
    <t>Stypendia oraz inne formy pomocy dla uczniów KST</t>
  </si>
  <si>
    <t xml:space="preserve">Zakup materiałów i wyposażenia - RWZ </t>
  </si>
  <si>
    <r>
      <t>Zakup materiałów i wyposażenia -</t>
    </r>
    <r>
      <rPr>
        <i/>
        <sz val="9"/>
        <rFont val="Times New Roman CE"/>
        <family val="1"/>
      </rPr>
      <t xml:space="preserve"> RO</t>
    </r>
  </si>
  <si>
    <r>
      <t>Zakup usług zdrowotnych -</t>
    </r>
    <r>
      <rPr>
        <i/>
        <sz val="9"/>
        <rFont val="Times New Roman CE"/>
        <family val="1"/>
      </rPr>
      <t xml:space="preserve"> badania lekarskie</t>
    </r>
  </si>
  <si>
    <r>
      <t>Różne opłaty i składki -</t>
    </r>
    <r>
      <rPr>
        <i/>
        <sz val="9"/>
        <rFont val="Times New Roman CE"/>
        <family val="1"/>
      </rPr>
      <t xml:space="preserve"> RO</t>
    </r>
  </si>
  <si>
    <r>
      <t xml:space="preserve">Zakup usług pozostałych </t>
    </r>
    <r>
      <rPr>
        <i/>
        <sz val="9"/>
        <rFont val="Times New Roman CE"/>
        <family val="1"/>
      </rPr>
      <t>- RO</t>
    </r>
  </si>
  <si>
    <t>porozumienia</t>
  </si>
  <si>
    <t>REALIZACJA PLANU BUDŻETOWEGO</t>
  </si>
  <si>
    <t>SYNTETYCZNE ZESTAWIENIE BUDŻETU</t>
  </si>
  <si>
    <t>w złotych</t>
  </si>
  <si>
    <t>Lp.</t>
  </si>
  <si>
    <t>Treść</t>
  </si>
  <si>
    <t>Plan pierwotny</t>
  </si>
  <si>
    <t>Plan po zmianach</t>
  </si>
  <si>
    <t>WYKONANIE    I  półrocze</t>
  </si>
  <si>
    <t xml:space="preserve">  %   dynamika                    6:3 </t>
  </si>
  <si>
    <t xml:space="preserve">  %    wyk. planu                   6:4</t>
  </si>
  <si>
    <t xml:space="preserve">  %   wyk. planu                    6:5</t>
  </si>
  <si>
    <t>I.</t>
  </si>
  <si>
    <t>DOCHODY OGÓŁEM</t>
  </si>
  <si>
    <t>z tego:</t>
  </si>
  <si>
    <t>A.</t>
  </si>
  <si>
    <t>Dochody na zadania własne i porozumienia</t>
  </si>
  <si>
    <t>1.</t>
  </si>
  <si>
    <t xml:space="preserve">Dochody na zadania własne gminy i powiatu </t>
  </si>
  <si>
    <t>2.</t>
  </si>
  <si>
    <t>3.</t>
  </si>
  <si>
    <t>B.</t>
  </si>
  <si>
    <t>Dochody na zadania zlecone</t>
  </si>
  <si>
    <t>Dotacje na zadania zlecone gminie z zakresu administracji rządowej</t>
  </si>
  <si>
    <t>Dotacje na zadania zlecone powiatowi  z zakresu administracji rządowej</t>
  </si>
  <si>
    <t>II.</t>
  </si>
  <si>
    <t>WYDATKI OGÓŁEM</t>
  </si>
  <si>
    <t>Wydatki na zadania własne i porozumienia</t>
  </si>
  <si>
    <t>Wydatki na realizację zadań własnych gminy i powiatu</t>
  </si>
  <si>
    <t>Wydatki na zadania zlecone</t>
  </si>
  <si>
    <t>Wydatki na realizację zadań zleconych gminie z zakresu administracji rządowej</t>
  </si>
  <si>
    <t>Wydatki na realizację zadań zleconych powiatowi z zakresu administracji rządowej</t>
  </si>
  <si>
    <t>III.</t>
  </si>
  <si>
    <t>Deficyt budżetowy</t>
  </si>
  <si>
    <t>Nadwyżka budżetowa</t>
  </si>
  <si>
    <t xml:space="preserve"> wg działów klasyfikacji budżetowej z podziałem na zadania własne i  porozumienia oraz zlecone </t>
  </si>
  <si>
    <t>Tabela nr 2</t>
  </si>
  <si>
    <t>OGÓŁEM</t>
  </si>
  <si>
    <t xml:space="preserve">GMINA </t>
  </si>
  <si>
    <t>POWIAT</t>
  </si>
  <si>
    <t>Dział</t>
  </si>
  <si>
    <t>WYSZCZEGÓLNIENIE</t>
  </si>
  <si>
    <t>Dynamika         5 : 3</t>
  </si>
  <si>
    <t>%           wyk.           planu</t>
  </si>
  <si>
    <t>Struktura     %</t>
  </si>
  <si>
    <t>%              wyk.           planu</t>
  </si>
  <si>
    <t>%               wyk.           planu</t>
  </si>
  <si>
    <t>010</t>
  </si>
  <si>
    <t>ROLNICTWO I ŁOWIECTWO</t>
  </si>
  <si>
    <t>własne</t>
  </si>
  <si>
    <t>zlecone</t>
  </si>
  <si>
    <t>020</t>
  </si>
  <si>
    <t>LEŚNICTWO</t>
  </si>
  <si>
    <t>500</t>
  </si>
  <si>
    <t>HANDEL</t>
  </si>
  <si>
    <t>600</t>
  </si>
  <si>
    <t>TRANSPORT I ŁĄCZNOŚĆ</t>
  </si>
  <si>
    <t>630</t>
  </si>
  <si>
    <t>TURYSTYKA</t>
  </si>
  <si>
    <t>700</t>
  </si>
  <si>
    <t>GOSPODARKA MIESZKANIOWA</t>
  </si>
  <si>
    <t>710</t>
  </si>
  <si>
    <t>DZIAŁALNOŚĆ USŁUGOWA</t>
  </si>
  <si>
    <t>na podstawie porozumień</t>
  </si>
  <si>
    <t>750</t>
  </si>
  <si>
    <t>ADMINISTRACJA PUBLICZNA</t>
  </si>
  <si>
    <t>751</t>
  </si>
  <si>
    <t>URZĘDY NACZELNYCH ORGANÓW WŁADZY PAŃSTWOWEJ, KONTROLI I OCHRONY PRAWA ORAZ SĄDOWNICTWA</t>
  </si>
  <si>
    <t>752</t>
  </si>
  <si>
    <t>OBRONA NARODOWA</t>
  </si>
  <si>
    <t>754</t>
  </si>
  <si>
    <t>BEZPIECZEŃSTWO PUBLICZNE I OCHRONA PRZECIWPOŻAROWA</t>
  </si>
  <si>
    <t>756</t>
  </si>
  <si>
    <t>DOCHODY OD OSÓB PRAWNYCH, OD OSÓB FIZYCZNYCH I OD INNYCH JEDNOSTEK NIEPOSIADAJĄCYCH OSOBOWOŚCI PRAWNEJ ORAZ WYDATKI ZWIĄZANE Z ICH POBOREM</t>
  </si>
  <si>
    <t>757</t>
  </si>
  <si>
    <t>OBSŁUGA DŁUGU PUBLICZNEGO</t>
  </si>
  <si>
    <t>758</t>
  </si>
  <si>
    <t>RÓŻNE ROZLICZENIA</t>
  </si>
  <si>
    <t>801</t>
  </si>
  <si>
    <t>OŚWIATA I WYCHOWANIE</t>
  </si>
  <si>
    <t>803</t>
  </si>
  <si>
    <t>SZKOLNICTWO WYŻSZE</t>
  </si>
  <si>
    <t>851</t>
  </si>
  <si>
    <t>OCHRONA ZDROWIA</t>
  </si>
  <si>
    <t>852</t>
  </si>
  <si>
    <t>POMOC SPOŁECZNA</t>
  </si>
  <si>
    <t>853</t>
  </si>
  <si>
    <t>POZOSTAŁE ZADANIA W ZAKRESIE POLITYKI SPOŁECZNEJ</t>
  </si>
  <si>
    <t>854</t>
  </si>
  <si>
    <t>EDUKACYJNA OPIEKA WYCHOWAWCZA</t>
  </si>
  <si>
    <t>900</t>
  </si>
  <si>
    <t>GOSPODARKA KOMUNALNA I OCHRONA ŚRODOWISKA</t>
  </si>
  <si>
    <t>921</t>
  </si>
  <si>
    <t>KULTURA I OCHRONA DZIEDZICTWA NARODOWEGO</t>
  </si>
  <si>
    <t>925</t>
  </si>
  <si>
    <t>OGRODY BOTANICZNE I ZOOLOGICZNE ORAZ NATURALNE OBSZARY I OBIEKTY CHRONIONEJ PRZYRODY</t>
  </si>
  <si>
    <t>926</t>
  </si>
  <si>
    <t>KULTURA FIZYCZNA I SPORT</t>
  </si>
  <si>
    <t>Tabela nr 1</t>
  </si>
  <si>
    <t xml:space="preserve">w układzie działów z podziałem na wydatki bieżące, zakupy inwestycyjne i roboty inwestycyjne </t>
  </si>
  <si>
    <t>WŁASNE GMINY I POROZUMIENIA</t>
  </si>
  <si>
    <t>WŁASNE POWIATU I POROZUMIENIA</t>
  </si>
  <si>
    <t>ZLECONE GMINY</t>
  </si>
  <si>
    <t>ZLECONE POWIATOWI</t>
  </si>
  <si>
    <t>Wykonanie                2002 r.</t>
  </si>
  <si>
    <t xml:space="preserve">Plan </t>
  </si>
  <si>
    <t xml:space="preserve">Wykonanie                            </t>
  </si>
  <si>
    <t>Dynamika          5 : 3</t>
  </si>
  <si>
    <t>%                  wyk.                 planu</t>
  </si>
  <si>
    <t xml:space="preserve">Wykonanie                             </t>
  </si>
  <si>
    <t xml:space="preserve">Wykonanie                        </t>
  </si>
  <si>
    <t xml:space="preserve">Wykonanie                         </t>
  </si>
  <si>
    <t xml:space="preserve"> - bieżące</t>
  </si>
  <si>
    <t xml:space="preserve"> - zakupy inwestycyjne</t>
  </si>
  <si>
    <t>*</t>
  </si>
  <si>
    <t xml:space="preserve">HANDEL </t>
  </si>
  <si>
    <t>TRANSPORT  I  ŁĄCZNOŚĆ</t>
  </si>
  <si>
    <t>- roboty inwestycyjne</t>
  </si>
  <si>
    <t>- zakupy inwestycyjne</t>
  </si>
  <si>
    <t xml:space="preserve"> - inne majątkowe</t>
  </si>
  <si>
    <t>w tym: na podstawie porozumień</t>
  </si>
  <si>
    <t xml:space="preserve"> - roboty inwestycyjne</t>
  </si>
  <si>
    <t>- bieżące</t>
  </si>
  <si>
    <t>DOCHODY OD OSÓB PRAWNYCH, OD OSÓB FIZYCZNYCH I OD INNYCH JEDNOSTEK NIEPOSIADAJĄCYCH OSOBOWOŚCI PRAWNEJ</t>
  </si>
  <si>
    <t>-  inne majątkowe</t>
  </si>
  <si>
    <t>PLAN PIERWOTNY</t>
  </si>
  <si>
    <t>ZMIANY W CIĄGU ROKU</t>
  </si>
  <si>
    <t>PLAN PO ZMIANACH</t>
  </si>
  <si>
    <t>%           wykon.           planu</t>
  </si>
  <si>
    <t>Stru     ktura     %</t>
  </si>
  <si>
    <t>A</t>
  </si>
  <si>
    <t>DOCHODY WŁASNE   (I - VI)</t>
  </si>
  <si>
    <t>I</t>
  </si>
  <si>
    <t>Podatek od nieruchomości</t>
  </si>
  <si>
    <t>Podatek rolny</t>
  </si>
  <si>
    <t>Podatek  leśny</t>
  </si>
  <si>
    <t>Podatek od środków transportowych</t>
  </si>
  <si>
    <t>Opłata targowa</t>
  </si>
  <si>
    <t>Wpływy z podatków zniesionych</t>
  </si>
  <si>
    <t>II</t>
  </si>
  <si>
    <t>Karta podatkowa</t>
  </si>
  <si>
    <t>Podatek od spadku i darowizn</t>
  </si>
  <si>
    <t>Podatek od czynności cywilnoprawnych    (osoby prawe)</t>
  </si>
  <si>
    <t>Podatek od czynności cywilnoprawnych  (osoby fizyczne)</t>
  </si>
  <si>
    <t>III</t>
  </si>
  <si>
    <t>DOCHODY Z  MAJĄTKU MIASTA</t>
  </si>
  <si>
    <t>Wpływy z opłat za zarząd i użytkowanie nieruchomości (osoby prawne i fizyczne)</t>
  </si>
  <si>
    <t>Dochody ze sprzedaży nieruchomości</t>
  </si>
  <si>
    <t>Wpływy z tytułu przekształceń</t>
  </si>
  <si>
    <t>Pozostałe wpływy</t>
  </si>
  <si>
    <t>IV</t>
  </si>
  <si>
    <t>UDZIAŁY W PODATKACH STANOWIĄCYCH DOCHÓD BUDŻETU PAŃSTWA</t>
  </si>
  <si>
    <t>Podatek dochodowy  od osób fizycznych</t>
  </si>
  <si>
    <t>Podatek dochodowy  od osób prawnych</t>
  </si>
  <si>
    <t>V</t>
  </si>
  <si>
    <t>POZOSTAŁE DOCHODY</t>
  </si>
  <si>
    <t>VI</t>
  </si>
  <si>
    <t>B</t>
  </si>
  <si>
    <t>SUBWENCJE</t>
  </si>
  <si>
    <t>Część oświatowa</t>
  </si>
  <si>
    <t>Część równoważąca</t>
  </si>
  <si>
    <t>C</t>
  </si>
  <si>
    <t>Tabela nr 3</t>
  </si>
  <si>
    <t>DOTACJE</t>
  </si>
  <si>
    <t>WYDATKI</t>
  </si>
  <si>
    <t xml:space="preserve">Dział              Rozdział                      </t>
  </si>
  <si>
    <t>Wykonanie</t>
  </si>
  <si>
    <r>
      <t xml:space="preserve">% wykon. planu           </t>
    </r>
    <r>
      <rPr>
        <sz val="8"/>
        <rFont val="Times New Roman CE"/>
        <family val="1"/>
      </rPr>
      <t xml:space="preserve"> (7 : 6)</t>
    </r>
  </si>
  <si>
    <t>75011</t>
  </si>
  <si>
    <t>Urzędy wojewódzkie</t>
  </si>
  <si>
    <t>dofinansowanie kosztów utrzymania administracji realizującej  zadania z zakresu  komunikacji, spraw obywatelskich</t>
  </si>
  <si>
    <t>75101</t>
  </si>
  <si>
    <t xml:space="preserve">dofinansowanie kosztów prowadzenia i aktualizacji rejestru wyborców </t>
  </si>
  <si>
    <t>75414</t>
  </si>
  <si>
    <t>Obrona cywilna</t>
  </si>
  <si>
    <t>85203</t>
  </si>
  <si>
    <t>Ośrodki wsparcia</t>
  </si>
  <si>
    <t>dofinansowanie działalności Środowiskowego Domu Samopomocy dla osób z zaburzeniami psychicznymi</t>
  </si>
  <si>
    <t>85212</t>
  </si>
  <si>
    <t xml:space="preserve">składki na ubezpieczenie zdrowotne opłacane za osoby pobierające : zasiłek stały, zasiłek stały wyrównawczy, gwarantowany zasiłek okresowy lub rentę socjalną z pomocy społecznej </t>
  </si>
  <si>
    <t>85214</t>
  </si>
  <si>
    <t>świadczenia wypłacane najuboższym i składki za osoby pobierające świadczenia z pomocy społecznej</t>
  </si>
  <si>
    <t>92108</t>
  </si>
  <si>
    <t>Filharmonie, orkiestry, chóry i kapele</t>
  </si>
  <si>
    <t>Tabela nr 4</t>
  </si>
  <si>
    <r>
      <t xml:space="preserve">% wykon. planu         </t>
    </r>
    <r>
      <rPr>
        <sz val="8"/>
        <rFont val="Times New Roman CE"/>
        <family val="1"/>
      </rPr>
      <t xml:space="preserve">   (7 : 6)</t>
    </r>
  </si>
  <si>
    <t>70005</t>
  </si>
  <si>
    <t>Gospodarka gruntami i nieruchomościami</t>
  </si>
  <si>
    <t>71013</t>
  </si>
  <si>
    <t xml:space="preserve">Prace geodezyjne i kartograficzne (nieinwestycyjne) </t>
  </si>
  <si>
    <t>71014</t>
  </si>
  <si>
    <t>Opracowania geodezyjne i kartograficzne</t>
  </si>
  <si>
    <t>71015</t>
  </si>
  <si>
    <t>Nadzór budowlany</t>
  </si>
  <si>
    <t>dofinansowanie kosztów utrzymania administracji realizującej  zadania z zakresu  komunikacji</t>
  </si>
  <si>
    <t>75045</t>
  </si>
  <si>
    <t>Komisje poborowe</t>
  </si>
  <si>
    <t>75411</t>
  </si>
  <si>
    <t>Komendy powiatowe Państwowej Straży Pożarnej</t>
  </si>
  <si>
    <t>85156</t>
  </si>
  <si>
    <t xml:space="preserve"> za dzieci z placówek opiekuńczo -wychowawczych</t>
  </si>
  <si>
    <t>85321</t>
  </si>
  <si>
    <t>Tabela nr 5</t>
  </si>
  <si>
    <t>INFORMACJA  O  WYSOKOŚCI  I  ŹRÓDŁACH  POKRYCIA</t>
  </si>
  <si>
    <t>DEFICYTU   BUDŻETOWEGO</t>
  </si>
  <si>
    <t>w    złotych</t>
  </si>
  <si>
    <t>PLAN</t>
  </si>
  <si>
    <t>Wykonanie            I półrocze</t>
  </si>
  <si>
    <t xml:space="preserve">  A.  DOCHODY</t>
  </si>
  <si>
    <r>
      <t xml:space="preserve">  B.  WYDATKI  </t>
    </r>
    <r>
      <rPr>
        <b/>
        <i/>
        <sz val="12"/>
        <color indexed="8"/>
        <rFont val="Times New Roman CE"/>
        <family val="1"/>
      </rPr>
      <t xml:space="preserve"> </t>
    </r>
  </si>
  <si>
    <t xml:space="preserve">       z tego:</t>
  </si>
  <si>
    <t xml:space="preserve">        wydatki bieżące    </t>
  </si>
  <si>
    <t xml:space="preserve">        wydatki majątkowe   </t>
  </si>
  <si>
    <t xml:space="preserve">  C.  NADWYŻKA / DEFICYT</t>
  </si>
  <si>
    <t xml:space="preserve">  D.  FINANSOWANIE</t>
  </si>
  <si>
    <t xml:space="preserve">       PRZYCHODY OGÓŁEM</t>
  </si>
  <si>
    <t xml:space="preserve">       kredyty i pożyczki</t>
  </si>
  <si>
    <t xml:space="preserve">       inne źródła</t>
  </si>
  <si>
    <t xml:space="preserve">       ROZCHODY OGÓŁEM</t>
  </si>
  <si>
    <t xml:space="preserve">      spłaty kredytów i pożyczek</t>
  </si>
  <si>
    <t xml:space="preserve">      lokaty</t>
  </si>
  <si>
    <t>Tabela nr 6</t>
  </si>
  <si>
    <t xml:space="preserve">Dział </t>
  </si>
  <si>
    <t xml:space="preserve">POWIAT </t>
  </si>
  <si>
    <t>Rozdz.  §</t>
  </si>
  <si>
    <t>Wyszczególnienie</t>
  </si>
  <si>
    <t>Plan</t>
  </si>
  <si>
    <t>%         wyk.</t>
  </si>
  <si>
    <t>%        wyk.</t>
  </si>
  <si>
    <t>%     wyk.</t>
  </si>
  <si>
    <t>Zdania w zakresie upowszechniania turystyki</t>
  </si>
  <si>
    <t>Zakłady gospodarki mieszkaniowej - ZBM</t>
  </si>
  <si>
    <t>Dotacja podmiotowa z budżetu dla zakładu budżetowego</t>
  </si>
  <si>
    <t>Starostwa powiatowe</t>
  </si>
  <si>
    <t>Pozostała działalność</t>
  </si>
  <si>
    <t>Ochotnicze straże pożarne</t>
  </si>
  <si>
    <t>Szkoły podstawowe</t>
  </si>
  <si>
    <t>Oddziały przedszkolne w szkołach podstawowych</t>
  </si>
  <si>
    <t>Przedszkola</t>
  </si>
  <si>
    <t>Gimnazja</t>
  </si>
  <si>
    <t>Licea ogólnokształcące</t>
  </si>
  <si>
    <t>Dotacja podmiotowa dla niepublicznej szkoły lub innej placówki oświatowo-wychowawczej</t>
  </si>
  <si>
    <t>Szkoły zawodowe</t>
  </si>
  <si>
    <t>Dokształcanie i doskonalenie nauczycieli</t>
  </si>
  <si>
    <t>Dotacja celowa z budżetu na finansowanie i dofinansowanie zadań zleconych do realizacji stowarzyszeniom</t>
  </si>
  <si>
    <t>Szpitale ogólne</t>
  </si>
  <si>
    <t>Programy polityki zdrowotnej</t>
  </si>
  <si>
    <t>Dotacja celowa z budżetu na finansowanie lub dofinansowanie zadań zleconych do realizacji pozostałym jednostkom nie zaliczanym do sektora finansów publicznych</t>
  </si>
  <si>
    <t>Zwalczanie narkomanii</t>
  </si>
  <si>
    <t xml:space="preserve">Dotacja celowa z budżetu na finansowanie lub dofinansowanie zadań zleconych do realizacji stowarzyszeniom </t>
  </si>
  <si>
    <t>Przeciwdziałanie alkoholizmowi</t>
  </si>
  <si>
    <t>Dotacja podmiotowa z budżetu dla samorządowej instytucji kultury</t>
  </si>
  <si>
    <r>
      <t xml:space="preserve">Placówki opiekuńczo-wychowawcze - </t>
    </r>
    <r>
      <rPr>
        <b/>
        <i/>
        <sz val="10"/>
        <rFont val="Times New Roman CE"/>
        <family val="1"/>
      </rPr>
      <t>Rodzinne Domy Dziecka</t>
    </r>
  </si>
  <si>
    <t>Żłobki</t>
  </si>
  <si>
    <t>Pozostałe zadania w zakresie kultury</t>
  </si>
  <si>
    <t>Teatry dramatyczne i lalkowe</t>
  </si>
  <si>
    <t>Dotacja podmiotowa z budżetu samorządowej dla instytucji kultury</t>
  </si>
  <si>
    <t>Domy i ośrodki kultury, świetlice i kluby</t>
  </si>
  <si>
    <t xml:space="preserve">Dotacje podmiotowe z budżetu dla samorządowej  instytucji kultury </t>
  </si>
  <si>
    <t>Biblioteki</t>
  </si>
  <si>
    <t>Muzea</t>
  </si>
  <si>
    <t>Zadania w zakresie kultury fizycznej i sportu</t>
  </si>
  <si>
    <t xml:space="preserve">         </t>
  </si>
  <si>
    <t>Tabela nr 7</t>
  </si>
  <si>
    <t>w tys. zł</t>
  </si>
  <si>
    <t>Lp</t>
  </si>
  <si>
    <t>PRZYCHODY WŁASNE</t>
  </si>
  <si>
    <t>DOTACJA</t>
  </si>
  <si>
    <t>KOSZTY</t>
  </si>
  <si>
    <t>Wykonanie         I  półrocze 2005</t>
  </si>
  <si>
    <t>Dynamika        6 : 4</t>
  </si>
  <si>
    <t>%     wykonania planu                      6 : 5</t>
  </si>
  <si>
    <t>Dynamika    11 : 9</t>
  </si>
  <si>
    <t>%     wykonania planu                     11 : 10</t>
  </si>
  <si>
    <t>Dynamika  16 : 14</t>
  </si>
  <si>
    <t>%     wykonania planu                 16 : 15</t>
  </si>
  <si>
    <t>Zarząd Budynków Mieszkalnych</t>
  </si>
  <si>
    <t>Żłobek                            Miejski</t>
  </si>
  <si>
    <t>Przedszkola              Miejskie</t>
  </si>
  <si>
    <t>Miejski Ośrodek Kultury</t>
  </si>
  <si>
    <t>Koszalińska      Biblioteka          Publiczna  i filie</t>
  </si>
  <si>
    <t>Bałtycki Teatr Dramatyczny</t>
  </si>
  <si>
    <t>Filharmonia Koszalińska</t>
  </si>
  <si>
    <t>Muzeum                                  w Koszalinie</t>
  </si>
  <si>
    <t xml:space="preserve">                                       WYKONANIE PRZYCHODÓW  I  WYDATKÓW  FUNDUSZY  CELOWYCH</t>
  </si>
  <si>
    <t>Tabela nr 8</t>
  </si>
  <si>
    <t xml:space="preserve"> w złotych</t>
  </si>
  <si>
    <t>Wykonanie            I półrocze         2005 roku</t>
  </si>
  <si>
    <t xml:space="preserve">Dynamika %      5:3    </t>
  </si>
  <si>
    <t xml:space="preserve">% wykonania planu                        5:4          </t>
  </si>
  <si>
    <t xml:space="preserve"> PRZYCHODY  OGÓŁEM                                                                                                                                    </t>
  </si>
  <si>
    <t xml:space="preserve">   z tego:</t>
  </si>
  <si>
    <t xml:space="preserve"> Gminny Fundusz Ochrony Środowiska i Gospodarki Wodnej</t>
  </si>
  <si>
    <t xml:space="preserve"> Powiatowy Fundusz Ochrony Środowiska i Gospodarki Wodnej</t>
  </si>
  <si>
    <t xml:space="preserve"> Powiatowy Fundusz Gospodarki Zasobem Geodezyjnym i Kartograficznym</t>
  </si>
  <si>
    <t xml:space="preserve"> WYDATKI  OGÓŁEM</t>
  </si>
  <si>
    <t xml:space="preserve"> STAN ŚRODKÓW OBROTOWYCH</t>
  </si>
  <si>
    <t>Tabela nr 9</t>
  </si>
  <si>
    <t xml:space="preserve">Stan    środków </t>
  </si>
  <si>
    <t>Przychody</t>
  </si>
  <si>
    <t>Wydatki</t>
  </si>
  <si>
    <t>stan środków</t>
  </si>
  <si>
    <t>na początek roku</t>
  </si>
  <si>
    <t>wykonanie          I pólrocze             2005</t>
  </si>
  <si>
    <t>% wykonania planu</t>
  </si>
  <si>
    <t>wykonanie            I pólrocze             2005</t>
  </si>
  <si>
    <r>
      <t xml:space="preserve"> </t>
    </r>
    <r>
      <rPr>
        <sz val="9"/>
        <rFont val="Times New Roman"/>
        <family val="1"/>
      </rPr>
      <t xml:space="preserve">na koniec      I półrocza </t>
    </r>
    <r>
      <rPr>
        <sz val="8"/>
        <rFont val="Times New Roman"/>
        <family val="1"/>
      </rPr>
      <t xml:space="preserve">                          </t>
    </r>
    <r>
      <rPr>
        <sz val="7"/>
        <rFont val="Times New Roman"/>
        <family val="1"/>
      </rPr>
      <t>(3 + 6 -10)</t>
    </r>
  </si>
  <si>
    <t xml:space="preserve">Zarząd Dróg Miejskich </t>
  </si>
  <si>
    <t>Urząd Miejski</t>
  </si>
  <si>
    <t>Miejski Ośrodek Pomocy Społecznej</t>
  </si>
  <si>
    <t>4.</t>
  </si>
  <si>
    <t>Ośrodek Adopcyjno - Opiekuńczy</t>
  </si>
  <si>
    <t>5.</t>
  </si>
  <si>
    <t>Komenda Miejska Państwowej Straży Pożarnej</t>
  </si>
  <si>
    <t>6.</t>
  </si>
  <si>
    <t>Gminne jednostki oświatowe</t>
  </si>
  <si>
    <t>7.</t>
  </si>
  <si>
    <t>Powiatowe jednostki oświatowe</t>
  </si>
  <si>
    <t>dział 801</t>
  </si>
  <si>
    <t>dział 854</t>
  </si>
  <si>
    <t xml:space="preserve">Wykonanie </t>
  </si>
  <si>
    <t xml:space="preserve">% </t>
  </si>
  <si>
    <t>Rozdział</t>
  </si>
  <si>
    <t>pierwotny</t>
  </si>
  <si>
    <t>po</t>
  </si>
  <si>
    <t>I półrocze</t>
  </si>
  <si>
    <t>wyk.</t>
  </si>
  <si>
    <t>Zakres rzeczowy</t>
  </si>
  <si>
    <t>§</t>
  </si>
  <si>
    <t xml:space="preserve"> zmianach</t>
  </si>
  <si>
    <t>6  :  5</t>
  </si>
  <si>
    <t xml:space="preserve">INWESTYCJE KONTYNUOWANE </t>
  </si>
  <si>
    <t>Dział 600</t>
  </si>
  <si>
    <t>§ 6051</t>
  </si>
  <si>
    <t xml:space="preserve"> - środki własne</t>
  </si>
  <si>
    <t>§ 6052</t>
  </si>
  <si>
    <t>Osiedle Bukowe - drogi</t>
  </si>
  <si>
    <t>ZA    I  PÓŁROCZE  2006  ROKU</t>
  </si>
  <si>
    <t>2006 rok</t>
  </si>
  <si>
    <r>
      <t xml:space="preserve">WYKONANIE
</t>
    </r>
    <r>
      <rPr>
        <b/>
        <sz val="9"/>
        <rFont val="Times New Roman CE"/>
        <family val="1"/>
      </rPr>
      <t>I  półrocze 2005 r.</t>
    </r>
  </si>
  <si>
    <t>Dotacje na zadania realizowane przez gminę               i powiat na podstawie porozumień z organami administracji rządowej</t>
  </si>
  <si>
    <t>Dotacje na zadania  realizowane przez gminą                i powiat na podstawie porozumień z j.s.t.</t>
  </si>
  <si>
    <t>Wydatki na realizację zadań  realizowanych przez gminę i powiat na podstawie porozumień z organami administracji rządowej</t>
  </si>
  <si>
    <t>Wydatki na realizację zadań realizowanych przez gminę                i powiat na podstawie porozumień z j.s.t.</t>
  </si>
  <si>
    <r>
      <t xml:space="preserve">REALIZACJA   PLANU  DOCHODÓW  MIASTA  KOSZALINA  ZA   I  PÓŁROCZE  2006 ROKU                                                                                                  </t>
    </r>
    <r>
      <rPr>
        <b/>
        <sz val="11"/>
        <rFont val="Times New Roman"/>
        <family val="1"/>
      </rPr>
      <t>WG  ŹRÓDEŁ  POWSTAWANIA</t>
    </r>
  </si>
  <si>
    <t xml:space="preserve">         Tabela nr 1</t>
  </si>
  <si>
    <t xml:space="preserve">       w  złotych</t>
  </si>
  <si>
    <t>WYKONANIE            I PÓŁROCZE  2006</t>
  </si>
  <si>
    <t>PODATKI I OPŁATY LOKALNE                             (osoby prawne)</t>
  </si>
  <si>
    <t>PODATKI I OPŁATY LOKALNE                    (osoby fizyczne)</t>
  </si>
  <si>
    <t>PODATKI I OPŁATY POBIERANE PRZEZ URZĄD SKARBOWY</t>
  </si>
  <si>
    <t>Dochody z najmu i dzierżawy</t>
  </si>
  <si>
    <t>POZOSTAŁE  DOCHODY</t>
  </si>
  <si>
    <t xml:space="preserve">Część uzupełniająca </t>
  </si>
  <si>
    <t>ŚRODKI Z EUROPEJSKIEGO FUNDUSZU ROZWOJU REGIONAKNEGO I INNE</t>
  </si>
  <si>
    <t>D</t>
  </si>
  <si>
    <t xml:space="preserve">DOTACJE CELOWE  </t>
  </si>
  <si>
    <t>Na realizację własnych zadań</t>
  </si>
  <si>
    <t xml:space="preserve">           w tym porozumienia:</t>
  </si>
  <si>
    <t>a)</t>
  </si>
  <si>
    <t>z jednostkami samorządu terytorialnego</t>
  </si>
  <si>
    <t>b)</t>
  </si>
  <si>
    <t>z organami administracji rządowej</t>
  </si>
  <si>
    <t>Na zadania zlecone z zakresu administracji rządowej</t>
  </si>
  <si>
    <r>
      <t xml:space="preserve">DOCHODY OGÓŁEM  </t>
    </r>
    <r>
      <rPr>
        <b/>
        <sz val="8"/>
        <rFont val="Times New Roman"/>
        <family val="1"/>
      </rPr>
      <t>(A+B+C+D)</t>
    </r>
  </si>
  <si>
    <t xml:space="preserve"> ZADANIA WŁASNE</t>
  </si>
  <si>
    <t>ZADANIA REALIZOWANE NA PODSTAWIE POROZUMIEŃ Z JEDNOSTKAMI SAMORZĄDU TERYTORIALNEGO</t>
  </si>
  <si>
    <t>ZADANIA REALIZOWANE NA PODSTAWIE POROZUMIEŃ Z ORGANAMI ADMINISTRACJI RZĄDOWEJ</t>
  </si>
  <si>
    <t xml:space="preserve"> ZADANIA ZLECONE</t>
  </si>
  <si>
    <t xml:space="preserve">DYNAMIKA DOCHODÓW KOSZALINA WG ŹRÓDEŁ POWSTAWANIA
 W LATACH 2005-2006
 stan na 30 czerwca
</t>
  </si>
  <si>
    <t>Tabela nr 1a</t>
  </si>
  <si>
    <t>Wykonanie
 2005 rok</t>
  </si>
  <si>
    <t>Plan
 po zmianach</t>
  </si>
  <si>
    <t xml:space="preserve">Wykonanie         </t>
  </si>
  <si>
    <r>
      <t xml:space="preserve">Dynamika                           </t>
    </r>
    <r>
      <rPr>
        <sz val="9"/>
        <rFont val="Times New Roman CE"/>
        <family val="1"/>
      </rPr>
      <t>5 : 3</t>
    </r>
  </si>
  <si>
    <t>% wyk.
 planu  
5 : 4</t>
  </si>
  <si>
    <r>
      <t xml:space="preserve">RAZEM DOCHODY  WŁASNE  </t>
    </r>
    <r>
      <rPr>
        <b/>
        <sz val="8"/>
        <color indexed="8"/>
        <rFont val="Times New Roman CE"/>
        <family val="1"/>
      </rPr>
      <t xml:space="preserve">  (od I do VI)</t>
    </r>
  </si>
  <si>
    <t>PODATKI I OPŁATY LOKALNE   osoby prawne</t>
  </si>
  <si>
    <t xml:space="preserve">Podatek rolny </t>
  </si>
  <si>
    <t>Podatek leśny</t>
  </si>
  <si>
    <t xml:space="preserve">Opłata targowa </t>
  </si>
  <si>
    <t>PODATKI I OPŁATY LOKALNE   osoby fizyczne</t>
  </si>
  <si>
    <t xml:space="preserve">Podatek leśny </t>
  </si>
  <si>
    <t xml:space="preserve">Podatek od środków transportowych </t>
  </si>
  <si>
    <t xml:space="preserve">Wpływy z podatków zniesionych  </t>
  </si>
  <si>
    <t>PODATKI  POBIERANE  PRZEZ  URZĄD  SKARBOWY</t>
  </si>
  <si>
    <t>Wpływy z podatku opłacane w formie karty podatkowej</t>
  </si>
  <si>
    <t>Podatek od spadków i darowizn</t>
  </si>
  <si>
    <t>Podatek od czynności cywilnoprawnych -osoby prawne</t>
  </si>
  <si>
    <t>Podatek od czynności cywilnoprawnych  - osoby  fizyczne</t>
  </si>
  <si>
    <t xml:space="preserve">DOCHODY Z MAJĄTKU MIASTA </t>
  </si>
  <si>
    <t xml:space="preserve">Dochody ze sprzedaży nieruchomości </t>
  </si>
  <si>
    <t xml:space="preserve">Dochody z najmu i dzierżawy </t>
  </si>
  <si>
    <t xml:space="preserve">Pozostałe wpływy  </t>
  </si>
  <si>
    <t xml:space="preserve"> UDZIAŁY W PODATKACH STANOWIĄCYCH DOCHÓD PAŃSTWA</t>
  </si>
  <si>
    <r>
      <t>Udział w podatku dochodowym od osób fizycznych</t>
    </r>
    <r>
      <rPr>
        <b/>
        <sz val="8"/>
        <rFont val="Times New Roman CE"/>
        <family val="1"/>
      </rPr>
      <t xml:space="preserve"> </t>
    </r>
  </si>
  <si>
    <r>
      <t>Udział w podatku dochodowym od osób prawnych</t>
    </r>
    <r>
      <rPr>
        <b/>
        <sz val="8"/>
        <rFont val="Times New Roman CE"/>
        <family val="1"/>
      </rPr>
      <t xml:space="preserve"> </t>
    </r>
    <r>
      <rPr>
        <sz val="8"/>
        <rFont val="Times New Roman CE"/>
        <family val="1"/>
      </rPr>
      <t xml:space="preserve">  </t>
    </r>
  </si>
  <si>
    <t>SUBWENCJA</t>
  </si>
  <si>
    <t>Część na cele oświatowe</t>
  </si>
  <si>
    <t>Uzupełnienie subwencji ogólnej</t>
  </si>
  <si>
    <t>ŚRODKI Z EUROPEJSKIEGO FUNDUSZU ROZWOJU REGIONALNEGO I INNE</t>
  </si>
  <si>
    <t>w tym:</t>
  </si>
  <si>
    <t>`</t>
  </si>
  <si>
    <t>na zadania bieżące</t>
  </si>
  <si>
    <t>na zadania majątkowe</t>
  </si>
  <si>
    <t xml:space="preserve">      w tym porozumienia:</t>
  </si>
  <si>
    <t>środki unijne</t>
  </si>
  <si>
    <t xml:space="preserve"> z organami administracji rządowej, w tym:</t>
  </si>
  <si>
    <t>DOCHODY OGÓŁEM  (A+B+C+D)</t>
  </si>
  <si>
    <t xml:space="preserve">REALIZACJA   PLANU  DOCHODÓW    MIASTA  KOSZALINA   ZA  I PÓŁROCZE 2006 ROKU                                                                                                               </t>
  </si>
  <si>
    <t xml:space="preserve">                   wg działów klasyfikacji budżetowej z podziałem na zadania własne, zlecone i porozumienia</t>
  </si>
  <si>
    <t xml:space="preserve">                Tabela nr 2</t>
  </si>
  <si>
    <t xml:space="preserve">                               w złotych</t>
  </si>
  <si>
    <t xml:space="preserve">                        OGÓŁEM</t>
  </si>
  <si>
    <t xml:space="preserve">   2000r.             </t>
  </si>
  <si>
    <t xml:space="preserve">Wykonanie           I półrocze           2006 r.                          </t>
  </si>
  <si>
    <r>
      <t xml:space="preserve">%          </t>
    </r>
    <r>
      <rPr>
        <sz val="9"/>
        <rFont val="Times New Roman"/>
        <family val="1"/>
      </rPr>
      <t xml:space="preserve"> wyk.           planu </t>
    </r>
  </si>
  <si>
    <t>Struktura                     %</t>
  </si>
  <si>
    <t xml:space="preserve">Wykonanie           I półrocze        2006 r.                          </t>
  </si>
  <si>
    <r>
      <t xml:space="preserve">%              </t>
    </r>
    <r>
      <rPr>
        <sz val="9"/>
        <rFont val="Times New Roman"/>
        <family val="1"/>
      </rPr>
      <t>wyk.           planu</t>
    </r>
  </si>
  <si>
    <t xml:space="preserve">Wykonanie                 I półrocze         2006 r.                          </t>
  </si>
  <si>
    <r>
      <t xml:space="preserve">%               </t>
    </r>
    <r>
      <rPr>
        <sz val="9"/>
        <rFont val="Times New Roman"/>
        <family val="1"/>
      </rPr>
      <t>wyk.           planu</t>
    </r>
  </si>
  <si>
    <t xml:space="preserve"> - własne</t>
  </si>
  <si>
    <t xml:space="preserve"> - porozumienia z jednostkami
   samorządu terytorialnego </t>
  </si>
  <si>
    <t xml:space="preserve"> - zlecone</t>
  </si>
  <si>
    <t xml:space="preserve"> - własne </t>
  </si>
  <si>
    <t xml:space="preserve"> - porozumienia z organami
   administracji rządowej</t>
  </si>
  <si>
    <t xml:space="preserve"> - porozumienia z jednostkami 
   samorządu terytorialnego</t>
  </si>
  <si>
    <t xml:space="preserve">REALIZACJA   PLANU  WYDATKÓW    MIASTA  KOSZALINA  ZA  I  PÓŁROCZE  2006  ROKU                                                                                                               </t>
  </si>
  <si>
    <t xml:space="preserve">Wykonanie  
I półrocze
2006 r.                          </t>
  </si>
  <si>
    <t xml:space="preserve">Wykonanie
I półrocze
2006 r.                          </t>
  </si>
  <si>
    <t xml:space="preserve">Wykonanie
I półrocze
 2006 r.                          </t>
  </si>
  <si>
    <t>na podstawie porozumień          z organami administracji rządowej</t>
  </si>
  <si>
    <t>na podstawie porozumień              z jednostkami samorządu terytorialnego</t>
  </si>
  <si>
    <t>na podstawie porozumień          z  jednostkami samorządu terytorialnego</t>
  </si>
  <si>
    <t xml:space="preserve">Tabela nr 1a </t>
  </si>
  <si>
    <t>WYKONANIE  WYDATKÓW  MIASTA  KOSZALINA  NA  30.06.2006 r.</t>
  </si>
  <si>
    <t>W PORÓWNANIU Z 30.06.2005 r.</t>
  </si>
  <si>
    <t>Według działów klasyfikacji budżetowej</t>
  </si>
  <si>
    <t>2006 r.</t>
  </si>
  <si>
    <t>Dynamika %</t>
  </si>
  <si>
    <t xml:space="preserve">% wyk.  planu </t>
  </si>
  <si>
    <t>30.06.2005 r.</t>
  </si>
  <si>
    <t>po zmianach</t>
  </si>
  <si>
    <t>30.06.2006 r.</t>
  </si>
  <si>
    <t xml:space="preserve"> 4 : 3</t>
  </si>
  <si>
    <t xml:space="preserve"> 5 : 4</t>
  </si>
  <si>
    <t xml:space="preserve">TURYSTYKA </t>
  </si>
  <si>
    <t xml:space="preserve">GOSPODARKA MIESZKANIOWA </t>
  </si>
  <si>
    <t>POMOC  SPOŁECZNA</t>
  </si>
  <si>
    <t>Realizacja wydatków  na  zadania  własne gminy, własne powiatu, zlecone  gminie i powiatowi  w I półroczu  2006 roku</t>
  </si>
  <si>
    <t>wydatki bieżące</t>
  </si>
  <si>
    <t>wydatki majątkowe:</t>
  </si>
  <si>
    <t xml:space="preserve">w tym: </t>
  </si>
  <si>
    <t>na podstawie porozumień         z organami administracji rządowej</t>
  </si>
  <si>
    <t>na podstawie porozumień          z jednostkami samorządu terytorialnego</t>
  </si>
  <si>
    <t>WYKONANIE PLANU DOTACJI I WYDATKÓW  ZADAŃ  ZLECONYCH                                                                                GMINIE   Z  ZAKRESU  ADMINISTRACJI RZĄDOWEJ                                                                                            ZA I PÓŁROCZE 2006 ROKU</t>
  </si>
  <si>
    <t xml:space="preserve">                      w złotych</t>
  </si>
  <si>
    <r>
      <t xml:space="preserve">% wykon. planu            </t>
    </r>
    <r>
      <rPr>
        <sz val="8"/>
        <rFont val="Times New Roman CE"/>
        <family val="1"/>
      </rPr>
      <t>(4 : 3)</t>
    </r>
  </si>
  <si>
    <t>realizacja zadań związanych z organizowaniem gminnych centrów reagowania kryzysowego</t>
  </si>
  <si>
    <t>Świadczenia rodzinne, zaliczka alimentacyjna oraz składki na ubezpieczenia emerytalne i rentowe z ubezpieczenia społecznego</t>
  </si>
  <si>
    <t>wypłata świadczeń rodzinnych, zaliczek alimentacyjnych i składek emerytalno - rentowych</t>
  </si>
  <si>
    <t>Składki na ubezpieczenia zdrowotne opłacane za osoby pobierające niektóre świadczenia z pomocy społecznej oraz niektóre świadczenia rodzinne</t>
  </si>
  <si>
    <t>Zasiłki i pomoc w naturze oraz składki na ubezpieczenia emerytalne i rentowe</t>
  </si>
  <si>
    <t>85228</t>
  </si>
  <si>
    <t>pomoc osobom samotnym, niepełnosprawnym, wymagającym opieki i pomocy w zaspokajaniu codziennych potrzeb życiowych</t>
  </si>
  <si>
    <t xml:space="preserve">realizacja zadania pn. "Kultura i zachowanie romskiej tożsamości etnicznej w Koszalinie - wsparcie istniejącego zespołu muzycznego" </t>
  </si>
  <si>
    <t>WYKONANIE PLANU DOTACJI I WYDATKÓW ZADAŃ  ZLECONYCH                                                                              POWIATOWI  Z  ZAKRESU  ADMINISTRACJI RZĄDOWEJ
  ZA I PÓŁROCZE 2006 ROKU</t>
  </si>
  <si>
    <t xml:space="preserve">                    w złotych</t>
  </si>
  <si>
    <r>
      <t xml:space="preserve">% 
wykon.
 planu            
</t>
    </r>
    <r>
      <rPr>
        <sz val="8"/>
        <rFont val="Times New Roman CE"/>
        <family val="1"/>
      </rPr>
      <t>(4 : 3)</t>
    </r>
  </si>
  <si>
    <t>pokrycie kosztów związanych z nieruchomościami Skarbu Państwa</t>
  </si>
  <si>
    <t>modernizacja osnowy geodezyjnej III klasy Koszalina</t>
  </si>
  <si>
    <t>funkcjonowanie Inspektoratu Nadzoru Budowlanego</t>
  </si>
  <si>
    <t>działalność bieżąca Komisji Poborowych</t>
  </si>
  <si>
    <t>działalność Komendy Powiatowej Państwowej Straży Pożarnej</t>
  </si>
  <si>
    <t>Składki na ubezpieczenie zdrowotne oraz świadczenia dla osób nieobjętych obowiązkiem ubezpieczenia zdrowotnego</t>
  </si>
  <si>
    <t xml:space="preserve">Zespoły do spraw orzekania o niepełnosprawności </t>
  </si>
  <si>
    <t>finansowanie działalności powiatowych zespołów do spraw orzekania o stopniu niepełnosprawności</t>
  </si>
  <si>
    <t>85334</t>
  </si>
  <si>
    <t>zwrot kosztu remontu mieszkań dla repatriantów</t>
  </si>
  <si>
    <t>WYKONANIE PLANU DOTACJI I WYDATKÓW ZADAŃ  REALIZOWANYCH                                                                             PRZEZ POWIAT NA PODSTAWIE POROZUMIEŃ Z ORGANAMI  ADMINISTRACJI 
RZĄDOWEJ W I PÓŁROCZU 2006 ROKU</t>
  </si>
  <si>
    <t>działalność komisji poborowych</t>
  </si>
  <si>
    <t>WYKONANIE PLANU DOTACJI NA ZADANIA REALIZOWANE PRZEZ GMINĘ NA PODSTAWIE POROZUMIEŃ Z JEDNOSTKAMI SAMORZĄDU TERYTORIALNEGO           W I PÓŁROCZU  2006 ROKU</t>
  </si>
  <si>
    <t>% wyk.</t>
  </si>
  <si>
    <t>Dotacje celowe otrzymane z gminy na zadania bieżące realizowane na podstawie porozumień między jednostkami samorządu terytorialnego</t>
  </si>
  <si>
    <t>Dotacja celowa otrzymana przez jednostkę samorządu terytorialnego od innej jednostki samorządu terytorialnego będącej instytucją wdrażającą na zadania bieżące reallizowane na podstawie porozumień</t>
  </si>
  <si>
    <t>WYKONANIE PLANU DOTACJI OTRZYMANYCH I UDZIELONYCH NA ZADANIA REALIZOWANE PRZEZ POWIAT NA PODSTAWIE POROZUMIEŃ Z JEDNOSTKAMI SAMORZĄDU TERYTORIALNEGO W I PÓŁROCZU  2006 ROKU</t>
  </si>
  <si>
    <t>OTRZYMANE</t>
  </si>
  <si>
    <t>UDZIELONE</t>
  </si>
  <si>
    <t>Dotacje celowe przekazane dla powiatu na zadania bieżące realizowane na podstawie porozumień między jednostkami samorządu terytorialnego</t>
  </si>
  <si>
    <t xml:space="preserve">Rodziny zastępcze </t>
  </si>
  <si>
    <t>Dotacje celowe otrzymane z powiatu na zadania bieżące realizowane na podstawie porozumień między jednostkami samorządu terytorialnego</t>
  </si>
  <si>
    <t>W   2006    ROKU</t>
  </si>
  <si>
    <t>DOTACJE  UDZIELANE  Z  BUDŻETU  MIASTA  NA  REALIZACJĘ  ZADAŃ PUBLICZNYCH   W   I   PÓŁROCZU    2006   ROKU</t>
  </si>
  <si>
    <r>
      <t xml:space="preserve">Dotacja celowa z budżetu na finansowanie lub dofinansowanie zadań zleconych do realizacji stowarzyszeniom - </t>
    </r>
    <r>
      <rPr>
        <i/>
        <sz val="9"/>
        <rFont val="Times New Roman CE"/>
        <family val="1"/>
      </rPr>
      <t>Polskie Towarzystwo Turystyczno - Krajoznawcze Oddział w Koszalinie</t>
    </r>
  </si>
  <si>
    <t>Osiedle "Wenedów"- drogi</t>
  </si>
  <si>
    <t>Dział 700</t>
  </si>
  <si>
    <t>Mieszkania socjalne</t>
  </si>
  <si>
    <t>Dział 900</t>
  </si>
  <si>
    <t>Uzbrojenie terenu pod Słupską Specjalną Strefę Ekonomiczną, Kompleks Koszalin</t>
  </si>
  <si>
    <t>Uzbrojenie ul. Szczecińskiej</t>
  </si>
  <si>
    <t>Dokumentacja pod przyszłe inwestycje</t>
  </si>
  <si>
    <t>Wydatki na inwestycje zakończone</t>
  </si>
  <si>
    <t>Inwestycyjne inicjatywy społeczne</t>
  </si>
  <si>
    <t>Dział 921</t>
  </si>
  <si>
    <t>Modernizacja budynku  MOK - akustyka</t>
  </si>
  <si>
    <t>Dział 926</t>
  </si>
  <si>
    <t>Modernizacja stadionu "Bałtyk" I etap</t>
  </si>
  <si>
    <t xml:space="preserve">INWESTYCJE ROZPOCZYNANE </t>
  </si>
  <si>
    <t>ul. Kamieniarska</t>
  </si>
  <si>
    <t>ul. Olchowa</t>
  </si>
  <si>
    <t>ul. Krańcowa</t>
  </si>
  <si>
    <t>Realizacja w II półroczu br.</t>
  </si>
  <si>
    <t>Parking przy Szpitalu Wojewódzkim</t>
  </si>
  <si>
    <t>Dział 754</t>
  </si>
  <si>
    <t>Dział 801</t>
  </si>
  <si>
    <t>Dział 851</t>
  </si>
  <si>
    <t>Modernizacja Bałtyckiego Teatru Dramatycznego</t>
  </si>
  <si>
    <t xml:space="preserve">Ogółem inwestycje (I+II)  </t>
  </si>
  <si>
    <t xml:space="preserve">III.  ZAKUPY INWESTYCYJNE </t>
  </si>
  <si>
    <t>Załącznik nr 1</t>
  </si>
  <si>
    <t>IV.   INNE  MAJĄTKOWE</t>
  </si>
  <si>
    <t>V.   REMONTY</t>
  </si>
  <si>
    <t>Załącznik nr 2</t>
  </si>
  <si>
    <t>OGÓŁEM  WYDATKI   MAJĄTKOWE  I  REMONTY</t>
  </si>
  <si>
    <t>.</t>
  </si>
  <si>
    <t>INFORMACJA  Z  REALIZACJI  ZAKUPÓW  INWESTYCYJNYCH</t>
  </si>
  <si>
    <t>w tys. zł.</t>
  </si>
  <si>
    <t>L.p.</t>
  </si>
  <si>
    <t>Rozdział   §</t>
  </si>
  <si>
    <t xml:space="preserve">Plan   po zmianach                 </t>
  </si>
  <si>
    <t>% wykonania              6  :  5</t>
  </si>
  <si>
    <t>Dział  600</t>
  </si>
  <si>
    <r>
      <t>ZDM- z</t>
    </r>
    <r>
      <rPr>
        <i/>
        <sz val="10"/>
        <rFont val="Times New Roman"/>
        <family val="1"/>
      </rPr>
      <t>akupy sprzętu komputerowego i oprogramowania</t>
    </r>
  </si>
  <si>
    <t xml:space="preserve"> 60095    6060</t>
  </si>
  <si>
    <t>Dział  700</t>
  </si>
  <si>
    <r>
      <t>Gospodarka gruntami i nieruchomościami - p</t>
    </r>
    <r>
      <rPr>
        <i/>
        <sz val="10"/>
        <rFont val="Times New Roman"/>
        <family val="1"/>
      </rPr>
      <t>ierwokupy nieruchomości, wykupy gruntów</t>
    </r>
  </si>
  <si>
    <t>70005    6060</t>
  </si>
  <si>
    <t>Dział  750</t>
  </si>
  <si>
    <t>75023    6060</t>
  </si>
  <si>
    <t>Dział  754</t>
  </si>
  <si>
    <t>Dział  801</t>
  </si>
  <si>
    <t>80195  6060</t>
  </si>
  <si>
    <t>Dział  852</t>
  </si>
  <si>
    <r>
      <t>MOPS  -</t>
    </r>
    <r>
      <rPr>
        <i/>
        <sz val="10"/>
        <rFont val="Times New Roman"/>
        <family val="1"/>
      </rPr>
      <t xml:space="preserve"> zakup sprzętu komputerowego</t>
    </r>
  </si>
  <si>
    <t>Dział  854</t>
  </si>
  <si>
    <t>Dział  900</t>
  </si>
  <si>
    <t>Dział  921</t>
  </si>
  <si>
    <t>92118   6220</t>
  </si>
  <si>
    <t>INFORMACJA   Z   REALIZACJI   REMONTÓW</t>
  </si>
  <si>
    <t xml:space="preserve">Rozdział </t>
  </si>
  <si>
    <t xml:space="preserve">  §</t>
  </si>
  <si>
    <t>Plan    po zmianach</t>
  </si>
  <si>
    <t>Dział  500</t>
  </si>
  <si>
    <t>Remont na targowisku</t>
  </si>
  <si>
    <t>Remonty dróg powiatowych</t>
  </si>
  <si>
    <t xml:space="preserve">Remonty dróg gminnych </t>
  </si>
  <si>
    <t>Remont dróg wewnętrznych</t>
  </si>
  <si>
    <r>
      <t>Urząd Miejski -</t>
    </r>
    <r>
      <rPr>
        <i/>
        <sz val="10"/>
        <rFont val="Times New Roman CE"/>
        <family val="1"/>
      </rPr>
      <t xml:space="preserve"> </t>
    </r>
    <r>
      <rPr>
        <i/>
        <sz val="9"/>
        <rFont val="Times New Roman CE"/>
        <family val="1"/>
      </rPr>
      <t xml:space="preserve"> remont podjazdu dla niepełnosprawnych, remont wieży, piwnic i garaży w budynku Ratusza. Remont w budynku USC i Straży Miejskiej.</t>
    </r>
  </si>
  <si>
    <t>Remonty i naprawy w szkołach</t>
  </si>
  <si>
    <t>Dział  851</t>
  </si>
  <si>
    <t>Izba Wytrzeźwień</t>
  </si>
  <si>
    <t>Pozostała działaność</t>
  </si>
  <si>
    <t>Placówki opiekuńczo - wychowawcze</t>
  </si>
  <si>
    <t>Ośrodki pomocy społecznej</t>
  </si>
  <si>
    <t>Ośrodki adopcyjno-opiekuńcze</t>
  </si>
  <si>
    <t>Remonty i naprawy</t>
  </si>
  <si>
    <t>Internaty i bursy szkolne</t>
  </si>
  <si>
    <t xml:space="preserve">Remonty i konserwacja  oświetlenia </t>
  </si>
  <si>
    <r>
      <t xml:space="preserve">Pozostała działalność - </t>
    </r>
    <r>
      <rPr>
        <i/>
        <sz val="9"/>
        <rFont val="Times New Roman CE"/>
        <family val="1"/>
      </rPr>
      <t>remonty placów zabaw</t>
    </r>
  </si>
  <si>
    <t>Muzeum</t>
  </si>
  <si>
    <t>Remont murów miejskich</t>
  </si>
  <si>
    <t>Dział  926</t>
  </si>
  <si>
    <r>
      <t>Remonty w obiektach ZOS -</t>
    </r>
    <r>
      <rPr>
        <sz val="9"/>
        <rFont val="Times New Roman CE"/>
        <family val="1"/>
      </rPr>
      <t xml:space="preserve"> </t>
    </r>
    <r>
      <rPr>
        <i/>
        <sz val="9"/>
        <rFont val="Times New Roman CE"/>
        <family val="1"/>
      </rPr>
      <t>basen, stadion "Bałtyk", inne obiekty ZOS</t>
    </r>
  </si>
  <si>
    <t>tys.zł.</t>
  </si>
  <si>
    <t>REALIZACJA  WPŁYWÓW</t>
  </si>
  <si>
    <t>Dynamika</t>
  </si>
  <si>
    <t>I półrocze 2005</t>
  </si>
  <si>
    <t xml:space="preserve">OGÓŁEM </t>
  </si>
  <si>
    <t xml:space="preserve">Lp. </t>
  </si>
  <si>
    <t>Zastosowany tryb</t>
  </si>
  <si>
    <t>Procedura</t>
  </si>
  <si>
    <t>Dostawa towarów</t>
  </si>
  <si>
    <t>Usługa</t>
  </si>
  <si>
    <t>Roboty budowlane</t>
  </si>
  <si>
    <t>Razem</t>
  </si>
  <si>
    <t xml:space="preserve">Zawarte </t>
  </si>
  <si>
    <t>uproszczona</t>
  </si>
  <si>
    <t>ilość</t>
  </si>
  <si>
    <t>wartość</t>
  </si>
  <si>
    <t>umowy</t>
  </si>
  <si>
    <t>Przetarg nieograniczony</t>
  </si>
  <si>
    <t xml:space="preserve">Przetarg ograniczony              </t>
  </si>
  <si>
    <t>Negocjacje z ogłoszeniem</t>
  </si>
  <si>
    <t>Negocjacje bez ogłoszenia</t>
  </si>
  <si>
    <t xml:space="preserve">Zapytanie o cenę </t>
  </si>
  <si>
    <t xml:space="preserve">Zamówienie z wolnej ręki </t>
  </si>
  <si>
    <t>Aukcja elektroniczna</t>
  </si>
  <si>
    <t>GMINA WŁASNE I POROZUMIENIA</t>
  </si>
  <si>
    <t xml:space="preserve">GMINA  ZLECONE </t>
  </si>
  <si>
    <t>POWIAT WŁASNE I POROZUMIENIA</t>
  </si>
  <si>
    <t>POWIAT ZLECONE</t>
  </si>
  <si>
    <t xml:space="preserve">Plan po zmianach </t>
  </si>
  <si>
    <t>ROLNICTWO I  ŁOWIECTWO</t>
  </si>
  <si>
    <t>01000</t>
  </si>
  <si>
    <t>Integracja z Unią Europejską</t>
  </si>
  <si>
    <t>4410</t>
  </si>
  <si>
    <t>Podróże służbowe krajowe</t>
  </si>
  <si>
    <t>01021</t>
  </si>
  <si>
    <t>Inspekcja weterynaryjna</t>
  </si>
  <si>
    <t>3020</t>
  </si>
  <si>
    <t>Nagrody i inne wydatki nie zaliczane do wynagrodzeń</t>
  </si>
  <si>
    <t>3030</t>
  </si>
  <si>
    <t>Różne wydatki na rzecz osób fizycznych</t>
  </si>
  <si>
    <t>4010</t>
  </si>
  <si>
    <t>Wynagrodzenia osobowe pracowników</t>
  </si>
  <si>
    <t>4020</t>
  </si>
  <si>
    <t xml:space="preserve">Wynagrodzenia osobowe członków korpusu służby cywilnej </t>
  </si>
  <si>
    <t>4040</t>
  </si>
  <si>
    <t>Dodatkowe wynagrodzenia roczne</t>
  </si>
  <si>
    <t>4110</t>
  </si>
  <si>
    <t>Składki na ubezpieczenia społeczne</t>
  </si>
  <si>
    <t>4120</t>
  </si>
  <si>
    <t>Składki na fundusz pracy</t>
  </si>
  <si>
    <t>4210</t>
  </si>
  <si>
    <t>Zakup materiałów i wyposażenia</t>
  </si>
  <si>
    <t>4230</t>
  </si>
  <si>
    <t>Zakup leków i materiałów medycznych</t>
  </si>
  <si>
    <t>4260</t>
  </si>
  <si>
    <t>Zakup energii</t>
  </si>
  <si>
    <t>4270</t>
  </si>
  <si>
    <t>Zakup usług remontowych</t>
  </si>
  <si>
    <t>4300</t>
  </si>
  <si>
    <t>Zakup usług pozostałych</t>
  </si>
  <si>
    <t>4430</t>
  </si>
  <si>
    <t>Różne opłaty i składki</t>
  </si>
  <si>
    <t>4440</t>
  </si>
  <si>
    <t>Odpis na ZFŚS</t>
  </si>
  <si>
    <t>4480</t>
  </si>
  <si>
    <t>4550</t>
  </si>
  <si>
    <t>Szkolenia członków korpusu służby cywilnej</t>
  </si>
  <si>
    <t>01030</t>
  </si>
  <si>
    <t>Izby Rolnicze</t>
  </si>
  <si>
    <t>2850</t>
  </si>
  <si>
    <t>Wpłaty gmin na rzecz izb rolniczych w wysokości 2% uzyskanych wpływów z podatku rolnego</t>
  </si>
  <si>
    <t>02002</t>
  </si>
  <si>
    <t>Nadzór nad gospodarką leśną</t>
  </si>
  <si>
    <t xml:space="preserve">Zakup usług pozostałych </t>
  </si>
  <si>
    <t>Lokalny transport zbiorowy</t>
  </si>
  <si>
    <t>Dopłaty w spółkach prawa handlowego</t>
  </si>
  <si>
    <t>Drogi publiczne w miastach na prawach powiatu</t>
  </si>
  <si>
    <r>
      <t xml:space="preserve">Wydatki inwestycyjne jednostek budżetowych - </t>
    </r>
    <r>
      <rPr>
        <i/>
        <sz val="9"/>
        <rFont val="Times New Roman CE"/>
        <family val="1"/>
      </rPr>
      <t>budowa ul.Władysława IV</t>
    </r>
  </si>
  <si>
    <r>
      <t xml:space="preserve">Wydatki inwestycyjne jednostek budżetowych - </t>
    </r>
    <r>
      <rPr>
        <i/>
        <sz val="9"/>
        <rFont val="Times New Roman CE"/>
        <family val="1"/>
      </rPr>
      <t>budowa ulicy Śródmiejskiej</t>
    </r>
  </si>
  <si>
    <t xml:space="preserve">Drogi publiczne gminne </t>
  </si>
  <si>
    <t xml:space="preserve">Wydatki inwestycyjne jednostek budżetowych </t>
  </si>
  <si>
    <t>1. Uzbrojenie oś. "Wenedów"</t>
  </si>
  <si>
    <t>2. Osiedle Lipowe - drogi</t>
  </si>
  <si>
    <t>3. Budowa ścieżek rowerowych</t>
  </si>
  <si>
    <t>1. Parking w Śródmieściu</t>
  </si>
  <si>
    <t>2. ul.Krańcowa</t>
  </si>
  <si>
    <t>3. Osiedle " Bukowe " - drogi</t>
  </si>
  <si>
    <t>4. ul.Olchowa</t>
  </si>
  <si>
    <t>5. Osiedle Topolowe - drogi</t>
  </si>
  <si>
    <t xml:space="preserve">6. ul.Topolowa </t>
  </si>
  <si>
    <t>7. ul.Wiązowa - Grabowa</t>
  </si>
  <si>
    <t>8. ul.Świerkowa - Jodłowa</t>
  </si>
  <si>
    <t>9.ul. Walecznych</t>
  </si>
  <si>
    <t>10.ul.Artylerzystów</t>
  </si>
  <si>
    <t>11.ul. Gerberowa - Sadowa</t>
  </si>
  <si>
    <t>12.ul. Żeglarska</t>
  </si>
  <si>
    <t>13.ul.Dojazd do pawilonów przy ul.Władysława IV-go</t>
  </si>
  <si>
    <t>Drogi wewnętrzne</t>
  </si>
  <si>
    <t>Zakup usług pozostałych - RWZ</t>
  </si>
  <si>
    <t>ZDM</t>
  </si>
  <si>
    <t>Nagrody i wydatki osobowe nie zaliczane do wynagrodzeń</t>
  </si>
  <si>
    <t>Dodatkowe wynagrodzenie roczne</t>
  </si>
  <si>
    <t>Składki na ubezpieczenie społeczne</t>
  </si>
  <si>
    <t>Składki na  FP</t>
  </si>
  <si>
    <t>Wpłaty na PFRON</t>
  </si>
  <si>
    <t>Wynagrodzenia bezosobowe</t>
  </si>
  <si>
    <t>Zakup usług zdrowotnych</t>
  </si>
  <si>
    <t>Zakup pozostałych usług</t>
  </si>
  <si>
    <t>Podróże  służbowe zagraniczne</t>
  </si>
  <si>
    <t xml:space="preserve">Podatek od nieruchomości </t>
  </si>
  <si>
    <t>Odsetki od dotacji wykorzystanych niezgodnie z przeznaczeniem lub pobranych w nadmiernej wysokości</t>
  </si>
  <si>
    <t>Pozostałe odsetki</t>
  </si>
  <si>
    <t>Kary i odszkodowania wypłacane na rzecz osób fizycznych</t>
  </si>
  <si>
    <t>Koszty postępowania sadowego i prokuratorskiego</t>
  </si>
  <si>
    <t xml:space="preserve">Wydatki na zakupy inwestycyjne jednostek budżetowych </t>
  </si>
  <si>
    <r>
      <t xml:space="preserve">Wydatki  inwestycyjne jednostek budżetowych </t>
    </r>
    <r>
      <rPr>
        <i/>
        <sz val="9"/>
        <rFont val="Times New Roman CE"/>
        <family val="1"/>
      </rPr>
      <t xml:space="preserve">- rozbudowę systemu antywłamaniowego </t>
    </r>
  </si>
  <si>
    <t>Dotacje celowe z budżetu na finansowanie lub dofinansowanie kosztów realizacji inwestycji i zakupów inwestycyjnych zakładów budżetowych</t>
  </si>
  <si>
    <t>Wydatki osobowe niezaliczane do wynagrodzeń</t>
  </si>
  <si>
    <t xml:space="preserve">Różne wydatki na rzecz osób fizycznych </t>
  </si>
  <si>
    <t>Zakup pomocy naukowych, dydaktycznych i książek</t>
  </si>
  <si>
    <r>
      <t xml:space="preserve">Zakup pozostałych usług - </t>
    </r>
    <r>
      <rPr>
        <i/>
        <sz val="9"/>
        <rFont val="Times New Roman CE"/>
        <family val="1"/>
      </rPr>
      <t xml:space="preserve">opracowania, podziały geodezyjne, ekspertyzy, wyrysy </t>
    </r>
  </si>
  <si>
    <t>Kary i odszkodowania wypłacane na rzecz osób prawnych i innych jednostek organizacyjnych</t>
  </si>
  <si>
    <r>
      <t xml:space="preserve">Wydatki na zakupy inw. jednostek budżetowych - </t>
    </r>
    <r>
      <rPr>
        <i/>
        <sz val="9"/>
        <rFont val="Times New Roman CE"/>
        <family val="1"/>
      </rPr>
      <t>pierwokupy nieruchomości, rozwiązywanie umów notarialnych, wykupy gruntów</t>
    </r>
  </si>
  <si>
    <t>Towarzystwa budownictwa społecznego</t>
  </si>
  <si>
    <r>
      <t xml:space="preserve">Wydatki na zakup i objęcie akcji oraz wniesienie wkładów do spółek prawa handlowego - </t>
    </r>
    <r>
      <rPr>
        <i/>
        <sz val="9"/>
        <rFont val="Times New Roman CE"/>
        <family val="1"/>
      </rPr>
      <t>KTBS</t>
    </r>
  </si>
  <si>
    <t>Zakup materiałów i wyposażenia  - RO</t>
  </si>
  <si>
    <t xml:space="preserve">Kary i odszkodowania wypłacane na rzecz osób prawnych i innych jednostek organizacyjnych </t>
  </si>
  <si>
    <t>Koszty postępowania sądowego i prokuratorskiego</t>
  </si>
  <si>
    <t>Wydatki inwestycyjne jednostek budżetowych</t>
  </si>
  <si>
    <t>Budowa budynku komunalnego</t>
  </si>
  <si>
    <t>Plany zagospodarowania przestrzennego</t>
  </si>
  <si>
    <r>
      <t xml:space="preserve">Zakup usług pozostałych - </t>
    </r>
    <r>
      <rPr>
        <i/>
        <sz val="9"/>
        <rFont val="Times New Roman CE"/>
        <family val="1"/>
      </rPr>
      <t>prace urbanistyczne</t>
    </r>
  </si>
  <si>
    <t>Składki na Fundusz Pracy</t>
  </si>
  <si>
    <t>Prace geodezyjne i kartograficzne (nieinwestycyjne)</t>
  </si>
  <si>
    <t>Krajowe podróże służbowe</t>
  </si>
  <si>
    <t>Cmentarze</t>
  </si>
  <si>
    <r>
      <t xml:space="preserve">Zakup usług pozostałych - </t>
    </r>
    <r>
      <rPr>
        <i/>
        <sz val="9"/>
        <rFont val="Times New Roman CE"/>
        <family val="1"/>
      </rPr>
      <t>z tytułu  porozumień</t>
    </r>
  </si>
  <si>
    <r>
      <t xml:space="preserve">Zakup usług pozostałych  - </t>
    </r>
    <r>
      <rPr>
        <i/>
        <sz val="9"/>
        <rFont val="Times New Roman CE"/>
        <family val="1"/>
      </rPr>
      <t>utrzymanie cmentarza</t>
    </r>
  </si>
  <si>
    <t>Urzędy Wojewódzkie</t>
  </si>
  <si>
    <t xml:space="preserve"> </t>
  </si>
  <si>
    <t>Dotacje celowe przekazane dla powiatu na zadania bieżące realizowane na podstawie porozumień między j.s.t.</t>
  </si>
  <si>
    <t>Wynagrodzenia osobowe</t>
  </si>
  <si>
    <t>Składki na FP</t>
  </si>
  <si>
    <t>Rada Miejska</t>
  </si>
  <si>
    <t>Biuro Rady Miejskiej</t>
  </si>
  <si>
    <t xml:space="preserve">Nagrody o charakterze szczególnym niezaliczane do wynagrodzeń </t>
  </si>
  <si>
    <t>Podróże służbowe zagraniczne</t>
  </si>
  <si>
    <t>Młodzieżowa Rada Miasta</t>
  </si>
  <si>
    <t>Organizacyjno-Administr.</t>
  </si>
  <si>
    <t>Straż Miejska</t>
  </si>
  <si>
    <t>Rp</t>
  </si>
  <si>
    <t>BHP</t>
  </si>
  <si>
    <t>Różne wydatki na rzecz osób fizycznych - OA</t>
  </si>
  <si>
    <t xml:space="preserve">Wynagrodzenia agencyjno - prowizyjne </t>
  </si>
  <si>
    <r>
      <t>Wynagrodzenia agencyjno - prowizyjne</t>
    </r>
    <r>
      <rPr>
        <i/>
        <sz val="9"/>
        <rFont val="Times New Roman CE"/>
        <family val="1"/>
      </rPr>
      <t xml:space="preserve"> - IK</t>
    </r>
  </si>
  <si>
    <r>
      <t>Zakup materiałów i wyposażenia</t>
    </r>
    <r>
      <rPr>
        <i/>
        <sz val="9"/>
        <rFont val="Times New Roman CE"/>
        <family val="1"/>
      </rPr>
      <t xml:space="preserve"> </t>
    </r>
  </si>
  <si>
    <t>Organizacujno-Administ.</t>
  </si>
  <si>
    <t xml:space="preserve"> Straż Miejska</t>
  </si>
  <si>
    <t xml:space="preserve"> Komunikacja</t>
  </si>
  <si>
    <t xml:space="preserve"> Biuro Informatyki </t>
  </si>
  <si>
    <t xml:space="preserve">BHP </t>
  </si>
  <si>
    <r>
      <t>Zakup usług remontowych (</t>
    </r>
    <r>
      <rPr>
        <i/>
        <sz val="9"/>
        <rFont val="Times New Roman CE"/>
        <family val="1"/>
      </rPr>
      <t xml:space="preserve"> w tym: 90,0 tys.zł - Inf)</t>
    </r>
  </si>
  <si>
    <t>Wydz. O- A</t>
  </si>
  <si>
    <t>Zakup usług pozostałych  w tym:</t>
  </si>
  <si>
    <t>Wydz. Komunikacja</t>
  </si>
  <si>
    <t>Wydz. PI (porozumienia)</t>
  </si>
  <si>
    <t>Wydz. Fk</t>
  </si>
  <si>
    <t>Biuro Zamówień Publicznych</t>
  </si>
  <si>
    <t>Inf.</t>
  </si>
  <si>
    <t>Zakup usług pozostałych - (PI porozumienia)</t>
  </si>
  <si>
    <r>
      <t>Podróże służbowe zagraniczne -</t>
    </r>
    <r>
      <rPr>
        <i/>
        <sz val="9"/>
        <rFont val="Times New Roman CE"/>
        <family val="1"/>
      </rPr>
      <t xml:space="preserve"> RWZ</t>
    </r>
  </si>
  <si>
    <r>
      <t>Koszty postępowania sądowego -</t>
    </r>
    <r>
      <rPr>
        <i/>
        <sz val="9"/>
        <rFont val="Times New Roman CE"/>
        <family val="1"/>
      </rPr>
      <t xml:space="preserve"> Rp</t>
    </r>
  </si>
  <si>
    <r>
      <t>Koszty postępowania sądowego -</t>
    </r>
    <r>
      <rPr>
        <i/>
        <sz val="9"/>
        <rFont val="Times New Roman CE"/>
        <family val="1"/>
      </rPr>
      <t xml:space="preserve"> Fk</t>
    </r>
  </si>
  <si>
    <t xml:space="preserve">Wydatki na zakupy inwestycyjne jednostek budżetowych             </t>
  </si>
  <si>
    <t xml:space="preserve">Komisje poborowe </t>
  </si>
  <si>
    <r>
      <t xml:space="preserve">Zakup usług pozostałych </t>
    </r>
    <r>
      <rPr>
        <i/>
        <sz val="9"/>
        <rFont val="Times New Roman CE"/>
        <family val="1"/>
      </rPr>
      <t>- wynajem pomieszczeń</t>
    </r>
  </si>
  <si>
    <r>
      <t xml:space="preserve">Zakup usług pozostałych </t>
    </r>
    <r>
      <rPr>
        <i/>
        <sz val="9"/>
        <rFont val="Times New Roman CE"/>
        <family val="1"/>
      </rPr>
      <t>- ekspertyzy lekarskie</t>
    </r>
  </si>
  <si>
    <t>Pozostała działalność R O</t>
  </si>
  <si>
    <t>Zakup usług  pozostałych</t>
  </si>
  <si>
    <r>
      <t>Zakup pozostałych usług -</t>
    </r>
    <r>
      <rPr>
        <i/>
        <sz val="9"/>
        <rFont val="Times New Roman CE"/>
        <family val="1"/>
      </rPr>
      <t xml:space="preserve"> czynsze</t>
    </r>
  </si>
  <si>
    <r>
      <t xml:space="preserve">Nagrody o charakterze szczególnym niezaliczane do wynagrodzeń - </t>
    </r>
    <r>
      <rPr>
        <i/>
        <sz val="9"/>
        <rFont val="Times New Roman CE"/>
        <family val="1"/>
      </rPr>
      <t>USC</t>
    </r>
  </si>
  <si>
    <r>
      <t xml:space="preserve">Składki na ubezpieczenia społeczne - </t>
    </r>
    <r>
      <rPr>
        <i/>
        <sz val="9"/>
        <rFont val="Times New Roman CE"/>
        <family val="1"/>
      </rPr>
      <t>RWZ</t>
    </r>
  </si>
  <si>
    <r>
      <t xml:space="preserve">Składki na FP </t>
    </r>
    <r>
      <rPr>
        <i/>
        <sz val="9"/>
        <rFont val="Times New Roman CE"/>
        <family val="1"/>
      </rPr>
      <t>- RWZ</t>
    </r>
  </si>
  <si>
    <r>
      <t xml:space="preserve">Wynagrodzenia bezosobowe </t>
    </r>
    <r>
      <rPr>
        <i/>
        <sz val="9"/>
        <rFont val="Times New Roman CE"/>
        <family val="1"/>
      </rPr>
      <t>-RWZ</t>
    </r>
  </si>
  <si>
    <r>
      <t>Zakupy materiałów i wyposażenia -</t>
    </r>
    <r>
      <rPr>
        <i/>
        <sz val="9"/>
        <rFont val="Times New Roman CE"/>
        <family val="1"/>
      </rPr>
      <t xml:space="preserve"> RWZ</t>
    </r>
  </si>
  <si>
    <r>
      <t xml:space="preserve">Zakup pozostałych usług </t>
    </r>
    <r>
      <rPr>
        <i/>
        <sz val="9"/>
        <rFont val="Times New Roman CE"/>
        <family val="1"/>
      </rPr>
      <t>- RWZ</t>
    </r>
  </si>
  <si>
    <r>
      <t>Różne opłaty i składki -  R</t>
    </r>
    <r>
      <rPr>
        <i/>
        <sz val="9"/>
        <rFont val="Times New Roman CE"/>
        <family val="1"/>
      </rPr>
      <t>WZ</t>
    </r>
  </si>
  <si>
    <t xml:space="preserve"> - dofinansowanie Regionalnego Centrum Informacji Europejskiej - RCIE</t>
  </si>
  <si>
    <t xml:space="preserve"> - dofinansowanie działalności CIP</t>
  </si>
  <si>
    <t>Urzędy naczelnych organów władzy państwowej, kontroli i ochrony prawa</t>
  </si>
  <si>
    <t xml:space="preserve">Składki na FP </t>
  </si>
  <si>
    <t xml:space="preserve">Zakup materiałów i wyposażenia </t>
  </si>
  <si>
    <t xml:space="preserve">Zakup pozostałych usług </t>
  </si>
  <si>
    <t xml:space="preserve">Nagrody i wydatki osobowe nie zaliczane do wynagrodzeń </t>
  </si>
  <si>
    <t>Referenda ogólnokrajowe i konstytucyjne</t>
  </si>
  <si>
    <t>Pozostałe wydatki obronne</t>
  </si>
  <si>
    <t>Zakup pomocy nauk., dydaktycznych i książek</t>
  </si>
  <si>
    <t>Komendy powiatowe Policji</t>
  </si>
  <si>
    <t xml:space="preserve">Wynagrodzenia osobowe pracowników </t>
  </si>
  <si>
    <t>Zakup środków żywności</t>
  </si>
  <si>
    <t>Zakup sprzętu i uzbrojenia</t>
  </si>
  <si>
    <t>Opłaty na rzecz budżetu państwa</t>
  </si>
  <si>
    <t>Wydatki na zakupy inwestycyjne jednostek budżetowych</t>
  </si>
  <si>
    <t>Wpłaty jednostek na fundusz celowy na finansowanie lub dofinansowanie zadań inwestycyjnychrzecz środków specjalnych</t>
  </si>
  <si>
    <t>Wydatki osobowe niezaliczane do uposażeń wypłacane żołnierzom i funkcjonariuszom</t>
  </si>
  <si>
    <t>Równoważniki pieniężne i ekwiwalenty dla żołnierzy i funkcjonariuszy</t>
  </si>
  <si>
    <t>Zakup sprzętu i ubrojenia</t>
  </si>
  <si>
    <t>Odpisy na ZFŚS</t>
  </si>
  <si>
    <t>Pozostałe podatki na rzecz budżetów jednostek samorządu terytorialnego</t>
  </si>
  <si>
    <t>Dotacja celowa z budżetu  lub dofinansowanie zadań zleconych do realizacji stowarzyszeniom</t>
  </si>
  <si>
    <r>
      <t xml:space="preserve">Wydatki na zakupy inwestycyjne jednostek budżetowych - </t>
    </r>
    <r>
      <rPr>
        <i/>
        <sz val="9"/>
        <rFont val="Times New Roman CE"/>
        <family val="1"/>
      </rPr>
      <t>zakup projektu multimedialnego</t>
    </r>
  </si>
  <si>
    <r>
      <t>Zakup pozostałych usług -</t>
    </r>
    <r>
      <rPr>
        <sz val="8"/>
        <rFont val="Times New Roman CE"/>
        <family val="1"/>
      </rPr>
      <t xml:space="preserve"> </t>
    </r>
    <r>
      <rPr>
        <i/>
        <sz val="8"/>
        <rFont val="Times New Roman CE"/>
        <family val="1"/>
      </rPr>
      <t>Zintegrowany System Ratownictwa</t>
    </r>
  </si>
  <si>
    <t>Pobór podatków, opłat i niepodatkowych należności budżetowych</t>
  </si>
  <si>
    <r>
      <t xml:space="preserve">Wynagrodzenia osobowe pracowników - IK </t>
    </r>
    <r>
      <rPr>
        <i/>
        <sz val="9"/>
        <rFont val="Times New Roman CE"/>
        <family val="1"/>
      </rPr>
      <t>(inkasenci)</t>
    </r>
  </si>
  <si>
    <r>
      <t>Wynagrodzenia agencyjno - prowizyjne -</t>
    </r>
    <r>
      <rPr>
        <i/>
        <sz val="9"/>
        <rFont val="Times New Roman CE"/>
        <family val="1"/>
      </rPr>
      <t xml:space="preserve"> Fk</t>
    </r>
  </si>
  <si>
    <r>
      <t>Wynagrodzenia agencyjno - prowizyjne</t>
    </r>
    <r>
      <rPr>
        <i/>
        <sz val="9"/>
        <rFont val="Times New Roman CE"/>
        <family val="1"/>
      </rPr>
      <t xml:space="preserve"> IK</t>
    </r>
  </si>
  <si>
    <r>
      <t xml:space="preserve">Składki na ubezpieczenia społeczne -  </t>
    </r>
    <r>
      <rPr>
        <i/>
        <sz val="9"/>
        <rFont val="Times New Roman CE"/>
        <family val="1"/>
      </rPr>
      <t>IK</t>
    </r>
  </si>
  <si>
    <r>
      <t>Składki na ubezpieczenia społeczne -</t>
    </r>
    <r>
      <rPr>
        <i/>
        <sz val="9"/>
        <rFont val="Times New Roman CE"/>
        <family val="1"/>
      </rPr>
      <t xml:space="preserve"> Fk</t>
    </r>
  </si>
  <si>
    <r>
      <t>Składki na FP -</t>
    </r>
    <r>
      <rPr>
        <i/>
        <sz val="9"/>
        <rFont val="Times New Roman CE"/>
        <family val="1"/>
      </rPr>
      <t xml:space="preserve"> IK</t>
    </r>
  </si>
  <si>
    <r>
      <t xml:space="preserve">Składki na FP - </t>
    </r>
    <r>
      <rPr>
        <i/>
        <sz val="9"/>
        <rFont val="Times New Roman CE"/>
        <family val="1"/>
      </rPr>
      <t xml:space="preserve"> Fk</t>
    </r>
  </si>
  <si>
    <t>Wynagrodzenia bezosobowe - IK</t>
  </si>
  <si>
    <r>
      <t>Zakup usług pozostałych -</t>
    </r>
    <r>
      <rPr>
        <i/>
        <sz val="9"/>
        <rFont val="Times New Roman CE"/>
        <family val="1"/>
      </rPr>
      <t xml:space="preserve"> Fk</t>
    </r>
  </si>
  <si>
    <r>
      <t xml:space="preserve">Zakup usług pozostałych - </t>
    </r>
    <r>
      <rPr>
        <i/>
        <sz val="9"/>
        <rFont val="Times New Roman CE"/>
        <family val="1"/>
      </rPr>
      <t>IK</t>
    </r>
  </si>
  <si>
    <t>Część równoważąca subwencji ogólnej dla powiatów</t>
  </si>
  <si>
    <t>Wpłaty jednostek samorządu terytorialnego do budżetu państwa</t>
  </si>
  <si>
    <t>Rezerwy ogólne i celowe</t>
  </si>
  <si>
    <t>Rezerwy celowa na programy UE</t>
  </si>
  <si>
    <t>Rezerwa ogólna do 1% wydatków</t>
  </si>
  <si>
    <t>Dotacja podmiotowa z budżetu dla niepublicznej jednostki systemu oświaty</t>
  </si>
  <si>
    <t>Zakupy pomocy naukowych, dydaktycznych i książek</t>
  </si>
  <si>
    <t>Zakup usług dostępu do sieci Internet</t>
  </si>
  <si>
    <t>Budowa sali gimnastycznej przy Sz.P. Nr 9</t>
  </si>
  <si>
    <t>Boisko Sz.P. Nr 3</t>
  </si>
  <si>
    <t>Szkoły podstawowe specjalne</t>
  </si>
  <si>
    <t>Składki na ubezpieczenia zdrowotne</t>
  </si>
  <si>
    <t>Wydatki osobowe nie zaliczone do wynagrodzeń</t>
  </si>
  <si>
    <t xml:space="preserve">Przedszkola </t>
  </si>
  <si>
    <t>Przedszkola specjalne</t>
  </si>
  <si>
    <t>Zakup pomocy naukowych, dydakt. i książek</t>
  </si>
  <si>
    <t>Gimnazja specjalne</t>
  </si>
  <si>
    <t>Zakup usług remont. KS</t>
  </si>
  <si>
    <t>Licea profilowane</t>
  </si>
  <si>
    <t xml:space="preserve">Szkoły zawodowe </t>
  </si>
  <si>
    <t>Zasądzone renty</t>
  </si>
  <si>
    <t>Wpłata na PFRON</t>
  </si>
  <si>
    <t>Szkoły artystyczne - Państwowe Ognisko Kultury Plastycznej</t>
  </si>
  <si>
    <t>Szkoły pomaturalne i policealne</t>
  </si>
  <si>
    <t>Szkoły zawodowe specjalne</t>
  </si>
  <si>
    <t>Centrum Kształcenia Ustawicznego i Praktycznego oraz Ośrodki Dokształcania Zawodowego</t>
  </si>
  <si>
    <t>Komisje egzaminacyjne</t>
  </si>
  <si>
    <t>Dotacja podmiotowa dla zakładu budżetowego</t>
  </si>
  <si>
    <r>
      <t>Zakup usług pozostałych -</t>
    </r>
    <r>
      <rPr>
        <i/>
        <sz val="9"/>
        <rFont val="Times New Roman CE"/>
        <family val="1"/>
      </rPr>
      <t xml:space="preserve"> doskonalenie</t>
    </r>
  </si>
  <si>
    <t>Zespół Obsługi Ekonomiczno Administracyjnej Przedszkoli Miejskich</t>
  </si>
  <si>
    <t>Zajęcia pozalekcyjne</t>
  </si>
  <si>
    <t>Stypendia oraz inne formy pomocy dla uczniów</t>
  </si>
  <si>
    <r>
      <t>Wynagrodzenia osobowe pracowników -</t>
    </r>
    <r>
      <rPr>
        <i/>
        <sz val="9"/>
        <rFont val="Times New Roman CE"/>
        <family val="1"/>
      </rPr>
      <t xml:space="preserve"> awanse zawodowe nauczycieli</t>
    </r>
  </si>
  <si>
    <t>nauka pływania</t>
  </si>
  <si>
    <t>opłata praktycznej nauki zawodu</t>
  </si>
  <si>
    <t>klasy dziennikarskie</t>
  </si>
  <si>
    <t>współudział w targach zawodoanawczych</t>
  </si>
  <si>
    <t>organizacja konkursów, olimpiad, itp.</t>
  </si>
  <si>
    <t>czynsz za siedzibę MKPOiW NSZZ "Solidarność", ZNP</t>
  </si>
  <si>
    <t>Odpis na ZFŚS emerytów</t>
  </si>
  <si>
    <t>Dotacja celowa z budżetu na finansowanie i dofinansowanie zadań zleconych do realizacji stowarzyszeniom OP</t>
  </si>
  <si>
    <t xml:space="preserve">SZKOLNICTWO WYŻSZE </t>
  </si>
  <si>
    <t>Pomoc materialna dla studentów</t>
  </si>
  <si>
    <t>Stypendia i zasiłki dla studentów</t>
  </si>
  <si>
    <t>Nagrody o charakterze szczególnym niezaliczane do wynagrodzeń</t>
  </si>
  <si>
    <r>
      <t xml:space="preserve">Dotacje celowe przekazane dla powiatu na zadania bieżące realizowane na podstawie porozumień między jednostkami samorządu terytorialnego - </t>
    </r>
    <r>
      <rPr>
        <i/>
        <sz val="9"/>
        <rFont val="Times New Roman CE"/>
        <family val="1"/>
      </rPr>
      <t xml:space="preserve">Powiatowy Urząd Pracy i Biuro Rzeczy Znalezionych </t>
    </r>
  </si>
  <si>
    <r>
      <t xml:space="preserve">Dotacja celowa z budżetu na finansowanie lub dofinansowanie zadań zleconych do realizacji fundacjom </t>
    </r>
    <r>
      <rPr>
        <i/>
        <sz val="10"/>
        <rFont val="Times New Roman CE"/>
        <family val="1"/>
      </rPr>
      <t xml:space="preserve">- </t>
    </r>
    <r>
      <rPr>
        <i/>
        <sz val="9"/>
        <rFont val="Times New Roman CE"/>
        <family val="1"/>
      </rPr>
      <t>CIP</t>
    </r>
  </si>
  <si>
    <r>
      <t>Dotacja celowa z budżetu na finansowanie lub dofinansowanie zadań zleconych do realizacji stowarzyszeniom -</t>
    </r>
    <r>
      <rPr>
        <sz val="9"/>
        <rFont val="Times New Roman CE"/>
        <family val="1"/>
      </rPr>
      <t xml:space="preserve"> </t>
    </r>
    <r>
      <rPr>
        <i/>
        <sz val="9"/>
        <rFont val="Times New Roman CE"/>
        <family val="1"/>
      </rPr>
      <t>Oddział Ratownictwa Wodnego Klubu Płetwonurków "MARES"</t>
    </r>
  </si>
  <si>
    <r>
      <t>Dotacja podmiotowa z budżetu dla niepublicznej jednostki systemu oświaty -</t>
    </r>
    <r>
      <rPr>
        <i/>
        <sz val="9"/>
        <rFont val="Times New Roman CE"/>
        <family val="1"/>
      </rPr>
      <t xml:space="preserve"> nauka pływania</t>
    </r>
  </si>
  <si>
    <r>
      <t xml:space="preserve">Dotacja celowa z budżetu na finansowanie lub dofinansowanie zadań zleconych do realizacji stowarzyszeniom - </t>
    </r>
    <r>
      <rPr>
        <i/>
        <sz val="9"/>
        <rFont val="Times New Roman CE"/>
        <family val="1"/>
      </rPr>
      <t>organizacje pozarządowe</t>
    </r>
  </si>
  <si>
    <t>Dotacja celowa z budżetu dla pozostałych jednostek zaliczanych do sektora finansów publicznych</t>
  </si>
  <si>
    <t>Dotacja celowa z budżetu na finansowanie lub dofinansowanie zadań zleconych do realizacji pozostałym jednostkom niezaliczanym do sektora finansów publicznych</t>
  </si>
  <si>
    <r>
      <t>Dotacja podmiotowa z budżetu dla samorządowej instytucji kultury</t>
    </r>
    <r>
      <rPr>
        <i/>
        <sz val="9"/>
        <rFont val="Times New Roman CE"/>
        <family val="1"/>
      </rPr>
      <t xml:space="preserve"> - MOK, Biblioteka, Teatr</t>
    </r>
  </si>
  <si>
    <t xml:space="preserve">Dotacje celowe przekazane dla powiatu na zadania bieżące realizowane na podstawie porozumień między jednostkami samorządu terytorialnego </t>
  </si>
  <si>
    <t>Jednostki specjalistycznego poradnictwa, mieszkania chronione i ośrodki interwencji kryzysowej</t>
  </si>
  <si>
    <r>
      <t xml:space="preserve">Dotacja celowa z budżetu na finansowanie  lub dofinansowanie zadań zleconych do realizacji stowarzyszeniom - </t>
    </r>
    <r>
      <rPr>
        <i/>
        <sz val="9"/>
        <rFont val="Times New Roman CE"/>
        <family val="1"/>
      </rPr>
      <t>czynsz ZHP</t>
    </r>
  </si>
  <si>
    <t>Tabela nr 10</t>
  </si>
  <si>
    <t>ZESTAWIENIE DOCHODÓW I WYDATKÓW 
NA REALIZACJĘ ZADAŃ DOFINANSOWANYCH ZE ŚRODKÓW Z UNII EUROPEJSKIEJ</t>
  </si>
  <si>
    <t>DOCHODY 2006</t>
  </si>
  <si>
    <t>WYDATKI 2006</t>
  </si>
  <si>
    <t>rozdział</t>
  </si>
  <si>
    <t>Plan  na 30.06.2006</t>
  </si>
  <si>
    <t>Wykonanie  30.06.06</t>
  </si>
  <si>
    <t>Pozostało</t>
  </si>
  <si>
    <t>ulica śródmiejska</t>
  </si>
  <si>
    <t>ul. Władysława IV-go</t>
  </si>
  <si>
    <t>Skrzyżowanie ul.Franciszkańskiej, Niepodległości, Armii Krajowej</t>
  </si>
  <si>
    <t>ul.Połczyńska</t>
  </si>
  <si>
    <t>Drogi publiczne gminne</t>
  </si>
  <si>
    <t>ul.Olchowa</t>
  </si>
  <si>
    <t>Pozostała działalność - "Szlak gotyku ceglanego"</t>
  </si>
  <si>
    <t>Trasa Staromiejska</t>
  </si>
  <si>
    <t>Budynek Jana z Kolna -Polski Związek Głuchych</t>
  </si>
  <si>
    <t>Promocja jednostek samorządu terytorialnego</t>
  </si>
  <si>
    <t>Vademecum Inwestora</t>
  </si>
  <si>
    <t>Koszaliński katalog usług polsko-niemieckich</t>
  </si>
  <si>
    <t>Kronika Wendlanda</t>
  </si>
  <si>
    <t>Dotacja celowa z budżetu na dofinansowanie zadań zleconych do realizacji  fundacjom - udzielanie pożyczek małym przedsiębiorstwom</t>
  </si>
  <si>
    <t>Odsetki i dyskonto</t>
  </si>
  <si>
    <t>Poprawa bazy dydaktycznej ponadgimnazjalnych szkół zawodowych</t>
  </si>
  <si>
    <t>Pomoc materialna  dla studentów</t>
  </si>
  <si>
    <t>Reintegracja zawodowa bezrobotnych kobiet w Koszalinie</t>
  </si>
  <si>
    <t>Pomoc materialna  dla uczniów</t>
  </si>
  <si>
    <t>"Święto Wody"</t>
  </si>
  <si>
    <t>Projekt CONCERTO</t>
  </si>
  <si>
    <t>Modernizacja obiektu muzeum w Koszalinie</t>
  </si>
  <si>
    <t>Centrum Rekreacyjno-Sportowe w Koszalinie</t>
  </si>
  <si>
    <t>Tabela nr 11</t>
  </si>
  <si>
    <t xml:space="preserve">WYKONANIE  PLANU PRZYCHODÓW  I  KOSZTÓW    ZAKŁADÓW   BUDŻETOWYCH   ZA  I PÓŁROCZE   2006  </t>
  </si>
  <si>
    <t xml:space="preserve">NAZWA  </t>
  </si>
  <si>
    <t>Stan środków obrotowych        na 31-12-05</t>
  </si>
  <si>
    <t>Stan środków obrotowych        na 30-06-06</t>
  </si>
  <si>
    <t>Stan zobowiązań     na 30-06-06</t>
  </si>
  <si>
    <t xml:space="preserve"> ZAKŁADU       BUDŻETOWEGO  </t>
  </si>
  <si>
    <t>PLAN  NA   2006</t>
  </si>
  <si>
    <t>Wykonanie         I  półrocze 2006</t>
  </si>
  <si>
    <t>Tabela nr 12</t>
  </si>
  <si>
    <t xml:space="preserve">WYKONANIE  PLANÓW  FINANSOWYCH   INSTYTUCJI   KULTURY  ZA  I PÓŁROCZE   2006  </t>
  </si>
  <si>
    <t>STAN NA 30-06-2006</t>
  </si>
  <si>
    <t>WYNIK FINANSOWY</t>
  </si>
  <si>
    <t xml:space="preserve">  INSTYTUCJI  KULTURY</t>
  </si>
  <si>
    <t>Dynamika        5 : 3</t>
  </si>
  <si>
    <t>%     wykonania planu                      5 : 4</t>
  </si>
  <si>
    <t>Dynamika    10 : 8</t>
  </si>
  <si>
    <t>%     wykonania planu                     10 : 9</t>
  </si>
  <si>
    <t>Dynamika  15 : 13</t>
  </si>
  <si>
    <t>%     wykonania planu                 15 : 14</t>
  </si>
  <si>
    <t xml:space="preserve">zobowiązań </t>
  </si>
  <si>
    <t>należności</t>
  </si>
  <si>
    <t>na                               30-06-06</t>
  </si>
  <si>
    <t xml:space="preserve">  Plan przychodów i wydatków funduszy celowych oraz dochodów własnych realizowany jest prawidłowo, co obrazują tabele nr 13 i 14</t>
  </si>
  <si>
    <t>Tabela nr 13</t>
  </si>
  <si>
    <t xml:space="preserve">                                                                ZA I PÓŁROCZE 2006 ROKU</t>
  </si>
  <si>
    <t>Plan                 2006 r.</t>
  </si>
  <si>
    <t>Wykonanie            I półrocze         2006 roku</t>
  </si>
  <si>
    <t>Tabela nr 14</t>
  </si>
  <si>
    <t xml:space="preserve">                                          WYKONANIE   PLANU   PRZYCHODÓW  I  WYDATKÓW  DOCHODÓW  WŁASNYCH                                                                                   </t>
  </si>
  <si>
    <t xml:space="preserve">                                                                                          NA  30  CZERWCA  2006  ROKU</t>
  </si>
  <si>
    <t>Plan             na 2006</t>
  </si>
  <si>
    <t>wykonanie          I pólrocze             2006</t>
  </si>
  <si>
    <t>wykonanie            I pólrocze             2006</t>
  </si>
  <si>
    <t xml:space="preserve">           R A Z E M</t>
  </si>
  <si>
    <t>INFORMACJA Z REALIZACJI WYDATKÓW MAJĄTKOWYCH I REMONTÓW PLANOWANYCH w 2006 r.</t>
  </si>
  <si>
    <t>(stan na dzień 30.06.2006 r.)</t>
  </si>
  <si>
    <t>Plan 2006 r.</t>
  </si>
  <si>
    <t>ul. Śródmiejska:</t>
  </si>
  <si>
    <t xml:space="preserve">Zakończono budowę ulicy i oddano do użytkowania. Inwestycja w trakcie rozliczenia według warunków kontraktu (FIDIC). Kontrakt obejmował budowę ulicy           o długości 1,7km i szerokości 7m wraz z chodnikami, ścieżkę rowerową, zatokami autobusowymi, mostem na rzece Dzierżęcince o rozpiętości 8,3m i szerokości 13,1m, przebudową uzbrojenia podziemnego, budową ekranów akustycznych. Zmodernizowano skrzyżowania z drogami poprzecznymi: z ulicą Heleny Modrzejewskiej wraz z przejściem dla pieszych z sygnalizacją świetlną wzbudzoną, z ulicą Racławicką, Władysława Andersa, Zwycięstwa (skrzyżowanie skanalizowane ze skoordynowaną sygnalizacją świetlną), z ulicą Marszałka Józefa Piłsudskiego, Bartosza Głowackiego. Zmodernizowano skrzyżowanie drogi krajowej nr 11 z drogą wojewódzką nr 167 (rondo ulic Krakusa i Wandy-Połczyńska-Gnieźnieńska). W ramach inwestycji dokonano również rozbiórki Kościoła przy ulicy Gwardii Ludowej. Rozstrzygnięto przetarg i rozpoczęto rozbiórkę budynku przy ulicy Gwardii-Ludowej-Tadeusza Kościuszki. Termin zakończenia - 30.09.2006r. Budowa ulicy współfinansowana </t>
  </si>
  <si>
    <t>z tego:                                   -środki Phare</t>
  </si>
  <si>
    <t>ze środków unijnych (Phare) oraz z WFOŚiGW na budowę separatora wód deszczowych oraz ekranów akustycznych (pożyczki preferencyjne).</t>
  </si>
  <si>
    <t>60016                   § 6050</t>
  </si>
  <si>
    <t>Rozstrzygnięto przetarg i rozpoczęto realizację budowy ulicy Wielkopolskiej i Kieleckiej. Termin zakończenia  31.10.2006r.</t>
  </si>
  <si>
    <t>60016                       § 6050</t>
  </si>
  <si>
    <t>W trakcie procedury przetargowej na budowę dróg osiedlowych, przy budynkach KTBS.</t>
  </si>
  <si>
    <t>60016     § 6050</t>
  </si>
  <si>
    <t>W trakcie procedury przetargowej na budowę ulicy.</t>
  </si>
  <si>
    <t>60017                         § 6050</t>
  </si>
  <si>
    <r>
      <t>Zapłata częściowa między innymi za:  ustawienie około 1.150 m krawężników betonowych oraz 1.325 m</t>
    </r>
    <r>
      <rPr>
        <vertAlign val="superscript"/>
        <sz val="10"/>
        <rFont val="Times New Roman CE"/>
        <family val="1"/>
      </rPr>
      <t xml:space="preserve">2 </t>
    </r>
    <r>
      <rPr>
        <sz val="10"/>
        <rFont val="Times New Roman CE"/>
        <family val="1"/>
      </rPr>
      <t>nawierzchni z kostki brukowej.</t>
    </r>
  </si>
  <si>
    <t>70095                           § 6050</t>
  </si>
  <si>
    <t>Zakończono adaptację budynku magazynowego na socjalny budynek mieszkalny przy ul. Bohaterów Warszawy 38a. Przekazano do użytkowania 26 mieszkań socjalnych. Rozstrzygnięto przetarg na wykonanie projektu budowy mieszkań socjalnych przy ul. Przemysłowej. Rozpoczęto budowę mieszkań socjalnych przy ul. 4-go Marca. Wykonano w zakresie rzeczowym 10 % robót,                            w tym: roboty rozbiórkowe, ziemne, demontażowe i przygotowawcze. Planowany termin zakończenia realizacji zadania - 30.11.2006r.. Opracowano dokumentację techniczną na budowę mieszkań socjalnych przy ulicy Batalionów Chłopskich 62.</t>
  </si>
  <si>
    <t>Budynek przy ul. Jana z Kolna</t>
  </si>
  <si>
    <t>70095           § 6050</t>
  </si>
  <si>
    <t>Budynek wynajmowany przez Polski Związek Głuchych. Realizacja  zadania "Modernizacja budynku na potrzeby poradni diagnostyki i rehabilitacji wad słuchu" w 75 % współfinansowana przez ZPORR.</t>
  </si>
  <si>
    <t>Remont budynku przy ul. Słowackiego</t>
  </si>
  <si>
    <t>75405                          § 6170</t>
  </si>
  <si>
    <t>Współfinansowanie remontu budynku Komendy Miejskiej Policji.</t>
  </si>
  <si>
    <t>Remonty w szkołach i przedszkolach</t>
  </si>
  <si>
    <t xml:space="preserve">   § 6050</t>
  </si>
  <si>
    <t>Wykonano remont pomieszczeń szkolnych (84,2 tys. zł) w Szkołach Podstawowych Nr 1,5,6,18, Gimnazjum Nr 2, II LO, ZSz Nr 10. Wymiana stolarki okiennej i drzwiowej (27,4 tys. zł) w Szkole Podstawowej Nr 6, ZSz Nr 11. Budowa mini boiska do piłki nożnej (81,2 tys. zł) w Gimnazjum Nr 6. Pozostałe planowane zadania zostaną zrealizowane w II półroczu br.</t>
  </si>
  <si>
    <t>Dział 852</t>
  </si>
  <si>
    <t>"Przebudowa budynku przedszkola z przeznaczeniem na obiekt służący rehabilitacji przy ul. Wyspiańskiego 4"</t>
  </si>
  <si>
    <t>85295                                        § 6050</t>
  </si>
  <si>
    <t>Rozstrzygnięto przetarg na modernizację obiektu dla potrzeb osób niepełnosprawnych. Zakończono budowę sali gimnastycznej, w trakcie roboty ogólnobudowlane, sanitarne, elektryczne (w głównym budynku, łącznikach oraz garażu). Zrealizowano 78% zakresu rzeczowego. Termin zakończenia robót 28.07.2006r..</t>
  </si>
  <si>
    <t>Dział 854</t>
  </si>
  <si>
    <t>Zespół Burs Międzyszkolnych - elewacja</t>
  </si>
  <si>
    <t>85410                                     § 6050</t>
  </si>
  <si>
    <t>90001                                § 6050</t>
  </si>
  <si>
    <t>Kontynuowano realizację II-go etapu budowy sieci wod.-kan..Zakończono budowę kanalizacji sanitarnej (1069,5mb) i kanalizacji deszczowej (1340,5mb). Rozpoczęto budowę podczyszczalni wód deszczowych (15%), komory K-1, K-2, K-3, K-4 (30%) wraz z placem manewrowym przepompowni (PS2-50%). Zakończono budowę drogi tymczasowej na długości 1610mb, wykonano linię kablową (zasilenie 970 mb                                    i oświetleniową 700 mb). Zaawansowanie rzeczowe robót wynosi 80 %. Termin zakończenia zadania 30.09.2006r.</t>
  </si>
  <si>
    <t>Uzbrojenie Osiedla Unii Europejskiej</t>
  </si>
  <si>
    <t>90001                    § 6050</t>
  </si>
  <si>
    <t>Zakończono budowę uzbrojenia na osiedlu pod budownictwo mieszkaniowe jednorodzinne w ulicy Austriackiej i Duńskiej (wykonano 1232 mb sieci wodociągowej, 257 mb kanalizacji sanitarnej i 378 mb kanalizacji deszczowej wraz separatorem wód deszczowych) - pod budownictwo mieszkaniowe jednorodzinne. Inwestycja dofinansowywana z WFOŚiGW w ramach pożyczki preferencyjnej. Rozpoczęto realizację budowy uzbrojenia w ul. Holenderskiej pod budownictwo mieszkaniowe wielorodzinne KTBS. Termin zakończenia zadania - 25.09.2006r. Złożono wniosek do WFOŚiGW o dofinansowanie.</t>
  </si>
  <si>
    <t>Uzbrojenie Osiedla Wilkowo</t>
  </si>
  <si>
    <t>90001     § 6050</t>
  </si>
  <si>
    <t xml:space="preserve">Kontynuowano budowę kanalizacji sanitarnej. Wykonano 229mb kanału w ulicy Sikorek, 1187,5mb w ulicy Skowronków, 183,5mb w ulicy Słowików. Rozpoczęto budowę przepompowni ścieków. Zaawansowanie rzeczowe robót 60 %. Inwestycja dofinansowywana z WFOŚiGW - pożyczka preferencyjna. Termin zakończenia zadania 30.09.2006r. </t>
  </si>
  <si>
    <t>90001                              § 6050</t>
  </si>
  <si>
    <t>W trakcie uzyskiwania pozwolenia na budowę.</t>
  </si>
  <si>
    <t>ul. Różana - Lniana - porządkowanie gospodarki wodno-ściekowej</t>
  </si>
  <si>
    <t>90001                § 6050</t>
  </si>
  <si>
    <t>W trakcie procedury uzyskania pozwolenia na budowę. Procedury przetargowe i rozpoczęcie realizacji w II półroczu.</t>
  </si>
  <si>
    <t>Budowa nowych punktów świetlnych</t>
  </si>
  <si>
    <t>90015                § 6050</t>
  </si>
  <si>
    <t>Budowa nowych punktów świetlnych na osiedlu Raduszka oraz przy ulicach: Szerokiej i Połczyńskiej.</t>
  </si>
  <si>
    <t>Magistrala wodociągowa do Lubiatowa</t>
  </si>
  <si>
    <t>90095                            § 6050</t>
  </si>
  <si>
    <t>W trakcie uregulowanie spraw formalno - prawnych (dostęp do terenu). Uzupełniono dokumentację techniczną o specyfikację techniczną wykonania i odbioru robót budowlanych.</t>
  </si>
  <si>
    <t>Rozbudowa Cmentarza Komunalnego</t>
  </si>
  <si>
    <t>90095                     § 6050</t>
  </si>
  <si>
    <t>Zaktualizowano dokumentację techniczną I-go etapu rozbudowy cmentarza komunalnego. Rozpoczęcie realizacji przewidziano na II półrocze 2006 r.</t>
  </si>
  <si>
    <t>90095                        § 6050</t>
  </si>
  <si>
    <t>90095                              § 6050</t>
  </si>
  <si>
    <t>Została wykonana analiza przyczyn osiadania podłoża pod kolektor sanitarny "A". Zakończono budowę  ogrodzenia budynku komunalnego przy ul. Generała Józefa Bema. Zlecono wykonanie osuszenia pomieszczeń piwnicznych (piecownia, maszynownia dźwigu) w MDK. Planowany termin zakończenia zadania 31.09.2006 r.</t>
  </si>
  <si>
    <t>90095                               § 6050</t>
  </si>
  <si>
    <t>92109                       § 6050</t>
  </si>
  <si>
    <t>Wystąpiono do Filharmonii o określenie ewentualnych potrzeb w zakresie poprawy akustyki, np. zakup dodatkowego sprzętu.</t>
  </si>
  <si>
    <t>Remont amfiteatru</t>
  </si>
  <si>
    <t>92109                               § 6220</t>
  </si>
  <si>
    <t>Realizacja II półrocze br.</t>
  </si>
  <si>
    <t>92601                                § 6050</t>
  </si>
  <si>
    <t>Kontynuowano modernizację płyty głównej o nawierzchni trawiastej. Wykonano roboty ziemne, roboty branży sanitarnej (39%), roboty branży elektrycznej (15%). Termin zakończenia - 30.09.2007r. Inwestycja dofinansowywana ze środków Funduszu Rozwoju Kultury Fizycznej (Ministerstwo Sportu) - 1 500 tyś.zł. W trakcie zatwierdzania dofinansowania ze środków UE (ZPORR) na budowę Euroboiska ze sztuczną trawą. Termin zakończenia modernizacji stadionu - 30.09.2008r.</t>
  </si>
  <si>
    <t xml:space="preserve"> Rozstrzygnięto przetarg na wykonawstwo i rozpoczęto realizację przebudowy ulicy Olchowej. Wykonano 182mb kanalizacji sanitarnej, 205 mb kanalizacji deszczowej, 130 mb sieci wodociągowej. Rozpoczęto roboty drogowe. Zaawansowanie rzeczowe zadania wynosi 42%. Inwestycja jest dofinansowywana ze środków unijnych, w ramach programu ZPORR. Termin zakończenia 31.10.2006r..</t>
  </si>
  <si>
    <t xml:space="preserve">          z tego:                        -środki własne</t>
  </si>
  <si>
    <t xml:space="preserve"> § 6050</t>
  </si>
  <si>
    <t xml:space="preserve"> - środki ZPORR</t>
  </si>
  <si>
    <t xml:space="preserve"> § 6058</t>
  </si>
  <si>
    <t xml:space="preserve"> - środki Miasta</t>
  </si>
  <si>
    <t xml:space="preserve"> § 6059</t>
  </si>
  <si>
    <t>Usprawnienie układu komunikacyjnego miasta Koszalin - przebudowa ul. Połczyńskiej</t>
  </si>
  <si>
    <t>Przygotowanie przetargu, a realizacja II półrocze br.</t>
  </si>
  <si>
    <t>Skrzyżowanie ulic: Władysława IV-go - Akademicka</t>
  </si>
  <si>
    <t>60015                             § 6050</t>
  </si>
  <si>
    <t>ul. Orląt Lwowskich</t>
  </si>
  <si>
    <t xml:space="preserve">Przygotowanie projektu przebudowy dróg dojazdowych oraz SIWZ. </t>
  </si>
  <si>
    <t>ul. Batalionów Chłopskich</t>
  </si>
  <si>
    <t>Koszty przebudowy gazociągu oraz  SIWZ.</t>
  </si>
  <si>
    <t>Ewidencja dróg</t>
  </si>
  <si>
    <t>Wykonano mapy techniczno - eksploatacyjnej dróg i obiektów mostowych.</t>
  </si>
  <si>
    <r>
      <t xml:space="preserve">ul. Rzeczna </t>
    </r>
    <r>
      <rPr>
        <i/>
        <sz val="10"/>
        <rFont val="Times New Roman CE"/>
        <family val="1"/>
      </rPr>
      <t>(dojazd do Specjalnego Ośrodka Szkolno - Wychowawczego)</t>
    </r>
  </si>
  <si>
    <t>60016                              § 6050</t>
  </si>
  <si>
    <t>Opracowano dokumentację techniczną. Rozpoczęcie robót w II półroczu br.</t>
  </si>
  <si>
    <t>ul Asnyka  i ul.Grodzka</t>
  </si>
  <si>
    <t>Dokończenie przebudowy - projekt docelowej organizacji ruchu.</t>
  </si>
  <si>
    <t>Połączenie ul. Strażackiej z ul. Połczyńską</t>
  </si>
  <si>
    <t>Odstąpiono od realizacji budowy tymczasowego połączenia. Docelowe rozwiązanie modernizacji układu komunikacyjnego rejonu ulicy Gnieźnieńska-Połczyńska 4-go Marca po zatwierdzeniu opracowywanego Miejscowego Planu Zagospodarowania Przestrzennego.</t>
  </si>
  <si>
    <t>Przebudowa ul.Chrobrego, ul.Domina i ul.Krzywoustego</t>
  </si>
  <si>
    <t>Koszty zmiany dokumentacji projektowej, przygotowania przetargu.</t>
  </si>
  <si>
    <t>ul.Karłowicza</t>
  </si>
  <si>
    <t>60017                    § 6050</t>
  </si>
  <si>
    <t>Wykonano aktualizację kosztorysu inwestorskiego i SSToraz przygotowano materiały przetargowe.</t>
  </si>
  <si>
    <t>Łącznik ul.Staszica i ul. Spasowskiego</t>
  </si>
  <si>
    <t>ul.Niepodlegości</t>
  </si>
  <si>
    <t>Wykonano remont dojazdu do parkingu, a rozliczenie zadania w II półroczu br.</t>
  </si>
  <si>
    <t>Parking przy Szpitalu Gruźliczym</t>
  </si>
  <si>
    <t>Modernizacja pomieszczeń Zarządu Dróg Miejskich</t>
  </si>
  <si>
    <t>60095                              § 6050</t>
  </si>
  <si>
    <t xml:space="preserve">Dokończenie przebudowy pomieszczeń socjalnych ZBM na cele biurowe. </t>
  </si>
  <si>
    <t>Przeprawa Jamno - droga dojazdowa</t>
  </si>
  <si>
    <t>Została opracowana dokumentacja techniczna na budowę tymczasowej drogi dojazdowej do jeziora. Realizacja zadania uzależniona od dostawy amfibii.</t>
  </si>
  <si>
    <t>ul. Akacjowa</t>
  </si>
  <si>
    <t>Uzupełniono dokumentację techniczną o specyfikację techniczną wykonania i odbioru robót wraz z aktualizacją kosztorysów. W trakcie procedury przetargowej na wykonawstwo. Rozpoczęcie robót w II półroczu br.</t>
  </si>
  <si>
    <t>W trakcie procedury przetargowej na wykonawstwo. Rozpoczęcie robót w II półroczu br.</t>
  </si>
  <si>
    <t>ul. Zdobywców Wału Pomorskiego (odcinek od ul. Słonecznej do Wopistów)</t>
  </si>
  <si>
    <t>Uzupełniono dokumentację techniczną o specyfikację techniczną wykonania i odbioru robót. W trakcie procedury przetargowej na wykonanie dojazdu do Hospicjum.</t>
  </si>
  <si>
    <t>Osiedle Topolowe - drogi (ul. Orzechowa)</t>
  </si>
  <si>
    <t>W trakcie opracowania specyfikacji technicznej wykonania i odbioru robót. Przetarg na wykonawstwo i rozpoczęcie robót w II półroczu br.</t>
  </si>
  <si>
    <t>Budowa światłowodów</t>
  </si>
  <si>
    <t>60053                             § 6050</t>
  </si>
  <si>
    <t>Realizacja  w II półroczu br.</t>
  </si>
  <si>
    <t>Remonty budynków komunalnych</t>
  </si>
  <si>
    <t>Większość zadań zrealizowana będzie w II półroczu.</t>
  </si>
  <si>
    <t>Dział 710</t>
  </si>
  <si>
    <t>Modernizacja nawierzchni przed kaplicą na Cmentarzu Komunalnym</t>
  </si>
  <si>
    <t>Centrum Powiadamiania Ratunkowego</t>
  </si>
  <si>
    <t>75411                              § 6050</t>
  </si>
  <si>
    <t>Przesunięcie realizacji  zadania.</t>
  </si>
  <si>
    <t>Modernizacja pomieszczeń w Komendzie Policji i dofinansowanie remontu boisk</t>
  </si>
  <si>
    <t>85154                              § 6050</t>
  </si>
  <si>
    <t>Adaptacja i wyposażenie pomieszczenia na "Niebieski pokój przesłuchań" w budynku Policji.</t>
  </si>
  <si>
    <t xml:space="preserve">Miejski Ośrodek Pomocy Społecznej </t>
  </si>
  <si>
    <t>85219                              § 6050</t>
  </si>
  <si>
    <t>Remont i adaptacja pomieszceń przy ul. Monte Cassino - realizacja II półrocze br..</t>
  </si>
  <si>
    <t>Modernizacja placówek oświatowo - wychowawczych</t>
  </si>
  <si>
    <t>Utrzymanie kanalizacji deszczowej</t>
  </si>
  <si>
    <t>Przekazanie zadania do MWiK sp. z o.o.</t>
  </si>
  <si>
    <t>Przeniesienie schroniska</t>
  </si>
  <si>
    <t>90013                              § 6050</t>
  </si>
  <si>
    <t>Zmiana klasyfikacji budżetowej. Przeniesienie zadania do działu 600 - Transport i łączność.</t>
  </si>
  <si>
    <t>Budowa szaletów miejskich</t>
  </si>
  <si>
    <t>92106                           § 6050</t>
  </si>
  <si>
    <t>Rozpoczęcie realizacji całego zadania związane z ostateczną decyzją dotyczącą dofinansowania ze środków unijnych.</t>
  </si>
  <si>
    <t>Modernizacja obiektu Muzeum</t>
  </si>
  <si>
    <t>Rozstrzygnięto przetarg na wykonawstwo i rozpoczęto realizację zadania w zakresie przebudowy budynku muzeum oraz poddasza budynku młyna. W zakresie rzeczowym wykonano: roboty budowlane ( sale wystawowe - wzmocnienie stropu nad parterem, podciąg stalowy 100%; remont pomieszczeń parteru, I piętra i poddasza w części palacowej 70%; wymiana stolarki okiennej w części pałacowej 75%; przebudowa poddasza budynku młyna 33%), roboty sanitarne ( demontaż instalacji wodociągowej i instalacji sanitarnej 80%; montaż instalacji c.o. i wod.-kan. 70%), roboty elektryczne ( demontaż instalacji elektrycznej 100%;tablice elektryczne i linie zasilające 100%; montaż opraw oświetleniowych w części pałacowej 70%; montaż osprzętu instalacyjnego w części pałacowej 65%; instalacje elektryczne w budynku młyna 10%). Inwestycja dofinansowywana ze środków unijnych - w ramach programu ZPORR. Termin zakończenia inwestycji 31.08.2006r.</t>
  </si>
  <si>
    <t xml:space="preserve">   z tego:                              - środki własne</t>
  </si>
  <si>
    <t>Rozbudowa działu archeologicznego</t>
  </si>
  <si>
    <t>92118                              § 6220</t>
  </si>
  <si>
    <t>Koszalińska Biblioteka Publiczna</t>
  </si>
  <si>
    <t>92116                           § 6220</t>
  </si>
  <si>
    <t>Remont filii bibliotecznej przy ul. Andersa zostanie rozliczony w II półroczu br.</t>
  </si>
  <si>
    <t xml:space="preserve">Etnograficzny Park Tematyczny w Kłosie </t>
  </si>
  <si>
    <t>92118                     § 6050</t>
  </si>
  <si>
    <t>W trakcie opracowywania programu funkcjonalno - użytkowego, niezbędnego do ogłoszenia przetargu na dokumentację techniczną.</t>
  </si>
  <si>
    <t>Budowa hali widowiskowo sportowej</t>
  </si>
  <si>
    <t>92601                            § 6050</t>
  </si>
  <si>
    <t>Inwestycja wspólna z Politechniką Koszalińską. W trakcie opracowywania dokumentacji technicznej</t>
  </si>
  <si>
    <t>Budowa Centrum Rekreacyjno - Sportowego</t>
  </si>
  <si>
    <t>Rozpoczęcie realizacji zadania, planowanego na lata 2006 - 2007.</t>
  </si>
  <si>
    <t>Wykonano kserokopie dokumentacji dla: inwestora, inspektora nadzoru i inżyniera kontraktu.</t>
  </si>
  <si>
    <t>Budowa tzw. "Małpiego Gaju"</t>
  </si>
  <si>
    <t>92601                         § 6050</t>
  </si>
  <si>
    <t>Rozpoczęcie zadania po zatwierdzeniu opracowywanego Miejscowego Planu Zagospodarowania Przestrzennego.</t>
  </si>
  <si>
    <t>Załącznik nr 3</t>
  </si>
  <si>
    <t xml:space="preserve">Wydatki na zakup i objęcie akcji oraz wniesienie wkładów do spółek prawa handlowego - KTBS, MZK, ZOS </t>
  </si>
  <si>
    <t>Załącznik nr 4</t>
  </si>
  <si>
    <t>INWESTYCYJNE INICJATYWY SPOŁECZNE I PÓŁROCZE 2006 r.</t>
  </si>
  <si>
    <t xml:space="preserve">  ( tys zł)</t>
  </si>
  <si>
    <t>wykonanie</t>
  </si>
  <si>
    <t xml:space="preserve">  Nazwa zadania </t>
  </si>
  <si>
    <t>Plan 2006r.</t>
  </si>
  <si>
    <t>na dzień</t>
  </si>
  <si>
    <t>%</t>
  </si>
  <si>
    <t>Uzbrojenie ul. Lechickiej</t>
  </si>
  <si>
    <t>Mieszkańcy złożyli deklarację współudziału w realizacji budowy wodociągu i kanalizacji sanitarnej w ul. Lechickiej za torami. Uzyskano pozwolenie na budowę. Realizacja w II półroczu br.</t>
  </si>
  <si>
    <t>Uzbrojenie ul. Dzierżęcińskiej</t>
  </si>
  <si>
    <t>Mieszkańcy złożyli deklarację współudziału w realizacji budowy kanalizacji sanitarnej i przepompowni. Inicjatorzy przekazali teren pod pas drogowy na rzecz Miasta, w trakcie realizacji dokumentacji technicznej. Realizacja zadania w 2007r.</t>
  </si>
  <si>
    <t>Uzbrojenie ul. Austriackiej - działka nr 50</t>
  </si>
  <si>
    <t>Mieszkańcy złożyli deklarację współudziału w realizacji budowy wodociągu, kanalizacji sanitarnej i deszczowej. Realizacja zadania w II półroczu.</t>
  </si>
  <si>
    <t>Uzbrojenie ul. Austriackiej - działka nr 39</t>
  </si>
  <si>
    <t>Mieszkańcy złożyli deklarację  współudziału w realizacji budowy wodociągu, kanalizacji sanitarnej i deszczowej. Realizacja zadania w II półroczu.</t>
  </si>
  <si>
    <t>Osiedle Piaskowe</t>
  </si>
  <si>
    <t>Brak deklaracji mieszkańców do współudziału w realizacji zadania.</t>
  </si>
  <si>
    <t>Osiedle 4 Marca</t>
  </si>
  <si>
    <t>Uzbrojenie ul. Szmaragdowej</t>
  </si>
  <si>
    <t>Mieszkańcy złożyli deklarację współudziału w realizacji budowy kanalizacji sanitarnej. W trakcie opracowywania dokumentacji technicznej na budowę uzbrojenia na potrzeby domków jednorodzinnych.</t>
  </si>
  <si>
    <t>Uzbrojenie ul. Artylerzystów</t>
  </si>
  <si>
    <t>Mieszkańcy złożyli deklarację współudziału w realizacji budowy kanalizacji sanitarnej i deszczowej. Inicjatorzy są w trakcie opracowywania dokumentacji technicznej na budowę wodociągu. Realizacja zadania w 2007r.</t>
  </si>
  <si>
    <t>ul. Saperów</t>
  </si>
  <si>
    <t>ul. Kupiecka - Cicha</t>
  </si>
  <si>
    <t>Mieszkańcy złożyli deklarację współudziału w realizacji budowy oświetlenia ulicy. Inicjatorzy opracowali dokumentację.</t>
  </si>
  <si>
    <t>Uzbrojenie ul. Rubinowej</t>
  </si>
  <si>
    <t>(stan na dzień 30.06 2006 r.)</t>
  </si>
  <si>
    <r>
      <t>Urząd Miejski -</t>
    </r>
    <r>
      <rPr>
        <i/>
        <sz val="10"/>
        <rFont val="Times New Roman"/>
        <family val="1"/>
      </rPr>
      <t xml:space="preserve"> zakup sprzętu komputerowego, oprogramowania,urządzeń sieciowych, samochodów, aparatu cyfrowego, sprzętu multimedialnego</t>
    </r>
  </si>
  <si>
    <r>
      <t>Komenda Miejska Policji</t>
    </r>
    <r>
      <rPr>
        <i/>
        <sz val="10"/>
        <rFont val="Times New Roman"/>
        <family val="1"/>
      </rPr>
      <t xml:space="preserve"> - dofinansowanie zakupu samochodów</t>
    </r>
  </si>
  <si>
    <t>75405       6060</t>
  </si>
  <si>
    <r>
      <t xml:space="preserve">Komenda Miejska Państwowej Straży Pożarnej - </t>
    </r>
    <r>
      <rPr>
        <i/>
        <sz val="10"/>
        <rFont val="Times New Roman"/>
        <family val="1"/>
      </rPr>
      <t>zakup sprzętu ratowniczego</t>
    </r>
  </si>
  <si>
    <t>75411       6060</t>
  </si>
  <si>
    <r>
      <t xml:space="preserve">Zespół Obsługi Ekonomiczno - Administracyjnej Przedszkoli Miejskich - </t>
    </r>
    <r>
      <rPr>
        <i/>
        <sz val="10"/>
        <rFont val="Times New Roman"/>
        <family val="1"/>
      </rPr>
      <t>zakup zestawów komputerowych</t>
    </r>
  </si>
  <si>
    <t>80195     6060</t>
  </si>
  <si>
    <r>
      <t>Zespół Szkół Nr 10</t>
    </r>
    <r>
      <rPr>
        <i/>
        <sz val="10"/>
        <rFont val="Times New Roman"/>
        <family val="1"/>
      </rPr>
      <t xml:space="preserve"> - zakup serwera </t>
    </r>
  </si>
  <si>
    <t>85219    6060</t>
  </si>
  <si>
    <r>
      <t>Powiatowe Centrum Pomocy Rodzinie - z</t>
    </r>
    <r>
      <rPr>
        <i/>
        <sz val="10"/>
        <rFont val="Times New Roman"/>
        <family val="1"/>
      </rPr>
      <t>akup sprzętu komputerowego</t>
    </r>
  </si>
  <si>
    <t>85218   6060</t>
  </si>
  <si>
    <r>
      <t xml:space="preserve">Filharmonia - </t>
    </r>
    <r>
      <rPr>
        <i/>
        <sz val="10"/>
        <rFont val="Times New Roman"/>
        <family val="1"/>
      </rPr>
      <t xml:space="preserve">zakup kasy fiskalnej i oprogramowania komputerowego </t>
    </r>
  </si>
  <si>
    <t>92108   6220</t>
  </si>
  <si>
    <r>
      <t>MOK - z</t>
    </r>
    <r>
      <rPr>
        <i/>
        <sz val="10"/>
        <rFont val="Times New Roman"/>
        <family val="1"/>
      </rPr>
      <t>akup: systemu kamer w sali kinowe, aparatury nagłaśniającej, wyposażenia pracowni multimedialnej i muzycznej, sprzętu komputerowego, aparatury nagłasniającej, systemu elektronicznej sprzedaży biletów.</t>
    </r>
  </si>
  <si>
    <t>92109   6220</t>
  </si>
  <si>
    <r>
      <t xml:space="preserve">Koszalińska Biblioteka Publiczna - </t>
    </r>
    <r>
      <rPr>
        <i/>
        <sz val="10"/>
        <rFont val="Times New Roman"/>
        <family val="1"/>
      </rPr>
      <t>zakup sprzętu komputerowego</t>
    </r>
  </si>
  <si>
    <t>92116   6220</t>
  </si>
  <si>
    <r>
      <t xml:space="preserve">Muzeum - </t>
    </r>
    <r>
      <rPr>
        <i/>
        <sz val="10"/>
        <rFont val="Times New Roman"/>
        <family val="1"/>
      </rPr>
      <t>zakup pieczęci</t>
    </r>
  </si>
  <si>
    <t>(stan na 30.06.2006 r)</t>
  </si>
  <si>
    <t xml:space="preserve">ZOA-EPM </t>
  </si>
  <si>
    <t xml:space="preserve">Informacja o realizacji wpływów budżetowych z tytułu podatków i opłat za I półrocze 2006 roku </t>
  </si>
  <si>
    <t>I półrocze 2006</t>
  </si>
  <si>
    <t>Wpływy z opłat rocznych</t>
  </si>
  <si>
    <t xml:space="preserve">przypis roczny </t>
  </si>
  <si>
    <t>wpływy bieżące</t>
  </si>
  <si>
    <t>c)</t>
  </si>
  <si>
    <t>wskaźnik realnych wpłat (b/a)</t>
  </si>
  <si>
    <t>d)</t>
  </si>
  <si>
    <t>stan zaległości</t>
  </si>
  <si>
    <t>e)</t>
  </si>
  <si>
    <t>windykacja</t>
  </si>
  <si>
    <t>f)</t>
  </si>
  <si>
    <t>wskaźnik windykacji(e/d)</t>
  </si>
  <si>
    <t>Wpływy z dzierżaw</t>
  </si>
  <si>
    <t>Sprzedaż mienia komunalnego</t>
  </si>
  <si>
    <t>Podatek rolny i leśny</t>
  </si>
  <si>
    <t>Podatek od nieruchomości osób prawnych</t>
  </si>
  <si>
    <t>Podatek od nieruchomości osób fizycznych</t>
  </si>
  <si>
    <t>Podatek od środków transportowych osób prawnych</t>
  </si>
  <si>
    <t>8.</t>
  </si>
  <si>
    <t>Podatek od środków transportowych osób fizycznych</t>
  </si>
  <si>
    <t>ZBIORCZE ZESTAWIENIE UDZIELONYCH ZAMÓWIEŃ  PUBLICZNYCH  W  I PÓŁROCZU  2006 ROKU</t>
  </si>
  <si>
    <t xml:space="preserve">pełna </t>
  </si>
  <si>
    <t>-uproszczona</t>
  </si>
  <si>
    <t>(w tym powyżej 200 tys. EURO)</t>
  </si>
  <si>
    <t xml:space="preserve"> (w tym powyżej 200 tys. EURO)</t>
  </si>
  <si>
    <t xml:space="preserve"> (w tym powyżej 20 tys. EURO)</t>
  </si>
  <si>
    <t xml:space="preserve">Razem   </t>
  </si>
  <si>
    <t xml:space="preserve"> WYKONANIE   PLANU   WYDATKÓW   MIASTA   KOSZALINA   ZA  I  PÓŁROCZE   2006   ROKU                                                                                                    </t>
  </si>
  <si>
    <t xml:space="preserve">Wydatki na zakup i objęcie akcji, wniesienie wkładów do spółek prawa handlowego (amfibia) </t>
  </si>
  <si>
    <t>skrzyżowanie ul.Władysława IV - Akademicka</t>
  </si>
  <si>
    <t>ul. Połczyńska - wydatki niekwalifikowane</t>
  </si>
  <si>
    <t>Wydatki inwestycyjne jednostek budżetowych - ul. Połczyńska</t>
  </si>
  <si>
    <t>Wydatki inwestycyjne jednostek budżetowych - ul. Olchowa</t>
  </si>
  <si>
    <t xml:space="preserve">Dotacje celowe przekazane gminie na inwestycje i zakupy inwestycyjne realizowane na podstawie porozumień między j.s.t. </t>
  </si>
  <si>
    <t>Infrastruktura telekomunikacyjna</t>
  </si>
  <si>
    <r>
      <t xml:space="preserve">Zakup usług pozostałych - RWZ </t>
    </r>
    <r>
      <rPr>
        <i/>
        <sz val="9"/>
        <rFont val="Times New Roman CE"/>
        <family val="1"/>
      </rPr>
      <t>("Zintegrowany plan transportu publicznego")</t>
    </r>
  </si>
  <si>
    <t>"Szlak gotyku ceglanego EuRoB II"</t>
  </si>
  <si>
    <t>"Trasa Staromiejska"</t>
  </si>
  <si>
    <t>Zakup pozostałych usług -RO</t>
  </si>
  <si>
    <t>Zakup materiałów i wyposażenia - Km</t>
  </si>
  <si>
    <t>Zakup usług pozostałych - Km</t>
  </si>
  <si>
    <t xml:space="preserve">Składki na ubezpieczenia społeczne </t>
  </si>
  <si>
    <r>
      <t>Składki na ubezpieczenia społeczne</t>
    </r>
    <r>
      <rPr>
        <i/>
        <sz val="9"/>
        <rFont val="Times New Roman CE"/>
        <family val="1"/>
      </rPr>
      <t xml:space="preserve"> - E</t>
    </r>
  </si>
  <si>
    <r>
      <t>Składki na FP</t>
    </r>
    <r>
      <rPr>
        <i/>
        <sz val="9"/>
        <rFont val="Times New Roman CE"/>
        <family val="1"/>
      </rPr>
      <t xml:space="preserve"> - OA</t>
    </r>
  </si>
  <si>
    <r>
      <t xml:space="preserve">Składki na FP </t>
    </r>
    <r>
      <rPr>
        <i/>
        <sz val="9"/>
        <rFont val="Times New Roman CE"/>
        <family val="1"/>
      </rPr>
      <t>- E</t>
    </r>
  </si>
  <si>
    <r>
      <t>Wynagrodzenia bezosobowe</t>
    </r>
    <r>
      <rPr>
        <i/>
        <sz val="9"/>
        <rFont val="Times New Roman CE"/>
        <family val="1"/>
      </rPr>
      <t xml:space="preserve"> - E</t>
    </r>
  </si>
  <si>
    <r>
      <t xml:space="preserve">Zakup usług dostępu do sieci Internet - </t>
    </r>
    <r>
      <rPr>
        <i/>
        <sz val="9"/>
        <rFont val="Times New Roman CE"/>
        <family val="1"/>
      </rPr>
      <t>Inf</t>
    </r>
  </si>
  <si>
    <r>
      <t xml:space="preserve">Zakup usług dostępu do sieci Internet - </t>
    </r>
    <r>
      <rPr>
        <i/>
        <sz val="9"/>
        <rFont val="Times New Roman CE"/>
        <family val="1"/>
      </rPr>
      <t>BZP</t>
    </r>
  </si>
  <si>
    <t>Różne opłaty i składki OA</t>
  </si>
  <si>
    <t>Różne opłaty i składki Rp</t>
  </si>
  <si>
    <r>
      <t>Koszty postępowania sądowego -</t>
    </r>
    <r>
      <rPr>
        <i/>
        <sz val="9"/>
        <rFont val="Times New Roman CE"/>
        <family val="1"/>
      </rPr>
      <t xml:space="preserve"> SO</t>
    </r>
  </si>
  <si>
    <t>Zakup materiałów i wyposażenia - PI</t>
  </si>
  <si>
    <t>Zakup usług pozostałych - PI</t>
  </si>
  <si>
    <t>Zakup usług pozostałych - KS</t>
  </si>
  <si>
    <t>Zakup usług do sieci Internet - PI</t>
  </si>
  <si>
    <t>"Pierwsza Kronika Miasta Koszalina pióra J.D. Wendlanda"</t>
  </si>
  <si>
    <t>Wynagrodzienia bezosobowe</t>
  </si>
  <si>
    <t>"Promocja rozwoju Koszalina - Vademecum Inwestora"</t>
  </si>
  <si>
    <t>"Koszaliński katolog usług polsko - niemieckich"</t>
  </si>
  <si>
    <t>Składki FP</t>
  </si>
  <si>
    <r>
      <t xml:space="preserve">Zakup pozostałych usług </t>
    </r>
    <r>
      <rPr>
        <i/>
        <sz val="9"/>
        <rFont val="Times New Roman CE"/>
        <family val="1"/>
      </rPr>
      <t>- PI</t>
    </r>
  </si>
  <si>
    <t>Zakup usług do sieci Internet - RWZ</t>
  </si>
  <si>
    <t>Dotacja celowa z budżetu na finansowanie lub dofinansowanie zadań zleconych do realizacji fundacjom</t>
  </si>
  <si>
    <t>Wybory Prezydenta Rzeczpospolitej Polskiej</t>
  </si>
  <si>
    <t>Wybory do sejmu i senatu</t>
  </si>
  <si>
    <t>Wpłaty jednostek na fundusz celowy</t>
  </si>
  <si>
    <t>Wpłaty jednostek na fundusz celowy na finansowanie lub dofinansowanie zadań inwestycyjnych</t>
  </si>
  <si>
    <t>Uposażenia żołnierzy zawodowych i nadterminowych oraz funkcjonariuszy</t>
  </si>
  <si>
    <t>Pozostałe należności żołnierzy zawodowych i nadterminowych oraz funkcjonariuszy</t>
  </si>
  <si>
    <t>Dodatkowe uposażenie roczne dla żołnierzy zawodowych oraz nagrody roczne dla funkcjonariuszy</t>
  </si>
  <si>
    <t>Uposazenia i świadczenia pieniężne wypłacane przez okres roku żoł. i funkcjon. zwolnionym ze służby</t>
  </si>
  <si>
    <t>Obsługa papierów wartościowych, kredytów i  pożyczek j.s.t.</t>
  </si>
  <si>
    <t>Odsetki i dyskonto od krajowych skarbowych papierów wartościowych oraz od krajowych pożyczek i kredytów</t>
  </si>
  <si>
    <t>Rezerwy celowa (na remonty - RO)</t>
  </si>
  <si>
    <t>Rezerwy celowa (Hospicjum)</t>
  </si>
  <si>
    <t>Wydatki osobowe niezaliczone do wynagrodzeń</t>
  </si>
  <si>
    <t>Koszaliński System Oświatowy</t>
  </si>
  <si>
    <t>Zajęcia z koszykówki</t>
  </si>
  <si>
    <r>
      <t>Wynagrodzenia osobowe pracowników -</t>
    </r>
    <r>
      <rPr>
        <i/>
        <sz val="9"/>
        <rFont val="Times New Roman CE"/>
        <family val="1"/>
      </rPr>
      <t xml:space="preserve"> zasiłki na zagospodarowanie i odprawy emerytalne</t>
    </r>
  </si>
  <si>
    <t>wymajem obiektów sportowych na lekcje WF</t>
  </si>
  <si>
    <t>program edukacja - zarządzanie koszalińską oświatą</t>
  </si>
  <si>
    <t xml:space="preserve">kształcenie młodocianych </t>
  </si>
  <si>
    <r>
      <t xml:space="preserve">Dotacja podmiotowa z budżetu dla niepublicznej jednostki systemu oświaty </t>
    </r>
    <r>
      <rPr>
        <i/>
        <sz val="9"/>
        <rFont val="Times New Roman CE"/>
        <family val="1"/>
      </rPr>
      <t>- nauka pływania</t>
    </r>
  </si>
  <si>
    <t>Dotacja podmiotowa z budżetu dla instytucji kultury - KS</t>
  </si>
  <si>
    <t>Pomoc materialna dla studentów i doktorantów</t>
  </si>
  <si>
    <t>Europejski fundusz stypendialny dla studentów w Koszalinie</t>
  </si>
  <si>
    <t>Środowiskowy Dom Samopomocy 2</t>
  </si>
  <si>
    <t xml:space="preserve">Składki na ubezpieczenie zdrowotne opłacane za osoby pobierające niektóre świadczenia z pomocy społecznej oraz niektóre świadczenia rodzinne </t>
  </si>
  <si>
    <t>"Reintegracja zawodowa bezrobotnych kobiet w Koszalinie"</t>
  </si>
  <si>
    <t>Zespoły ds orzekania o niepełnosprawności</t>
  </si>
  <si>
    <r>
      <t xml:space="preserve">Świadczenia społeczne - </t>
    </r>
    <r>
      <rPr>
        <i/>
        <sz val="9"/>
        <rFont val="Times New Roman CE"/>
        <family val="1"/>
      </rPr>
      <t>Prace społecznie użyteczne</t>
    </r>
  </si>
  <si>
    <r>
      <t xml:space="preserve">Zakup usług pozostałych - </t>
    </r>
    <r>
      <rPr>
        <i/>
        <sz val="9"/>
        <rFont val="Times New Roman CE"/>
        <family val="1"/>
      </rPr>
      <t>Prace społecznie użyteczne</t>
    </r>
  </si>
  <si>
    <t>Poradnie psychologiczno - pedagogiczne, w tym poradnie specjalistyczne</t>
  </si>
  <si>
    <t xml:space="preserve">Stypendia dla uczniów </t>
  </si>
  <si>
    <t>Europejski fundusz stypendialny dla uczniów szkół ponadgimnazjalnych w Koszalinie</t>
  </si>
  <si>
    <r>
      <t>Wynagrodzenia osobowe pracowników -</t>
    </r>
    <r>
      <rPr>
        <i/>
        <sz val="9"/>
        <rFont val="Times New Roman CE"/>
        <family val="1"/>
      </rPr>
      <t xml:space="preserve"> odprawy emerytalne i awanse zawodowe nauczycieli</t>
    </r>
  </si>
  <si>
    <t xml:space="preserve">Zakup materiałów i wyposażenia  </t>
  </si>
  <si>
    <r>
      <t xml:space="preserve">Różne opłaty i składki </t>
    </r>
    <r>
      <rPr>
        <i/>
        <sz val="9"/>
        <rFont val="Times New Roman CE"/>
        <family val="1"/>
      </rPr>
      <t>RO</t>
    </r>
  </si>
  <si>
    <t>"Concerto ATC2"</t>
  </si>
  <si>
    <t>Wynagrodzenia bezosobowe - RWZ</t>
  </si>
  <si>
    <t xml:space="preserve">Teatry </t>
  </si>
  <si>
    <t xml:space="preserve">remont </t>
  </si>
  <si>
    <t>Gala Baletowa</t>
  </si>
  <si>
    <t>wystawa fotografii - "Pielgrzymki Polskie"</t>
  </si>
  <si>
    <t>Międzynarodowy Festiwal Organowy</t>
  </si>
  <si>
    <t>740 -lecie Koszalina</t>
  </si>
  <si>
    <t>Obchody Solidarnoścci</t>
  </si>
  <si>
    <t>remont dachu</t>
  </si>
  <si>
    <r>
      <t xml:space="preserve">Wydatki inwestycyjne jednostek budżetowych </t>
    </r>
    <r>
      <rPr>
        <i/>
        <sz val="9"/>
        <rFont val="Times New Roman CE"/>
        <family val="1"/>
      </rPr>
      <t>- akustyka</t>
    </r>
  </si>
  <si>
    <t xml:space="preserve">Dotacje celowe z budżetu na finansowanie  lub dofinansowanie kosztów realizacji inwestycji i zakupów inwestycyjnych  innych jednostek sektora finansów publicznych </t>
  </si>
  <si>
    <t>740 - lecie Koszalina</t>
  </si>
  <si>
    <t>Almanach</t>
  </si>
  <si>
    <t>wydawnictwa - "Miesiąc w Koszalinie"</t>
  </si>
  <si>
    <t>"książka mówiona"</t>
  </si>
  <si>
    <t>Wystawa fotografii -             "Scena 5"</t>
  </si>
  <si>
    <r>
      <t xml:space="preserve">Dotacje celowe z budżetu na finansowanie  lub dofinansowanie kosztów realizacji inwestycji i zakupów inwestycyjnych  innych jednostek sektora finansów publicznych </t>
    </r>
    <r>
      <rPr>
        <i/>
        <sz val="9"/>
        <rFont val="Times New Roman CE"/>
        <family val="1"/>
      </rPr>
      <t>- remont filii (ul. Andersa) - 80,0 tys. zł; sprzęt komputerowy - 100,0 tys. zł</t>
    </r>
  </si>
  <si>
    <t>wydanie "Koszalińskich Zeszytów Muzealnych" i informator</t>
  </si>
  <si>
    <t>rozbudowa działu archeologicznego</t>
  </si>
  <si>
    <t>zakup 3 tłoków pieczętnych</t>
  </si>
  <si>
    <t>Ochrona zabytków i opieka nad zabytkami</t>
  </si>
  <si>
    <t>Nagrody o charakterze szczególnym niezaliczane do wynagrodzeń - KS</t>
  </si>
  <si>
    <r>
      <t>Zakup usług pozostałych -</t>
    </r>
    <r>
      <rPr>
        <i/>
        <sz val="9"/>
        <rFont val="Times New Roman CE"/>
        <family val="1"/>
      </rPr>
      <t xml:space="preserve"> KS</t>
    </r>
  </si>
  <si>
    <t>Wydatki na zakup i objęcie akcji, wniesienie wkładów do spółek prawa handlowego - RWZ</t>
  </si>
  <si>
    <t>budowa tzw. "Małpiego Gaju"</t>
  </si>
  <si>
    <t>budowa hali widowiskowo - sportowej</t>
  </si>
  <si>
    <t>"Budowa Centrum rekreacyjno - sportowego w Koszalinie"</t>
  </si>
  <si>
    <t>Zakup usług remontowych - RO</t>
  </si>
  <si>
    <t>własne i porozumienia</t>
  </si>
  <si>
    <t xml:space="preserve">w tym </t>
  </si>
  <si>
    <t>na podstawie porozumienia z organami administracji rządowej</t>
  </si>
  <si>
    <t>na podstawie porozumienia z jednostkami samorządu terytorialnego</t>
  </si>
  <si>
    <t>Stołówki szkolne</t>
  </si>
  <si>
    <t>Pozostałe wydatki</t>
  </si>
  <si>
    <r>
      <t xml:space="preserve">Dotacja celowa z budżetu na finansowanie  lub dofinansowanie zadań zleconych do realizacji stowarzyszeniom - </t>
    </r>
    <r>
      <rPr>
        <i/>
        <sz val="9"/>
        <rFont val="Times New Roman CE"/>
        <family val="1"/>
      </rPr>
      <t xml:space="preserve">czynsz </t>
    </r>
  </si>
  <si>
    <r>
      <t xml:space="preserve">Zakup materiałów i wyposażenia  </t>
    </r>
    <r>
      <rPr>
        <i/>
        <sz val="9"/>
        <rFont val="Times New Roman CE"/>
        <family val="1"/>
      </rPr>
      <t>RO</t>
    </r>
  </si>
  <si>
    <r>
      <t>Zakup usług pozostałych</t>
    </r>
    <r>
      <rPr>
        <i/>
        <sz val="9"/>
        <rFont val="Times New Roman CE"/>
        <family val="1"/>
      </rPr>
      <t xml:space="preserve"> RO</t>
    </r>
  </si>
  <si>
    <t>GOSPODARKA KOMUNALNA  I  OCHRONA ŚRODOWISKA</t>
  </si>
  <si>
    <t>Gospodarka ściekowa i ochrona wód</t>
  </si>
  <si>
    <t>1. Oczyszczalnia ścieków w Jamnie</t>
  </si>
  <si>
    <t>2. Uzbrojenie oś. "Unii Europejskiej"</t>
  </si>
  <si>
    <t>3. Kolektor XXVI</t>
  </si>
  <si>
    <t>4. Uzbrojenie osiedla " Podgórne-Batalionów Chłopskich"</t>
  </si>
  <si>
    <t>5. Kolektor sanitarny "A" - II etap</t>
  </si>
  <si>
    <t>6. Kanalizacja sanitarna w ul.Zwycięstwa (przy ul.Zdobywców Wału Pomorskiego)</t>
  </si>
  <si>
    <t>7. Uzbrojenie ul.Zdobywców Wału Pomorskiego - odcinek ul. Wopistów do ul. Sanatoryjnej</t>
  </si>
  <si>
    <t>8. Uzbrojenie ul.Zdobywców Wału Pomorskiego - odcinek ul. Sianowskiej do ul. Słonecznej</t>
  </si>
  <si>
    <t>Oczyszczanie miast i wsi</t>
  </si>
  <si>
    <t>Utrzymanie zieleni w miastach i gminach</t>
  </si>
  <si>
    <t>Schroniska dla zwierząt</t>
  </si>
  <si>
    <r>
      <t xml:space="preserve">Zakup usług pozostałych - </t>
    </r>
    <r>
      <rPr>
        <i/>
        <sz val="9"/>
        <rFont val="Times New Roman CE"/>
        <family val="1"/>
      </rPr>
      <t>bieżące utrzymanie</t>
    </r>
  </si>
  <si>
    <t>Oświetlenie ulic, placów i dróg</t>
  </si>
  <si>
    <t xml:space="preserve">Zakup usług remontowych </t>
  </si>
  <si>
    <t xml:space="preserve"> 1. Porządkowanie terenów i wysypisk</t>
  </si>
  <si>
    <t>2. Utrzymanie szaletów</t>
  </si>
  <si>
    <t>3. Rozbiórka szaletów - likwidacja szaletu przy ul.Andersa</t>
  </si>
  <si>
    <t>4. Estetyzacja</t>
  </si>
  <si>
    <t>5. Ogłoszenia prasowe</t>
  </si>
  <si>
    <t>6. Opracowania, ekspertyzy, opinie, organizacja przetargów</t>
  </si>
  <si>
    <t>7. Nagrody w konkursie ekologicznym</t>
  </si>
  <si>
    <t>1.Uzbrojenie terenów pod spółdzielcze budownictwo mieszkaniowe</t>
  </si>
  <si>
    <t>2. Magistrala wodociągowa do Dzierżęcina</t>
  </si>
  <si>
    <t>3. Rozbudowa cmentarza komunalnego</t>
  </si>
  <si>
    <t>4. Dokumentacja pod przyszłe inwestycje</t>
  </si>
  <si>
    <t>5. Uzbrojenie ulicy Szczecińskiej</t>
  </si>
  <si>
    <t>6. Wydatki na inwestycje zakończone</t>
  </si>
  <si>
    <t xml:space="preserve">Dotacje celowe z budżetu na finansowanie  lub dofinansowanie  inwestycji i zakupów inwestycyjnych jednostek nie zaliczanych do sektora finansów publicznych </t>
  </si>
  <si>
    <t xml:space="preserve"> SKB ul.Rodła</t>
  </si>
  <si>
    <t xml:space="preserve"> SKB "Os. 4-go Marca"</t>
  </si>
  <si>
    <t xml:space="preserve"> SKB  "Bałtyk"</t>
  </si>
  <si>
    <t xml:space="preserve"> SKB ul.Wawozowej</t>
  </si>
  <si>
    <t xml:space="preserve"> SKB Osiedla Unii Europejskiej</t>
  </si>
  <si>
    <t xml:space="preserve"> SKB Osiedle Parkowe</t>
  </si>
  <si>
    <t xml:space="preserve"> SKB ul. Artylerzystów</t>
  </si>
  <si>
    <t xml:space="preserve"> SKB Osiedle Piaskowe</t>
  </si>
  <si>
    <t xml:space="preserve"> SKB ul. Malw i Szafirków</t>
  </si>
  <si>
    <t xml:space="preserve"> SKB ul. Pankracego</t>
  </si>
  <si>
    <t xml:space="preserve"> SKB ul. Żytniej</t>
  </si>
  <si>
    <t xml:space="preserve"> SKB ul. Maków</t>
  </si>
  <si>
    <t xml:space="preserve"> SKB ul. Kupieckiej</t>
  </si>
  <si>
    <t>Wydatki na zakup i objęcie akcji oraz wniesienie wkładów do spółek prawa handlowego (PGK)</t>
  </si>
  <si>
    <t>Zadania w zakresie kinematografii</t>
  </si>
  <si>
    <t xml:space="preserve">Dotacja podmiotowa z budżetu dla instytucji kultury  </t>
  </si>
  <si>
    <r>
      <t xml:space="preserve">Zakup usług pozostałych - </t>
    </r>
    <r>
      <rPr>
        <i/>
        <sz val="9"/>
        <rFont val="Times New Roman CE"/>
        <family val="1"/>
      </rPr>
      <t xml:space="preserve">organizacja różnych imprez </t>
    </r>
  </si>
  <si>
    <t>Dotacja celowa z budżetu na finansowanie lub dofinansowanie zadań zleconych do realizacji stowarzyszeniom OP</t>
  </si>
  <si>
    <t>Dotacja podmiotowa z budżetu dla samorządowej instytucji kultury w tym:</t>
  </si>
  <si>
    <t>działalność bieżąca</t>
  </si>
  <si>
    <t>zakup zestawu komputerowego</t>
  </si>
  <si>
    <t xml:space="preserve">Dotacja podmiotowa z budżetu dla samorządowej instytucji kultury w tym:  </t>
  </si>
  <si>
    <t>"Lato Muzyczne z Filharmonią"</t>
  </si>
  <si>
    <t>MOK - gmina</t>
  </si>
  <si>
    <t>na imprezy</t>
  </si>
  <si>
    <t>wynajem sali w BTD na organizację MUZYKORAMY</t>
  </si>
  <si>
    <t>dożynki powiatowe</t>
  </si>
  <si>
    <t>remont projektorów w sali kinowej KBP</t>
  </si>
  <si>
    <t xml:space="preserve">Modernizacja budynku MOK </t>
  </si>
  <si>
    <r>
      <t>Wydatki inwestycyjne jednostek budżetowych -</t>
    </r>
    <r>
      <rPr>
        <i/>
        <sz val="8"/>
        <rFont val="Times New Roman CE"/>
        <family val="1"/>
      </rPr>
      <t>MDK</t>
    </r>
  </si>
  <si>
    <t>"Roczniki Koszalińskie"</t>
  </si>
  <si>
    <t>festiwal "Integracja Ja i Ty"</t>
  </si>
  <si>
    <t>remont i rozbudowa Muzeum</t>
  </si>
  <si>
    <t>przeniesienie wystawy archeologicznej z ul. Piłsudskiego</t>
  </si>
  <si>
    <t>zakup obrazów</t>
  </si>
  <si>
    <t>konferencja naukowa "Goci na Pomorzu"</t>
  </si>
  <si>
    <t>Dotacje celowe z budżetu na finansowanie  lub dofinansowanie kosztów realizacji inwestycji i zakupów inwestycyjnych  innych jednostek sektora finansów publicznych</t>
  </si>
  <si>
    <r>
      <t>Zakup usług remontowych -</t>
    </r>
    <r>
      <rPr>
        <i/>
        <sz val="9"/>
        <rFont val="Times New Roman CE"/>
        <family val="1"/>
      </rPr>
      <t>remont murów miejskich</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</si>
</sst>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00"/>
    <numFmt numFmtId="167" formatCode="&quot; zł&quot;#,##0.00_);[Red]\(&quot; zł&quot;#,##0.00\)"/>
    <numFmt numFmtId="168" formatCode="0.000"/>
  </numFmts>
  <fonts count="104">
    <font>
      <sz val="10"/>
      <name val="Arial CE"/>
      <family val="0"/>
    </font>
    <font>
      <sz val="12"/>
      <name val="Times New Roman CE"/>
      <family val="0"/>
    </font>
    <font>
      <b/>
      <sz val="14"/>
      <name val="Times New Roman CE"/>
      <family val="1"/>
    </font>
    <font>
      <sz val="14"/>
      <name val="Times New Roman CE"/>
      <family val="0"/>
    </font>
    <font>
      <sz val="10"/>
      <name val="Times New Roman CE"/>
      <family val="0"/>
    </font>
    <font>
      <b/>
      <sz val="12"/>
      <name val="Times New Roman CE"/>
      <family val="0"/>
    </font>
    <font>
      <b/>
      <sz val="10"/>
      <name val="Times New Roman CE"/>
      <family val="0"/>
    </font>
    <font>
      <b/>
      <sz val="8"/>
      <name val="Times New Roman CE"/>
      <family val="1"/>
    </font>
    <font>
      <b/>
      <sz val="9"/>
      <name val="Times New Roman CE"/>
      <family val="1"/>
    </font>
    <font>
      <sz val="8"/>
      <name val="Times New Roman CE"/>
      <family val="1"/>
    </font>
    <font>
      <sz val="9"/>
      <name val="Times New Roman CE"/>
      <family val="1"/>
    </font>
    <font>
      <b/>
      <sz val="11"/>
      <name val="Times New Roman CE"/>
      <family val="1"/>
    </font>
    <font>
      <sz val="11"/>
      <name val="Times New Roman CE"/>
      <family val="1"/>
    </font>
    <font>
      <i/>
      <sz val="9"/>
      <name val="Times New Roman CE"/>
      <family val="1"/>
    </font>
    <font>
      <i/>
      <sz val="10"/>
      <name val="Times New Roman CE"/>
      <family val="1"/>
    </font>
    <font>
      <sz val="10"/>
      <name val="Times New Roman"/>
      <family val="1"/>
    </font>
    <font>
      <b/>
      <sz val="10"/>
      <name val="Times New Roman"/>
      <family val="1"/>
    </font>
    <font>
      <i/>
      <sz val="10"/>
      <name val="Times New Roman"/>
      <family val="1"/>
    </font>
    <font>
      <b/>
      <sz val="12"/>
      <name val="Times New Roman"/>
      <family val="1"/>
    </font>
    <font>
      <b/>
      <sz val="14"/>
      <name val="Times New Roman"/>
      <family val="1"/>
    </font>
    <font>
      <b/>
      <sz val="15"/>
      <name val="Times New Roman"/>
      <family val="1"/>
    </font>
    <font>
      <sz val="15"/>
      <name val="Times New Roman"/>
      <family val="1"/>
    </font>
    <font>
      <i/>
      <sz val="15"/>
      <name val="Times New Roman"/>
      <family val="1"/>
    </font>
    <font>
      <sz val="12"/>
      <name val="Times New Roman"/>
      <family val="1"/>
    </font>
    <font>
      <b/>
      <sz val="7"/>
      <name val="Times New Roman"/>
      <family val="1"/>
    </font>
    <font>
      <b/>
      <i/>
      <sz val="8"/>
      <name val="Times New Roman"/>
      <family val="1"/>
    </font>
    <font>
      <b/>
      <sz val="8"/>
      <name val="Times New Roman"/>
      <family val="1"/>
    </font>
    <font>
      <b/>
      <sz val="13"/>
      <name val="Times New Roman"/>
      <family val="1"/>
    </font>
    <font>
      <b/>
      <i/>
      <sz val="13"/>
      <name val="Times New Roman"/>
      <family val="1"/>
    </font>
    <font>
      <b/>
      <i/>
      <sz val="12"/>
      <name val="Times New Roman"/>
      <family val="1"/>
    </font>
    <font>
      <b/>
      <sz val="11"/>
      <name val="Times New Roman"/>
      <family val="1"/>
    </font>
    <font>
      <sz val="8"/>
      <name val="Times New Roman"/>
      <family val="1"/>
    </font>
    <font>
      <b/>
      <i/>
      <sz val="9"/>
      <name val="Times New Roman"/>
      <family val="1"/>
    </font>
    <font>
      <b/>
      <sz val="9"/>
      <name val="Times New Roman"/>
      <family val="1"/>
    </font>
    <font>
      <b/>
      <i/>
      <sz val="11"/>
      <name val="Times New Roman"/>
      <family val="1"/>
    </font>
    <font>
      <b/>
      <i/>
      <sz val="10"/>
      <name val="Times New Roman"/>
      <family val="1"/>
    </font>
    <font>
      <i/>
      <sz val="9"/>
      <name val="Times New Roman"/>
      <family val="1"/>
    </font>
    <font>
      <i/>
      <sz val="11"/>
      <name val="Times New Roman"/>
      <family val="1"/>
    </font>
    <font>
      <sz val="13"/>
      <name val="Times New Roman"/>
      <family val="1"/>
    </font>
    <font>
      <sz val="11"/>
      <name val="Times New Roman"/>
      <family val="1"/>
    </font>
    <font>
      <i/>
      <sz val="8"/>
      <name val="Times New Roman"/>
      <family val="1"/>
    </font>
    <font>
      <sz val="9"/>
      <name val="Times New Roman"/>
      <family val="1"/>
    </font>
    <font>
      <b/>
      <sz val="16"/>
      <name val="Times New Roman"/>
      <family val="1"/>
    </font>
    <font>
      <i/>
      <sz val="13"/>
      <name val="Times New Roman"/>
      <family val="1"/>
    </font>
    <font>
      <b/>
      <u val="single"/>
      <sz val="14"/>
      <name val="Times New Roman"/>
      <family val="1"/>
    </font>
    <font>
      <b/>
      <sz val="6"/>
      <name val="Times New Roman"/>
      <family val="1"/>
    </font>
    <font>
      <sz val="6"/>
      <name val="Times New Roman"/>
      <family val="1"/>
    </font>
    <font>
      <b/>
      <sz val="13"/>
      <name val="Times New Roman CE"/>
      <family val="1"/>
    </font>
    <font>
      <sz val="13"/>
      <name val="Times New Roman CE"/>
      <family val="1"/>
    </font>
    <font>
      <b/>
      <i/>
      <sz val="10"/>
      <name val="Times New Roman CE"/>
      <family val="1"/>
    </font>
    <font>
      <sz val="10"/>
      <color indexed="8"/>
      <name val="Arial Narrow"/>
      <family val="2"/>
    </font>
    <font>
      <sz val="11"/>
      <color indexed="8"/>
      <name val="Arial Narrow"/>
      <family val="2"/>
    </font>
    <font>
      <sz val="12"/>
      <color indexed="8"/>
      <name val="Times New Roman"/>
      <family val="1"/>
    </font>
    <font>
      <b/>
      <sz val="14"/>
      <color indexed="8"/>
      <name val="Times New Roman CE"/>
      <family val="1"/>
    </font>
    <font>
      <sz val="10"/>
      <color indexed="8"/>
      <name val="Times New Roman CE"/>
      <family val="1"/>
    </font>
    <font>
      <b/>
      <sz val="12"/>
      <color indexed="8"/>
      <name val="Times New Roman CE"/>
      <family val="1"/>
    </font>
    <font>
      <sz val="8"/>
      <color indexed="8"/>
      <name val="Times New Roman CE"/>
      <family val="1"/>
    </font>
    <font>
      <sz val="12"/>
      <color indexed="8"/>
      <name val="Times New Roman CE"/>
      <family val="1"/>
    </font>
    <font>
      <b/>
      <sz val="10"/>
      <color indexed="8"/>
      <name val="Times New Roman CE"/>
      <family val="1"/>
    </font>
    <font>
      <b/>
      <i/>
      <sz val="12"/>
      <color indexed="8"/>
      <name val="Times New Roman CE"/>
      <family val="1"/>
    </font>
    <font>
      <b/>
      <i/>
      <sz val="11"/>
      <color indexed="8"/>
      <name val="Times New Roman CE"/>
      <family val="1"/>
    </font>
    <font>
      <b/>
      <sz val="13"/>
      <color indexed="8"/>
      <name val="Times New Roman CE"/>
      <family val="1"/>
    </font>
    <font>
      <b/>
      <i/>
      <sz val="10"/>
      <color indexed="8"/>
      <name val="Times New Roman CE"/>
      <family val="1"/>
    </font>
    <font>
      <b/>
      <sz val="13"/>
      <color indexed="8"/>
      <name val="Arial Narrow"/>
      <family val="2"/>
    </font>
    <font>
      <b/>
      <i/>
      <sz val="11"/>
      <name val="Times New Roman CE"/>
      <family val="1"/>
    </font>
    <font>
      <b/>
      <sz val="7"/>
      <name val="Times New Roman CE"/>
      <family val="1"/>
    </font>
    <font>
      <sz val="7"/>
      <name val="Times New Roman CE"/>
      <family val="1"/>
    </font>
    <font>
      <sz val="6"/>
      <name val="Times New Roman CE"/>
      <family val="1"/>
    </font>
    <font>
      <b/>
      <sz val="14"/>
      <name val="Arial CE"/>
      <family val="2"/>
    </font>
    <font>
      <sz val="9"/>
      <name val="Arial CE"/>
      <family val="0"/>
    </font>
    <font>
      <sz val="14"/>
      <name val="Times New Roman"/>
      <family val="1"/>
    </font>
    <font>
      <sz val="7"/>
      <name val="Times New Roman"/>
      <family val="1"/>
    </font>
    <font>
      <sz val="14"/>
      <name val="Arial CE"/>
      <family val="0"/>
    </font>
    <font>
      <b/>
      <i/>
      <sz val="12"/>
      <name val="Times New Roman CE"/>
      <family val="1"/>
    </font>
    <font>
      <b/>
      <i/>
      <sz val="8"/>
      <name val="Times New Roman CE"/>
      <family val="1"/>
    </font>
    <font>
      <i/>
      <sz val="10"/>
      <name val="Arial CE"/>
      <family val="0"/>
    </font>
    <font>
      <b/>
      <sz val="16"/>
      <name val="Times New Roman CE"/>
      <family val="1"/>
    </font>
    <font>
      <b/>
      <i/>
      <sz val="9"/>
      <name val="Times New Roman CE"/>
      <family val="1"/>
    </font>
    <font>
      <b/>
      <sz val="6"/>
      <name val="Times New Roman CE"/>
      <family val="1"/>
    </font>
    <font>
      <i/>
      <sz val="12"/>
      <name val="Arial CE"/>
      <family val="0"/>
    </font>
    <font>
      <i/>
      <sz val="12"/>
      <name val="Times New Roman CE"/>
      <family val="1"/>
    </font>
    <font>
      <b/>
      <i/>
      <sz val="12"/>
      <name val="Arial CE"/>
      <family val="0"/>
    </font>
    <font>
      <b/>
      <sz val="13"/>
      <name val="Arial CE"/>
      <family val="0"/>
    </font>
    <font>
      <sz val="12"/>
      <name val="Arial CE"/>
      <family val="0"/>
    </font>
    <font>
      <sz val="10"/>
      <name val="MS Sans Serif"/>
      <family val="0"/>
    </font>
    <font>
      <b/>
      <i/>
      <sz val="11"/>
      <name val="Arial CE"/>
      <family val="0"/>
    </font>
    <font>
      <i/>
      <sz val="7"/>
      <name val="Times New Roman CE"/>
      <family val="1"/>
    </font>
    <font>
      <i/>
      <sz val="8"/>
      <name val="Times New Roman CE"/>
      <family val="1"/>
    </font>
    <font>
      <b/>
      <i/>
      <sz val="7"/>
      <name val="Times New Roman CE"/>
      <family val="1"/>
    </font>
    <font>
      <b/>
      <sz val="10"/>
      <name val="Arial CE"/>
      <family val="0"/>
    </font>
    <font>
      <i/>
      <sz val="7"/>
      <name val="Times New Roman"/>
      <family val="1"/>
    </font>
    <font>
      <b/>
      <sz val="12"/>
      <name val="Arial CE"/>
      <family val="0"/>
    </font>
    <font>
      <sz val="8"/>
      <name val="Arial CE"/>
      <family val="2"/>
    </font>
    <font>
      <b/>
      <sz val="9"/>
      <color indexed="8"/>
      <name val="Times New Roman CE"/>
      <family val="1"/>
    </font>
    <font>
      <b/>
      <sz val="8"/>
      <color indexed="8"/>
      <name val="Times New Roman CE"/>
      <family val="1"/>
    </font>
    <font>
      <b/>
      <sz val="10"/>
      <color indexed="10"/>
      <name val="Times New Roman CE"/>
      <family val="1"/>
    </font>
    <font>
      <b/>
      <sz val="8"/>
      <color indexed="10"/>
      <name val="Times New Roman CE"/>
      <family val="1"/>
    </font>
    <font>
      <sz val="16"/>
      <name val="Times New Roman"/>
      <family val="1"/>
    </font>
    <font>
      <i/>
      <sz val="16"/>
      <name val="Times New Roman"/>
      <family val="1"/>
    </font>
    <font>
      <sz val="11"/>
      <name val="Arial CE"/>
      <family val="0"/>
    </font>
    <font>
      <i/>
      <sz val="11"/>
      <name val="Times New Roman CE"/>
      <family val="0"/>
    </font>
    <font>
      <b/>
      <sz val="9"/>
      <name val="Arial CE"/>
      <family val="0"/>
    </font>
    <font>
      <vertAlign val="superscript"/>
      <sz val="10"/>
      <name val="Times New Roman CE"/>
      <family val="1"/>
    </font>
    <font>
      <b/>
      <sz val="11"/>
      <name val="Arial CE"/>
      <family val="0"/>
    </font>
  </fonts>
  <fills count="3">
    <fill>
      <patternFill/>
    </fill>
    <fill>
      <patternFill patternType="gray125"/>
    </fill>
    <fill>
      <patternFill patternType="solid">
        <fgColor indexed="9"/>
        <bgColor indexed="64"/>
      </patternFill>
    </fill>
  </fills>
  <borders count="137">
    <border>
      <left/>
      <right/>
      <top/>
      <bottom/>
      <diagonal/>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double"/>
      <bottom style="double"/>
    </border>
    <border>
      <left style="thin"/>
      <right style="thin"/>
      <top style="double"/>
      <bottom style="double"/>
    </border>
    <border>
      <left style="thin"/>
      <right style="medium"/>
      <top style="double"/>
      <bottom style="double"/>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thin"/>
      <right style="double"/>
      <top style="medium"/>
      <bottom>
        <color indexed="63"/>
      </bottom>
    </border>
    <border>
      <left>
        <color indexed="63"/>
      </left>
      <right>
        <color indexed="63"/>
      </right>
      <top style="medium"/>
      <bottom>
        <color indexed="63"/>
      </bottom>
    </border>
    <border>
      <left>
        <color indexed="63"/>
      </left>
      <right style="thin"/>
      <top style="medium"/>
      <bottom style="double"/>
    </border>
    <border>
      <left style="thin"/>
      <right style="thin"/>
      <top style="medium"/>
      <bottom style="double"/>
    </border>
    <border>
      <left style="thin"/>
      <right style="double"/>
      <top style="medium"/>
      <bottom style="double"/>
    </border>
    <border>
      <left style="thin"/>
      <right style="medium"/>
      <top style="medium"/>
      <bottom style="double"/>
    </border>
    <border>
      <left style="medium"/>
      <right style="thin"/>
      <top>
        <color indexed="63"/>
      </top>
      <bottom style="thin"/>
    </border>
    <border>
      <left style="thin"/>
      <right style="double"/>
      <top>
        <color indexed="63"/>
      </top>
      <bottom style="thin"/>
    </border>
    <border>
      <left style="double"/>
      <right style="double"/>
      <top style="double"/>
      <bottom style="double"/>
    </border>
    <border>
      <left>
        <color indexed="63"/>
      </left>
      <right style="thin"/>
      <top style="double"/>
      <bottom style="thin"/>
    </border>
    <border>
      <left>
        <color indexed="63"/>
      </left>
      <right style="thin"/>
      <top style="double"/>
      <bottom>
        <color indexed="63"/>
      </bottom>
    </border>
    <border>
      <left style="thin"/>
      <right style="double"/>
      <top style="double"/>
      <bottom style="thin"/>
    </border>
    <border>
      <left style="thin"/>
      <right style="medium"/>
      <top style="double"/>
      <bottom style="thin"/>
    </border>
    <border>
      <left style="thin"/>
      <right style="double"/>
      <top style="double"/>
      <bottom style="double"/>
    </border>
    <border>
      <left>
        <color indexed="63"/>
      </left>
      <right style="thin"/>
      <top style="double"/>
      <bottom style="double"/>
    </border>
    <border>
      <left style="medium"/>
      <right style="thin"/>
      <top style="thin"/>
      <bottom>
        <color indexed="63"/>
      </bottom>
    </border>
    <border>
      <left style="thin"/>
      <right style="double"/>
      <top style="thin"/>
      <bottom>
        <color indexed="63"/>
      </bottom>
    </border>
    <border>
      <left style="double"/>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double"/>
      <top>
        <color indexed="63"/>
      </top>
      <bottom>
        <color indexed="63"/>
      </bottom>
    </border>
    <border>
      <left style="double"/>
      <right style="double"/>
      <top>
        <color indexed="63"/>
      </top>
      <bottom>
        <color indexed="63"/>
      </bottom>
    </border>
    <border>
      <left>
        <color indexed="63"/>
      </left>
      <right style="thin"/>
      <top>
        <color indexed="63"/>
      </top>
      <bottom>
        <color indexed="63"/>
      </bottom>
    </border>
    <border>
      <left style="double"/>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double"/>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double"/>
      <bottom>
        <color indexed="63"/>
      </bottom>
    </border>
    <border>
      <left>
        <color indexed="63"/>
      </left>
      <right style="double"/>
      <top style="double"/>
      <bottom>
        <color indexed="63"/>
      </bottom>
    </border>
    <border>
      <left style="double"/>
      <right style="double"/>
      <top style="double"/>
      <bottom>
        <color indexed="63"/>
      </bottom>
    </border>
    <border>
      <left style="double"/>
      <right style="thin"/>
      <top style="double"/>
      <bottom>
        <color indexed="63"/>
      </bottom>
    </border>
    <border>
      <left style="thin"/>
      <right style="double"/>
      <top style="double"/>
      <bottom>
        <color indexed="63"/>
      </bottom>
    </border>
    <border>
      <left style="double"/>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double"/>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uble"/>
      <top style="medium"/>
      <bottom>
        <color indexed="63"/>
      </bottom>
    </border>
    <border>
      <left>
        <color indexed="63"/>
      </left>
      <right>
        <color indexed="63"/>
      </right>
      <top style="medium"/>
      <bottom style="double"/>
    </border>
    <border>
      <left>
        <color indexed="63"/>
      </left>
      <right style="double"/>
      <top style="medium"/>
      <bottom style="double"/>
    </border>
    <border>
      <left>
        <color indexed="63"/>
      </left>
      <right style="medium"/>
      <top style="medium"/>
      <bottom style="double"/>
    </border>
    <border>
      <left>
        <color indexed="63"/>
      </left>
      <right style="thin"/>
      <top style="thin"/>
      <bottom style="thin"/>
    </border>
    <border>
      <left style="thin"/>
      <right style="thin"/>
      <top style="thin"/>
      <bottom style="double"/>
    </border>
    <border>
      <left style="thin"/>
      <right style="double"/>
      <top style="thin"/>
      <bottom style="thin"/>
    </border>
    <border>
      <left style="thin"/>
      <right style="double"/>
      <top style="thin"/>
      <bottom style="double"/>
    </border>
    <border>
      <left style="thin"/>
      <right style="medium"/>
      <top style="thin"/>
      <bottom style="double"/>
    </border>
    <border>
      <left style="thin"/>
      <right>
        <color indexed="63"/>
      </right>
      <top style="double"/>
      <bottom style="double"/>
    </border>
    <border>
      <left>
        <color indexed="63"/>
      </left>
      <right style="double"/>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double"/>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color indexed="63"/>
      </left>
      <right style="medium"/>
      <top style="medium"/>
      <bottom>
        <color indexed="63"/>
      </bottom>
    </border>
    <border>
      <left>
        <color indexed="63"/>
      </left>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double"/>
      <top>
        <color indexed="63"/>
      </top>
      <bottom style="double"/>
    </border>
    <border>
      <left style="double"/>
      <right style="thin"/>
      <top>
        <color indexed="63"/>
      </top>
      <bottom style="double"/>
    </border>
    <border>
      <left>
        <color indexed="63"/>
      </left>
      <right style="medium"/>
      <top>
        <color indexed="63"/>
      </top>
      <bottom style="double"/>
    </border>
    <border>
      <left style="double"/>
      <right style="thin"/>
      <top>
        <color indexed="63"/>
      </top>
      <bottom style="thin"/>
    </border>
    <border>
      <left style="double"/>
      <right>
        <color indexed="63"/>
      </right>
      <top style="double"/>
      <bottom style="thin"/>
    </border>
    <border>
      <left style="thin"/>
      <right style="thin"/>
      <top style="double"/>
      <bottom style="thin"/>
    </border>
    <border>
      <left style="double"/>
      <right style="thin"/>
      <top style="double"/>
      <bottom style="double"/>
    </border>
    <border>
      <left style="double"/>
      <right>
        <color indexed="63"/>
      </right>
      <top style="double"/>
      <bottom style="double"/>
    </border>
    <border>
      <left>
        <color indexed="63"/>
      </left>
      <right>
        <color indexed="63"/>
      </right>
      <top style="double"/>
      <bottom style="double"/>
    </border>
    <border>
      <left style="double"/>
      <right>
        <color indexed="63"/>
      </right>
      <top>
        <color indexed="63"/>
      </top>
      <bottom style="thin"/>
    </border>
    <border>
      <left>
        <color indexed="63"/>
      </left>
      <right>
        <color indexed="63"/>
      </right>
      <top style="double"/>
      <bottom>
        <color indexed="63"/>
      </bottom>
    </border>
    <border>
      <left style="double"/>
      <right style="thin"/>
      <top style="thin"/>
      <bottom style="thin"/>
    </border>
    <border>
      <left style="double"/>
      <right style="thin"/>
      <top style="thin"/>
      <bottom style="double"/>
    </border>
    <border>
      <left style="double"/>
      <right style="double"/>
      <top style="double"/>
      <bottom style="thin"/>
    </border>
    <border>
      <left>
        <color indexed="63"/>
      </left>
      <right style="double"/>
      <top style="double"/>
      <bottom style="thin"/>
    </border>
    <border>
      <left>
        <color indexed="63"/>
      </left>
      <right style="double"/>
      <top style="double"/>
      <bottom style="double"/>
    </border>
    <border>
      <left style="double"/>
      <right style="double"/>
      <top>
        <color indexed="63"/>
      </top>
      <bottom style="double"/>
    </border>
    <border>
      <left style="thin"/>
      <right>
        <color indexed="63"/>
      </right>
      <top style="double"/>
      <bottom>
        <color indexed="63"/>
      </bottom>
    </border>
    <border>
      <left>
        <color indexed="63"/>
      </left>
      <right>
        <color indexed="63"/>
      </right>
      <top style="double"/>
      <bottom style="thin"/>
    </border>
    <border>
      <left style="double"/>
      <right style="thin"/>
      <top style="double"/>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style="double"/>
      <right style="double"/>
      <top style="thin"/>
      <bottom style="thin"/>
    </border>
    <border>
      <left>
        <color indexed="63"/>
      </left>
      <right>
        <color indexed="63"/>
      </right>
      <top style="thin"/>
      <bottom style="thin"/>
    </border>
    <border>
      <left>
        <color indexed="63"/>
      </left>
      <right style="thick"/>
      <top>
        <color indexed="63"/>
      </top>
      <bottom>
        <color indexed="63"/>
      </bottom>
    </border>
    <border>
      <left style="double"/>
      <right>
        <color indexed="63"/>
      </right>
      <top>
        <color indexed="63"/>
      </top>
      <bottom style="double"/>
    </border>
    <border>
      <left style="double"/>
      <right>
        <color indexed="63"/>
      </right>
      <top style="thin"/>
      <bottom>
        <color indexed="63"/>
      </bottom>
    </border>
    <border>
      <left style="double"/>
      <right>
        <color indexed="63"/>
      </right>
      <top style="thin"/>
      <bottom style="thin"/>
    </border>
    <border>
      <left style="thin"/>
      <right>
        <color indexed="63"/>
      </right>
      <top style="double"/>
      <bottom style="thin"/>
    </border>
    <border>
      <left style="double"/>
      <right style="thin"/>
      <top>
        <color indexed="63"/>
      </top>
      <bottom style="thick"/>
    </border>
    <border>
      <left style="thin"/>
      <right style="double"/>
      <top>
        <color indexed="63"/>
      </top>
      <bottom style="thick"/>
    </border>
    <border>
      <left>
        <color indexed="63"/>
      </left>
      <right style="thin"/>
      <top>
        <color indexed="63"/>
      </top>
      <bottom style="thick"/>
    </border>
    <border>
      <left style="thin"/>
      <right style="thin"/>
      <top>
        <color indexed="63"/>
      </top>
      <bottom style="thick"/>
    </border>
    <border>
      <left style="thin"/>
      <right>
        <color indexed="63"/>
      </right>
      <top>
        <color indexed="63"/>
      </top>
      <bottom style="thick"/>
    </border>
    <border>
      <left style="double"/>
      <right style="double"/>
      <top style="thin"/>
      <bottom style="double"/>
    </border>
    <border>
      <left style="double"/>
      <right>
        <color indexed="63"/>
      </right>
      <top>
        <color indexed="63"/>
      </top>
      <bottom style="medium"/>
    </border>
    <border>
      <left>
        <color indexed="63"/>
      </left>
      <right style="thin"/>
      <top style="thin"/>
      <bottom style="double"/>
    </border>
    <border>
      <left>
        <color indexed="63"/>
      </left>
      <right style="double"/>
      <top style="thin"/>
      <bottom style="double"/>
    </border>
    <border>
      <left>
        <color indexed="63"/>
      </left>
      <right>
        <color indexed="63"/>
      </right>
      <top style="thin"/>
      <bottom style="double"/>
    </border>
    <border>
      <left style="thin"/>
      <right>
        <color indexed="63"/>
      </right>
      <top>
        <color indexed="63"/>
      </top>
      <bottom style="double"/>
    </border>
    <border>
      <left style="medium"/>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4"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43">
    <xf numFmtId="0" fontId="0" fillId="0" borderId="0" xfId="0" applyAlignment="1">
      <alignment/>
    </xf>
    <xf numFmtId="0" fontId="1"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Continuous" vertical="center" wrapText="1"/>
      <protection/>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Continuous" vertical="center"/>
      <protection/>
    </xf>
    <xf numFmtId="0" fontId="3" fillId="0" borderId="0" xfId="0" applyNumberFormat="1" applyFont="1" applyFill="1" applyBorder="1" applyAlignment="1" applyProtection="1">
      <alignment horizontal="centerContinuous"/>
      <protection/>
    </xf>
    <xf numFmtId="0" fontId="3" fillId="0" borderId="0" xfId="0" applyNumberFormat="1" applyFont="1" applyFill="1" applyBorder="1" applyAlignment="1" applyProtection="1">
      <alignment horizontal="centerContinuous" wrapText="1"/>
      <protection/>
    </xf>
    <xf numFmtId="1" fontId="3" fillId="0" borderId="0" xfId="0" applyNumberFormat="1" applyFont="1" applyFill="1" applyBorder="1" applyAlignment="1" applyProtection="1">
      <alignment horizontal="centerContinuous"/>
      <protection/>
    </xf>
    <xf numFmtId="1"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Continuous" vertical="center"/>
      <protection/>
    </xf>
    <xf numFmtId="0" fontId="1" fillId="0" borderId="3" xfId="0" applyNumberFormat="1" applyFont="1" applyFill="1" applyBorder="1" applyAlignment="1" applyProtection="1">
      <alignment horizontal="centerContinuous" vertical="center"/>
      <protection/>
    </xf>
    <xf numFmtId="0" fontId="6" fillId="0" borderId="3" xfId="0" applyNumberFormat="1" applyFont="1" applyFill="1" applyBorder="1" applyAlignment="1" applyProtection="1">
      <alignment horizontal="centerContinuous" vertical="center"/>
      <protection/>
    </xf>
    <xf numFmtId="0" fontId="4" fillId="0" borderId="4" xfId="0" applyNumberFormat="1" applyFont="1" applyFill="1" applyBorder="1" applyAlignment="1" applyProtection="1">
      <alignment horizontal="centerContinuous" vertical="center"/>
      <protection/>
    </xf>
    <xf numFmtId="0" fontId="6"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3" fontId="11" fillId="0" borderId="12" xfId="0" applyNumberFormat="1" applyFont="1" applyFill="1" applyBorder="1" applyAlignment="1" applyProtection="1">
      <alignment horizontal="right" vertical="center"/>
      <protection/>
    </xf>
    <xf numFmtId="164" fontId="11" fillId="0" borderId="12" xfId="0" applyNumberFormat="1" applyFont="1" applyFill="1" applyBorder="1" applyAlignment="1" applyProtection="1">
      <alignment vertical="center"/>
      <protection/>
    </xf>
    <xf numFmtId="165" fontId="11" fillId="0" borderId="12" xfId="0" applyNumberFormat="1" applyFont="1" applyFill="1" applyBorder="1" applyAlignment="1" applyProtection="1">
      <alignment vertical="center"/>
      <protection/>
    </xf>
    <xf numFmtId="165" fontId="11" fillId="0" borderId="13"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vertical="center" wrapText="1"/>
      <protection/>
    </xf>
    <xf numFmtId="3" fontId="8" fillId="0" borderId="6" xfId="0" applyNumberFormat="1" applyFont="1" applyFill="1" applyBorder="1" applyAlignment="1" applyProtection="1">
      <alignment vertical="center"/>
      <protection/>
    </xf>
    <xf numFmtId="164" fontId="8" fillId="0" borderId="6" xfId="0" applyNumberFormat="1" applyFont="1" applyFill="1" applyBorder="1" applyAlignment="1" applyProtection="1">
      <alignment vertical="center"/>
      <protection/>
    </xf>
    <xf numFmtId="165" fontId="8" fillId="0" borderId="6" xfId="0" applyNumberFormat="1" applyFont="1" applyFill="1" applyBorder="1" applyAlignment="1" applyProtection="1">
      <alignment vertical="center"/>
      <protection/>
    </xf>
    <xf numFmtId="165" fontId="8" fillId="0" borderId="7" xfId="0" applyNumberFormat="1" applyFont="1" applyFill="1" applyBorder="1" applyAlignment="1" applyProtection="1">
      <alignment vertical="center"/>
      <protection/>
    </xf>
    <xf numFmtId="0" fontId="8" fillId="0" borderId="0" xfId="0" applyNumberFormat="1" applyFont="1" applyFill="1" applyBorder="1" applyAlignment="1" applyProtection="1">
      <alignment/>
      <protection/>
    </xf>
    <xf numFmtId="0" fontId="11" fillId="0" borderId="5" xfId="0" applyNumberFormat="1" applyFont="1" applyFill="1" applyBorder="1" applyAlignment="1" applyProtection="1">
      <alignment horizontal="center" vertical="center"/>
      <protection/>
    </xf>
    <xf numFmtId="0" fontId="6" fillId="0" borderId="6" xfId="0" applyNumberFormat="1" applyFont="1" applyFill="1" applyBorder="1" applyAlignment="1" applyProtection="1">
      <alignment vertical="center" wrapText="1"/>
      <protection/>
    </xf>
    <xf numFmtId="3" fontId="11" fillId="0" borderId="6" xfId="0" applyNumberFormat="1" applyFont="1" applyFill="1" applyBorder="1" applyAlignment="1" applyProtection="1">
      <alignment horizontal="right" vertical="center"/>
      <protection/>
    </xf>
    <xf numFmtId="164" fontId="12" fillId="0" borderId="6" xfId="0" applyNumberFormat="1" applyFont="1" applyFill="1" applyBorder="1" applyAlignment="1" applyProtection="1">
      <alignment vertical="center"/>
      <protection/>
    </xf>
    <xf numFmtId="165" fontId="12" fillId="0" borderId="6" xfId="0" applyNumberFormat="1" applyFont="1" applyFill="1" applyBorder="1" applyAlignment="1" applyProtection="1">
      <alignment vertical="center"/>
      <protection/>
    </xf>
    <xf numFmtId="165" fontId="12" fillId="0" borderId="7" xfId="0" applyNumberFormat="1" applyFont="1" applyFill="1" applyBorder="1" applyAlignment="1" applyProtection="1">
      <alignment vertical="center"/>
      <protection/>
    </xf>
    <xf numFmtId="0" fontId="14" fillId="0" borderId="5"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vertical="center" wrapText="1"/>
      <protection/>
    </xf>
    <xf numFmtId="3" fontId="14" fillId="0" borderId="6" xfId="0" applyNumberFormat="1" applyFont="1" applyFill="1" applyBorder="1" applyAlignment="1" applyProtection="1">
      <alignment vertical="center"/>
      <protection/>
    </xf>
    <xf numFmtId="164" fontId="14" fillId="0" borderId="6" xfId="0" applyNumberFormat="1" applyFont="1" applyFill="1" applyBorder="1" applyAlignment="1" applyProtection="1">
      <alignment vertical="center"/>
      <protection/>
    </xf>
    <xf numFmtId="165" fontId="14" fillId="0" borderId="6" xfId="0" applyNumberFormat="1" applyFont="1" applyFill="1" applyBorder="1" applyAlignment="1" applyProtection="1">
      <alignment vertical="center"/>
      <protection/>
    </xf>
    <xf numFmtId="165" fontId="14" fillId="0" borderId="7"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14" fillId="0" borderId="0" xfId="0" applyNumberFormat="1" applyFont="1" applyFill="1" applyBorder="1" applyAlignment="1" applyProtection="1">
      <alignment vertical="center"/>
      <protection/>
    </xf>
    <xf numFmtId="3" fontId="11" fillId="0" borderId="6" xfId="0" applyNumberFormat="1" applyFont="1" applyFill="1" applyBorder="1" applyAlignment="1" applyProtection="1">
      <alignment vertical="center"/>
      <protection/>
    </xf>
    <xf numFmtId="164" fontId="11" fillId="0" borderId="6" xfId="0" applyNumberFormat="1" applyFont="1" applyFill="1" applyBorder="1" applyAlignment="1" applyProtection="1">
      <alignment vertical="center"/>
      <protection/>
    </xf>
    <xf numFmtId="165" fontId="11" fillId="0" borderId="6" xfId="0" applyNumberFormat="1" applyFont="1" applyFill="1" applyBorder="1" applyAlignment="1" applyProtection="1">
      <alignment vertical="center"/>
      <protection/>
    </xf>
    <xf numFmtId="165" fontId="11" fillId="0" borderId="7"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3" fontId="11" fillId="0" borderId="12" xfId="0" applyNumberFormat="1" applyFont="1" applyFill="1" applyBorder="1" applyAlignment="1" applyProtection="1">
      <alignment vertical="center"/>
      <protection/>
    </xf>
    <xf numFmtId="0" fontId="5" fillId="0" borderId="14" xfId="0" applyNumberFormat="1" applyFont="1" applyFill="1" applyBorder="1" applyAlignment="1" applyProtection="1">
      <alignment horizontal="centerContinuous" vertical="center"/>
      <protection/>
    </xf>
    <xf numFmtId="0" fontId="5" fillId="0" borderId="15" xfId="0" applyNumberFormat="1" applyFont="1" applyFill="1" applyBorder="1" applyAlignment="1" applyProtection="1">
      <alignment horizontal="left" vertical="center"/>
      <protection/>
    </xf>
    <xf numFmtId="3" fontId="5" fillId="0" borderId="15" xfId="0" applyNumberFormat="1" applyFont="1" applyFill="1" applyBorder="1" applyAlignment="1" applyProtection="1">
      <alignment vertical="center"/>
      <protection/>
    </xf>
    <xf numFmtId="164" fontId="5" fillId="0" borderId="15" xfId="0" applyNumberFormat="1" applyFont="1" applyFill="1" applyBorder="1" applyAlignment="1" applyProtection="1">
      <alignment vertical="center"/>
      <protection/>
    </xf>
    <xf numFmtId="165" fontId="5" fillId="0" borderId="15" xfId="0" applyNumberFormat="1" applyFont="1" applyFill="1" applyBorder="1" applyAlignment="1" applyProtection="1">
      <alignment horizontal="center" vertical="center"/>
      <protection/>
    </xf>
    <xf numFmtId="165" fontId="5" fillId="0" borderId="16"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5" fillId="0" borderId="17" xfId="0" applyNumberFormat="1" applyFont="1" applyFill="1" applyBorder="1" applyAlignment="1" applyProtection="1">
      <alignment horizontal="centerContinuous" vertical="center"/>
      <protection/>
    </xf>
    <xf numFmtId="0" fontId="5" fillId="0" borderId="18" xfId="0" applyNumberFormat="1" applyFont="1" applyFill="1" applyBorder="1" applyAlignment="1" applyProtection="1">
      <alignment horizontal="left" vertical="center"/>
      <protection/>
    </xf>
    <xf numFmtId="3" fontId="5" fillId="0" borderId="18" xfId="0" applyNumberFormat="1" applyFont="1" applyFill="1" applyBorder="1" applyAlignment="1" applyProtection="1">
      <alignment vertical="center"/>
      <protection/>
    </xf>
    <xf numFmtId="164" fontId="5" fillId="0" borderId="18" xfId="0" applyNumberFormat="1" applyFont="1" applyFill="1" applyBorder="1" applyAlignment="1" applyProtection="1">
      <alignment vertical="center"/>
      <protection/>
    </xf>
    <xf numFmtId="165" fontId="5" fillId="0" borderId="18" xfId="0" applyNumberFormat="1" applyFont="1" applyFill="1" applyBorder="1" applyAlignment="1" applyProtection="1">
      <alignment horizontal="center" vertical="center"/>
      <protection/>
    </xf>
    <xf numFmtId="165" fontId="5" fillId="0" borderId="19" xfId="0" applyNumberFormat="1" applyFont="1" applyFill="1" applyBorder="1" applyAlignment="1" applyProtection="1">
      <alignment horizontal="center" vertical="center"/>
      <protection/>
    </xf>
    <xf numFmtId="0" fontId="16" fillId="0" borderId="0" xfId="0" applyFont="1" applyAlignment="1">
      <alignment/>
    </xf>
    <xf numFmtId="0" fontId="15" fillId="0" borderId="0" xfId="0" applyFont="1" applyAlignment="1">
      <alignment/>
    </xf>
    <xf numFmtId="166" fontId="17" fillId="0" borderId="0" xfId="0" applyFont="1" applyAlignment="1">
      <alignment/>
    </xf>
    <xf numFmtId="166" fontId="15" fillId="0" borderId="0" xfId="0" applyFont="1" applyAlignment="1">
      <alignment/>
    </xf>
    <xf numFmtId="0" fontId="15" fillId="0" borderId="0" xfId="0" applyFont="1" applyBorder="1" applyAlignment="1">
      <alignment/>
    </xf>
    <xf numFmtId="164" fontId="18" fillId="0" borderId="0" xfId="0" applyFont="1" applyAlignment="1">
      <alignment horizontal="centerContinuous" vertical="center" wrapText="1"/>
    </xf>
    <xf numFmtId="164" fontId="19" fillId="0" borderId="0" xfId="0" applyFont="1" applyAlignment="1">
      <alignment horizontal="centerContinuous" vertical="center" wrapText="1"/>
    </xf>
    <xf numFmtId="164" fontId="20" fillId="0" borderId="0" xfId="0" applyFont="1" applyAlignment="1">
      <alignment horizontal="centerContinuous" vertical="center" wrapText="1"/>
    </xf>
    <xf numFmtId="164" fontId="21" fillId="0" borderId="0" xfId="0" applyFont="1" applyAlignment="1">
      <alignment horizontal="centerContinuous" vertical="center" wrapText="1"/>
    </xf>
    <xf numFmtId="166" fontId="22" fillId="0" borderId="0" xfId="0" applyFont="1" applyAlignment="1">
      <alignment horizontal="centerContinuous" vertical="center" wrapText="1"/>
    </xf>
    <xf numFmtId="166" fontId="21" fillId="0" borderId="0" xfId="0" applyFont="1" applyAlignment="1">
      <alignment horizontal="centerContinuous" vertical="center" wrapText="1"/>
    </xf>
    <xf numFmtId="0" fontId="21" fillId="0" borderId="0" xfId="0" applyFont="1" applyBorder="1" applyAlignment="1">
      <alignment vertical="center" wrapText="1"/>
    </xf>
    <xf numFmtId="0" fontId="21" fillId="0" borderId="0" xfId="0" applyFont="1" applyAlignment="1">
      <alignment vertical="center" wrapText="1"/>
    </xf>
    <xf numFmtId="164" fontId="23" fillId="0" borderId="0" xfId="0" applyFont="1" applyAlignment="1">
      <alignment horizontal="centerContinuous" vertical="center" wrapText="1"/>
    </xf>
    <xf numFmtId="164" fontId="15" fillId="0" borderId="0" xfId="0" applyFont="1" applyAlignment="1">
      <alignment horizontal="centerContinuous"/>
    </xf>
    <xf numFmtId="164" fontId="15" fillId="0" borderId="0" xfId="0" applyFont="1" applyBorder="1" applyAlignment="1">
      <alignment horizontal="centerContinuous"/>
    </xf>
    <xf numFmtId="164" fontId="15" fillId="0" borderId="0" xfId="0" applyFont="1" applyAlignment="1">
      <alignment horizontal="centerContinuous"/>
    </xf>
    <xf numFmtId="166" fontId="17" fillId="0" borderId="0" xfId="0" applyFont="1" applyAlignment="1">
      <alignment horizontal="centerContinuous"/>
    </xf>
    <xf numFmtId="0" fontId="15" fillId="0" borderId="0" xfId="0" applyFont="1" applyAlignment="1">
      <alignment horizontal="centerContinuous" vertical="top"/>
    </xf>
    <xf numFmtId="166" fontId="17" fillId="0" borderId="0" xfId="0" applyFont="1" applyBorder="1" applyAlignment="1">
      <alignment horizontal="centerContinuous"/>
    </xf>
    <xf numFmtId="166" fontId="15" fillId="0" borderId="0" xfId="0" applyFont="1" applyBorder="1" applyAlignment="1">
      <alignment horizontal="right"/>
    </xf>
    <xf numFmtId="166" fontId="15" fillId="0" borderId="0" xfId="0" applyFont="1" applyBorder="1" applyAlignment="1">
      <alignment horizontal="centerContinuous"/>
    </xf>
    <xf numFmtId="164" fontId="16" fillId="0" borderId="1" xfId="0" applyFont="1" applyBorder="1" applyAlignment="1">
      <alignment horizontal="center" vertical="center"/>
    </xf>
    <xf numFmtId="164" fontId="18" fillId="0" borderId="20" xfId="0" applyFont="1" applyBorder="1" applyAlignment="1">
      <alignment horizontal="center" vertical="center"/>
    </xf>
    <xf numFmtId="164" fontId="18" fillId="0" borderId="21" xfId="0" applyFont="1" applyBorder="1" applyAlignment="1">
      <alignment horizontal="center" vertical="center"/>
    </xf>
    <xf numFmtId="164" fontId="19" fillId="0" borderId="22" xfId="0" applyFont="1" applyBorder="1" applyAlignment="1">
      <alignment horizontal="centerContinuous" vertical="center" wrapText="1"/>
    </xf>
    <xf numFmtId="164" fontId="24" fillId="0" borderId="23" xfId="0" applyFont="1" applyBorder="1" applyAlignment="1">
      <alignment horizontal="centerContinuous" vertical="center" wrapText="1"/>
    </xf>
    <xf numFmtId="166" fontId="25" fillId="0" borderId="23" xfId="0" applyFont="1" applyBorder="1" applyAlignment="1">
      <alignment horizontal="centerContinuous" vertical="center" wrapText="1"/>
    </xf>
    <xf numFmtId="166" fontId="26" fillId="0" borderId="24" xfId="0" applyFont="1" applyBorder="1" applyAlignment="1">
      <alignment horizontal="centerContinuous" vertical="center" wrapText="1"/>
    </xf>
    <xf numFmtId="164" fontId="27" fillId="0" borderId="23" xfId="0" applyFont="1" applyBorder="1" applyAlignment="1">
      <alignment horizontal="centerContinuous" vertical="center" wrapText="1"/>
    </xf>
    <xf numFmtId="166" fontId="28" fillId="0" borderId="24" xfId="0" applyFont="1" applyBorder="1" applyAlignment="1">
      <alignment horizontal="centerContinuous" vertical="center" wrapText="1"/>
    </xf>
    <xf numFmtId="164" fontId="27" fillId="0" borderId="23" xfId="0" applyFont="1" applyBorder="1" applyAlignment="1">
      <alignment horizontal="centerContinuous" vertical="center" wrapText="1"/>
    </xf>
    <xf numFmtId="166" fontId="29" fillId="0" borderId="25" xfId="0" applyFont="1" applyBorder="1" applyAlignment="1">
      <alignment horizontal="centerContinuous" vertical="center" wrapText="1"/>
    </xf>
    <xf numFmtId="164" fontId="30" fillId="0" borderId="26" xfId="0" applyFont="1" applyBorder="1" applyAlignment="1">
      <alignment horizontal="center" vertical="center"/>
    </xf>
    <xf numFmtId="164" fontId="30" fillId="0" borderId="27" xfId="0" applyFont="1" applyBorder="1" applyAlignment="1">
      <alignment horizontal="center" vertical="center"/>
    </xf>
    <xf numFmtId="0" fontId="30" fillId="0" borderId="28" xfId="0" applyFont="1" applyBorder="1" applyAlignment="1">
      <alignment horizontal="center" vertical="center" wrapText="1"/>
    </xf>
    <xf numFmtId="164" fontId="30" fillId="0" borderId="29" xfId="0" applyFont="1" applyBorder="1" applyAlignment="1">
      <alignment horizontal="center" vertical="center" wrapText="1"/>
    </xf>
    <xf numFmtId="0" fontId="30" fillId="0" borderId="12" xfId="0" applyFont="1" applyBorder="1" applyAlignment="1">
      <alignment horizontal="center" vertical="center" wrapText="1"/>
    </xf>
    <xf numFmtId="0" fontId="31" fillId="0" borderId="30" xfId="0" applyFont="1" applyBorder="1" applyAlignment="1">
      <alignment horizontal="center" vertical="center" wrapText="1"/>
    </xf>
    <xf numFmtId="0" fontId="32"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3" fontId="31" fillId="0" borderId="11" xfId="0" applyFont="1" applyBorder="1" applyAlignment="1">
      <alignment horizontal="center" vertical="center"/>
    </xf>
    <xf numFmtId="3" fontId="31" fillId="0" borderId="33" xfId="0" applyFont="1" applyBorder="1" applyAlignment="1">
      <alignment horizontal="center" vertical="center"/>
    </xf>
    <xf numFmtId="3" fontId="31" fillId="0" borderId="28" xfId="0" applyFont="1" applyBorder="1" applyAlignment="1">
      <alignment horizontal="center" vertical="center"/>
    </xf>
    <xf numFmtId="3" fontId="31" fillId="0" borderId="34" xfId="0" applyFont="1" applyBorder="1" applyAlignment="1">
      <alignment horizontal="center" vertical="center"/>
    </xf>
    <xf numFmtId="3" fontId="31" fillId="0" borderId="12" xfId="0" applyFont="1" applyBorder="1" applyAlignment="1">
      <alignment horizontal="center" vertical="center"/>
    </xf>
    <xf numFmtId="3" fontId="31" fillId="0" borderId="12" xfId="0" applyFont="1" applyBorder="1" applyAlignment="1">
      <alignment horizontal="center" vertical="center"/>
    </xf>
    <xf numFmtId="3" fontId="31" fillId="0" borderId="33" xfId="0" applyFont="1" applyBorder="1" applyAlignment="1">
      <alignment horizontal="center" vertical="center"/>
    </xf>
    <xf numFmtId="3" fontId="31" fillId="0" borderId="13" xfId="0" applyFont="1" applyBorder="1" applyAlignment="1">
      <alignment horizontal="center" vertical="center"/>
    </xf>
    <xf numFmtId="3" fontId="31" fillId="0" borderId="0" xfId="0" applyFont="1" applyBorder="1" applyAlignment="1">
      <alignment horizontal="center" vertical="center"/>
    </xf>
    <xf numFmtId="3" fontId="31" fillId="0" borderId="0" xfId="0" applyFont="1" applyAlignment="1">
      <alignment horizontal="center" vertical="center"/>
    </xf>
    <xf numFmtId="49" fontId="30" fillId="0" borderId="35" xfId="0" applyNumberFormat="1" applyFont="1" applyBorder="1" applyAlignment="1">
      <alignment horizontal="center" vertical="center" wrapText="1"/>
    </xf>
    <xf numFmtId="0" fontId="30" fillId="0" borderId="36" xfId="0" applyFont="1" applyBorder="1" applyAlignment="1">
      <alignment vertical="center" wrapText="1"/>
    </xf>
    <xf numFmtId="3" fontId="30" fillId="0" borderId="37" xfId="0" applyNumberFormat="1" applyFont="1" applyBorder="1" applyAlignment="1">
      <alignment horizontal="right" vertical="center" wrapText="1"/>
    </xf>
    <xf numFmtId="3" fontId="30" fillId="0" borderId="38" xfId="0" applyNumberFormat="1" applyFont="1" applyBorder="1" applyAlignment="1">
      <alignment horizontal="right" vertical="center" wrapText="1"/>
    </xf>
    <xf numFmtId="3" fontId="30" fillId="0" borderId="39" xfId="0" applyNumberFormat="1" applyFont="1" applyBorder="1" applyAlignment="1">
      <alignment horizontal="right" vertical="center" wrapText="1"/>
    </xf>
    <xf numFmtId="164" fontId="33" fillId="0" borderId="39" xfId="0" applyNumberFormat="1" applyFont="1" applyBorder="1" applyAlignment="1">
      <alignment horizontal="right" vertical="center" wrapText="1"/>
    </xf>
    <xf numFmtId="164" fontId="34" fillId="0" borderId="39" xfId="0" applyNumberFormat="1" applyFont="1" applyBorder="1" applyAlignment="1">
      <alignment horizontal="right" vertical="center" wrapText="1"/>
    </xf>
    <xf numFmtId="164" fontId="34" fillId="0" borderId="36" xfId="0" applyNumberFormat="1" applyFont="1" applyBorder="1" applyAlignment="1">
      <alignment horizontal="right" vertical="center"/>
    </xf>
    <xf numFmtId="164" fontId="34" fillId="0" borderId="40" xfId="0" applyNumberFormat="1" applyFont="1" applyBorder="1" applyAlignment="1">
      <alignment horizontal="right" vertical="center" wrapText="1"/>
    </xf>
    <xf numFmtId="164" fontId="30" fillId="0" borderId="0" xfId="0" applyNumberFormat="1" applyFont="1" applyBorder="1" applyAlignment="1">
      <alignment horizontal="right" vertical="center" wrapText="1"/>
    </xf>
    <xf numFmtId="3" fontId="30" fillId="0" borderId="0" xfId="0" applyFont="1" applyBorder="1" applyAlignment="1">
      <alignment horizontal="center" vertical="center" wrapText="1"/>
    </xf>
    <xf numFmtId="49" fontId="35" fillId="0" borderId="5" xfId="0" applyNumberFormat="1" applyFont="1" applyBorder="1" applyAlignment="1">
      <alignment horizontal="center" vertical="center"/>
    </xf>
    <xf numFmtId="0" fontId="17" fillId="0" borderId="41" xfId="0" applyFont="1" applyBorder="1" applyAlignment="1">
      <alignment vertical="center"/>
    </xf>
    <xf numFmtId="3" fontId="17" fillId="0" borderId="42" xfId="0" applyNumberFormat="1" applyFont="1" applyBorder="1" applyAlignment="1">
      <alignment horizontal="right" vertical="center"/>
    </xf>
    <xf numFmtId="3" fontId="17" fillId="0" borderId="43" xfId="0" applyNumberFormat="1" applyFont="1" applyBorder="1" applyAlignment="1">
      <alignment horizontal="right" vertical="center"/>
    </xf>
    <xf numFmtId="3" fontId="17" fillId="0" borderId="6" xfId="0" applyNumberFormat="1" applyFont="1" applyBorder="1" applyAlignment="1">
      <alignment horizontal="right" vertical="center"/>
    </xf>
    <xf numFmtId="164" fontId="36" fillId="0" borderId="43" xfId="0" applyNumberFormat="1" applyFont="1" applyBorder="1" applyAlignment="1">
      <alignment horizontal="right" vertical="center"/>
    </xf>
    <xf numFmtId="164" fontId="17" fillId="0" borderId="6" xfId="0" applyNumberFormat="1" applyFont="1" applyBorder="1" applyAlignment="1">
      <alignment horizontal="right" vertical="center"/>
    </xf>
    <xf numFmtId="164" fontId="17" fillId="0" borderId="41" xfId="0" applyNumberFormat="1" applyFont="1" applyBorder="1" applyAlignment="1">
      <alignment horizontal="right" vertical="center"/>
    </xf>
    <xf numFmtId="164" fontId="17" fillId="0" borderId="7" xfId="0" applyNumberFormat="1" applyFont="1" applyBorder="1" applyAlignment="1">
      <alignment horizontal="right" vertical="center"/>
    </xf>
    <xf numFmtId="164" fontId="17" fillId="0" borderId="0" xfId="0" applyNumberFormat="1" applyFont="1" applyBorder="1" applyAlignment="1">
      <alignment horizontal="right" vertical="center"/>
    </xf>
    <xf numFmtId="3" fontId="17" fillId="0" borderId="0" xfId="0" applyFont="1" applyBorder="1" applyAlignment="1">
      <alignment horizontal="center" vertical="center"/>
    </xf>
    <xf numFmtId="3" fontId="17" fillId="0" borderId="0" xfId="0" applyFont="1" applyAlignment="1">
      <alignment horizontal="center" vertical="center"/>
    </xf>
    <xf numFmtId="49" fontId="35" fillId="0" borderId="26" xfId="0" applyNumberFormat="1" applyFont="1" applyBorder="1" applyAlignment="1">
      <alignment horizontal="center" vertical="center"/>
    </xf>
    <xf numFmtId="0" fontId="17" fillId="0" borderId="27" xfId="0" applyFont="1" applyBorder="1" applyAlignment="1">
      <alignment vertical="center"/>
    </xf>
    <xf numFmtId="3" fontId="17" fillId="0" borderId="44" xfId="0" applyNumberFormat="1" applyFont="1" applyBorder="1" applyAlignment="1">
      <alignment horizontal="right" vertical="center"/>
    </xf>
    <xf numFmtId="3" fontId="17" fillId="0" borderId="45" xfId="0" applyNumberFormat="1" applyFont="1" applyBorder="1" applyAlignment="1">
      <alignment horizontal="right" vertical="center"/>
    </xf>
    <xf numFmtId="3" fontId="17" fillId="0" borderId="46" xfId="0" applyNumberFormat="1" applyFont="1" applyBorder="1" applyAlignment="1">
      <alignment horizontal="right" vertical="center"/>
    </xf>
    <xf numFmtId="164" fontId="17" fillId="0" borderId="46" xfId="0" applyNumberFormat="1" applyFont="1" applyBorder="1" applyAlignment="1">
      <alignment horizontal="right" vertical="center"/>
    </xf>
    <xf numFmtId="164" fontId="17" fillId="0" borderId="27" xfId="0" applyNumberFormat="1" applyFont="1" applyBorder="1" applyAlignment="1">
      <alignment horizontal="right" vertical="center"/>
    </xf>
    <xf numFmtId="164" fontId="17" fillId="0" borderId="47" xfId="0" applyNumberFormat="1" applyFont="1" applyBorder="1" applyAlignment="1">
      <alignment horizontal="right" vertical="center"/>
    </xf>
    <xf numFmtId="49" fontId="30" fillId="0" borderId="35" xfId="0" applyNumberFormat="1" applyFont="1" applyBorder="1" applyAlignment="1">
      <alignment horizontal="center" vertical="center"/>
    </xf>
    <xf numFmtId="0" fontId="30" fillId="0" borderId="36" xfId="0" applyFont="1" applyBorder="1" applyAlignment="1">
      <alignment vertical="center"/>
    </xf>
    <xf numFmtId="3" fontId="30" fillId="0" borderId="37" xfId="0" applyNumberFormat="1" applyFont="1" applyBorder="1" applyAlignment="1">
      <alignment horizontal="right" vertical="center"/>
    </xf>
    <xf numFmtId="3" fontId="30" fillId="0" borderId="38" xfId="0" applyNumberFormat="1" applyFont="1" applyBorder="1" applyAlignment="1">
      <alignment horizontal="right" vertical="center"/>
    </xf>
    <xf numFmtId="3" fontId="30" fillId="0" borderId="39" xfId="0" applyNumberFormat="1" applyFont="1" applyBorder="1" applyAlignment="1">
      <alignment horizontal="right" vertical="center"/>
    </xf>
    <xf numFmtId="164" fontId="34" fillId="0" borderId="39" xfId="0" applyNumberFormat="1" applyFont="1" applyBorder="1" applyAlignment="1">
      <alignment horizontal="right" vertical="center"/>
    </xf>
    <xf numFmtId="164" fontId="34" fillId="0" borderId="36" xfId="0" applyNumberFormat="1" applyFont="1" applyBorder="1" applyAlignment="1">
      <alignment horizontal="center" vertical="center"/>
    </xf>
    <xf numFmtId="164" fontId="34" fillId="0" borderId="40" xfId="0" applyNumberFormat="1" applyFont="1" applyBorder="1" applyAlignment="1">
      <alignment horizontal="right" vertical="center"/>
    </xf>
    <xf numFmtId="164" fontId="30" fillId="0" borderId="0" xfId="0" applyNumberFormat="1" applyFont="1" applyBorder="1" applyAlignment="1">
      <alignment horizontal="right" vertical="center"/>
    </xf>
    <xf numFmtId="3" fontId="30" fillId="0" borderId="0" xfId="0" applyFont="1" applyBorder="1" applyAlignment="1">
      <alignment horizontal="center" vertical="center"/>
    </xf>
    <xf numFmtId="3" fontId="30" fillId="0" borderId="0" xfId="0" applyFont="1" applyAlignment="1">
      <alignment horizontal="center" vertical="center"/>
    </xf>
    <xf numFmtId="164" fontId="36" fillId="0" borderId="6" xfId="0" applyNumberFormat="1" applyFont="1" applyBorder="1" applyAlignment="1">
      <alignment horizontal="right" vertical="center"/>
    </xf>
    <xf numFmtId="164" fontId="17" fillId="0" borderId="6" xfId="0" applyNumberFormat="1" applyFont="1" applyBorder="1" applyAlignment="1">
      <alignment horizontal="right" vertical="center"/>
    </xf>
    <xf numFmtId="164" fontId="17" fillId="0" borderId="41" xfId="0" applyNumberFormat="1" applyFont="1" applyBorder="1" applyAlignment="1">
      <alignment horizontal="right" vertical="center"/>
    </xf>
    <xf numFmtId="49" fontId="34" fillId="0" borderId="26" xfId="0" applyNumberFormat="1" applyFont="1" applyBorder="1" applyAlignment="1">
      <alignment horizontal="center" vertical="center"/>
    </xf>
    <xf numFmtId="0" fontId="37" fillId="0" borderId="27" xfId="0" applyFont="1" applyBorder="1" applyAlignment="1">
      <alignment vertical="center"/>
    </xf>
    <xf numFmtId="3" fontId="37" fillId="0" borderId="44" xfId="0" applyNumberFormat="1" applyFont="1" applyBorder="1" applyAlignment="1">
      <alignment horizontal="right" vertical="center"/>
    </xf>
    <xf numFmtId="3" fontId="37" fillId="0" borderId="45" xfId="0" applyNumberFormat="1" applyFont="1" applyBorder="1" applyAlignment="1">
      <alignment horizontal="right" vertical="center"/>
    </xf>
    <xf numFmtId="3" fontId="37" fillId="0" borderId="46" xfId="0" applyNumberFormat="1" applyFont="1" applyBorder="1" applyAlignment="1">
      <alignment horizontal="right" vertical="center"/>
    </xf>
    <xf numFmtId="164" fontId="36" fillId="0" borderId="46" xfId="0" applyNumberFormat="1" applyFont="1" applyBorder="1" applyAlignment="1">
      <alignment horizontal="right" vertical="center"/>
    </xf>
    <xf numFmtId="164" fontId="37" fillId="0" borderId="46" xfId="0" applyNumberFormat="1" applyFont="1" applyBorder="1" applyAlignment="1">
      <alignment horizontal="right" vertical="center"/>
    </xf>
    <xf numFmtId="164" fontId="37" fillId="0" borderId="27" xfId="0" applyNumberFormat="1" applyFont="1" applyBorder="1" applyAlignment="1">
      <alignment horizontal="right" vertical="center"/>
    </xf>
    <xf numFmtId="164" fontId="37" fillId="0" borderId="47" xfId="0" applyNumberFormat="1" applyFont="1" applyBorder="1" applyAlignment="1">
      <alignment horizontal="right" vertical="center"/>
    </xf>
    <xf numFmtId="164" fontId="37" fillId="0" borderId="0" xfId="0" applyNumberFormat="1" applyFont="1" applyBorder="1" applyAlignment="1">
      <alignment horizontal="right" vertical="center"/>
    </xf>
    <xf numFmtId="3" fontId="37" fillId="0" borderId="0" xfId="0" applyFont="1" applyBorder="1" applyAlignment="1">
      <alignment horizontal="center" vertical="center"/>
    </xf>
    <xf numFmtId="3" fontId="37" fillId="0" borderId="0" xfId="0" applyFont="1" applyAlignment="1">
      <alignment horizontal="center" vertical="center"/>
    </xf>
    <xf numFmtId="3" fontId="30" fillId="0" borderId="0" xfId="0" applyFont="1" applyAlignment="1">
      <alignment horizontal="center" vertical="center" wrapText="1"/>
    </xf>
    <xf numFmtId="0" fontId="30" fillId="0" borderId="36" xfId="0" applyFont="1" applyBorder="1" applyAlignment="1">
      <alignment vertical="center" wrapText="1"/>
    </xf>
    <xf numFmtId="164" fontId="34" fillId="0" borderId="36" xfId="0" applyNumberFormat="1" applyFont="1" applyBorder="1" applyAlignment="1">
      <alignment horizontal="right" vertical="center"/>
    </xf>
    <xf numFmtId="0" fontId="30" fillId="0" borderId="0" xfId="0" applyFont="1" applyBorder="1" applyAlignment="1">
      <alignment vertical="center"/>
    </xf>
    <xf numFmtId="164" fontId="17" fillId="0" borderId="27" xfId="0" applyNumberFormat="1" applyFont="1" applyBorder="1" applyAlignment="1">
      <alignment horizontal="right" vertical="center"/>
    </xf>
    <xf numFmtId="164" fontId="36" fillId="0" borderId="45" xfId="0" applyNumberFormat="1" applyFont="1" applyBorder="1" applyAlignment="1">
      <alignment horizontal="right" vertical="center"/>
    </xf>
    <xf numFmtId="49" fontId="34" fillId="0" borderId="5" xfId="0" applyNumberFormat="1" applyFont="1" applyBorder="1" applyAlignment="1">
      <alignment horizontal="center" vertical="center"/>
    </xf>
    <xf numFmtId="0" fontId="37" fillId="0" borderId="41" xfId="0" applyFont="1" applyBorder="1" applyAlignment="1">
      <alignment vertical="center"/>
    </xf>
    <xf numFmtId="3" fontId="37" fillId="0" borderId="42" xfId="0" applyNumberFormat="1" applyFont="1" applyBorder="1" applyAlignment="1">
      <alignment horizontal="right" vertical="center"/>
    </xf>
    <xf numFmtId="3" fontId="37" fillId="0" borderId="43" xfId="0" applyNumberFormat="1" applyFont="1" applyBorder="1" applyAlignment="1">
      <alignment horizontal="right" vertical="center"/>
    </xf>
    <xf numFmtId="3" fontId="37" fillId="0" borderId="6" xfId="0" applyNumberFormat="1" applyFont="1" applyBorder="1" applyAlignment="1">
      <alignment horizontal="right" vertical="center"/>
    </xf>
    <xf numFmtId="164" fontId="37" fillId="0" borderId="6" xfId="0" applyNumberFormat="1" applyFont="1" applyBorder="1" applyAlignment="1">
      <alignment horizontal="right" vertical="center"/>
    </xf>
    <xf numFmtId="164" fontId="37" fillId="0" borderId="41" xfId="0" applyNumberFormat="1" applyFont="1" applyBorder="1" applyAlignment="1">
      <alignment horizontal="right" vertical="center"/>
    </xf>
    <xf numFmtId="164" fontId="17" fillId="0" borderId="47" xfId="0" applyNumberFormat="1" applyFont="1" applyBorder="1" applyAlignment="1">
      <alignment horizontal="right" vertical="center"/>
    </xf>
    <xf numFmtId="164" fontId="34" fillId="0" borderId="40" xfId="0" applyNumberFormat="1" applyFont="1" applyBorder="1" applyAlignment="1">
      <alignment horizontal="right" vertical="center"/>
    </xf>
    <xf numFmtId="3" fontId="17" fillId="0" borderId="45" xfId="0" applyNumberFormat="1" applyFont="1" applyBorder="1" applyAlignment="1">
      <alignment horizontal="right" vertical="center"/>
    </xf>
    <xf numFmtId="164" fontId="17" fillId="0" borderId="46" xfId="0" applyNumberFormat="1" applyFont="1" applyBorder="1" applyAlignment="1">
      <alignment horizontal="right" vertical="center"/>
    </xf>
    <xf numFmtId="3" fontId="17" fillId="0" borderId="46" xfId="0" applyNumberFormat="1" applyFont="1" applyBorder="1" applyAlignment="1">
      <alignment horizontal="right" vertical="center"/>
    </xf>
    <xf numFmtId="164" fontId="17" fillId="0" borderId="47" xfId="0" applyNumberFormat="1" applyFont="1" applyBorder="1" applyAlignment="1">
      <alignment horizontal="right" vertical="center"/>
    </xf>
    <xf numFmtId="164" fontId="17" fillId="0" borderId="0" xfId="0" applyNumberFormat="1" applyFont="1" applyBorder="1" applyAlignment="1">
      <alignment horizontal="right" vertical="center"/>
    </xf>
    <xf numFmtId="3" fontId="17" fillId="0" borderId="0" xfId="0" applyFont="1" applyBorder="1" applyAlignment="1">
      <alignment horizontal="center" vertical="center"/>
    </xf>
    <xf numFmtId="49" fontId="30" fillId="0" borderId="5" xfId="0" applyNumberFormat="1" applyFont="1" applyBorder="1" applyAlignment="1">
      <alignment horizontal="center" vertical="center" wrapText="1"/>
    </xf>
    <xf numFmtId="0" fontId="30" fillId="0" borderId="41" xfId="0" applyFont="1" applyBorder="1" applyAlignment="1">
      <alignment vertical="center" wrapText="1"/>
    </xf>
    <xf numFmtId="3" fontId="30" fillId="0" borderId="42" xfId="0" applyNumberFormat="1" applyFont="1" applyBorder="1" applyAlignment="1">
      <alignment horizontal="right" vertical="center"/>
    </xf>
    <xf numFmtId="3" fontId="30" fillId="0" borderId="48" xfId="0" applyNumberFormat="1" applyFont="1" applyBorder="1" applyAlignment="1">
      <alignment horizontal="right" vertical="center"/>
    </xf>
    <xf numFmtId="164" fontId="30" fillId="0" borderId="43" xfId="0" applyNumberFormat="1" applyFont="1" applyBorder="1" applyAlignment="1">
      <alignment horizontal="right" vertical="center"/>
    </xf>
    <xf numFmtId="3" fontId="30" fillId="0" borderId="6" xfId="0" applyNumberFormat="1" applyFont="1" applyBorder="1" applyAlignment="1">
      <alignment horizontal="right" vertical="center"/>
    </xf>
    <xf numFmtId="164" fontId="30" fillId="0" borderId="41" xfId="0" applyNumberFormat="1" applyFont="1" applyBorder="1" applyAlignment="1">
      <alignment horizontal="right" vertical="center"/>
    </xf>
    <xf numFmtId="49" fontId="35" fillId="0" borderId="5" xfId="0" applyNumberFormat="1" applyFont="1" applyBorder="1" applyAlignment="1">
      <alignment horizontal="center" vertical="center"/>
    </xf>
    <xf numFmtId="0" fontId="17" fillId="0" borderId="41" xfId="0" applyFont="1" applyBorder="1" applyAlignment="1">
      <alignment vertical="center"/>
    </xf>
    <xf numFmtId="3" fontId="17" fillId="0" borderId="42" xfId="0" applyNumberFormat="1" applyFont="1" applyBorder="1" applyAlignment="1">
      <alignment horizontal="right" vertical="center"/>
    </xf>
    <xf numFmtId="3" fontId="17" fillId="0" borderId="43" xfId="0" applyNumberFormat="1" applyFont="1" applyBorder="1" applyAlignment="1">
      <alignment horizontal="right" vertical="center"/>
    </xf>
    <xf numFmtId="3" fontId="17" fillId="0" borderId="6" xfId="0" applyNumberFormat="1" applyFont="1" applyBorder="1" applyAlignment="1">
      <alignment horizontal="right" vertical="center"/>
    </xf>
    <xf numFmtId="164" fontId="17" fillId="0" borderId="43" xfId="0" applyNumberFormat="1" applyFont="1" applyBorder="1" applyAlignment="1">
      <alignment horizontal="right" vertical="center"/>
    </xf>
    <xf numFmtId="164" fontId="17" fillId="0" borderId="6" xfId="0" applyNumberFormat="1" applyFont="1" applyBorder="1" applyAlignment="1">
      <alignment horizontal="right" vertical="center"/>
    </xf>
    <xf numFmtId="164" fontId="17" fillId="0" borderId="41" xfId="0" applyNumberFormat="1" applyFont="1" applyBorder="1" applyAlignment="1">
      <alignment horizontal="right" vertical="center"/>
    </xf>
    <xf numFmtId="164" fontId="17" fillId="0" borderId="7" xfId="0" applyNumberFormat="1" applyFont="1" applyBorder="1" applyAlignment="1">
      <alignment horizontal="right" vertical="center"/>
    </xf>
    <xf numFmtId="3" fontId="17" fillId="0" borderId="0" xfId="0" applyFont="1" applyAlignment="1">
      <alignment horizontal="center" vertical="center"/>
    </xf>
    <xf numFmtId="164" fontId="17" fillId="0" borderId="7" xfId="0" applyNumberFormat="1" applyFont="1" applyBorder="1" applyAlignment="1">
      <alignment horizontal="right" vertical="center"/>
    </xf>
    <xf numFmtId="164" fontId="37" fillId="0" borderId="47" xfId="0" applyNumberFormat="1" applyFont="1" applyBorder="1" applyAlignment="1">
      <alignment horizontal="right" vertical="center"/>
    </xf>
    <xf numFmtId="164" fontId="33" fillId="0" borderId="39" xfId="0" applyNumberFormat="1" applyFont="1" applyBorder="1" applyAlignment="1">
      <alignment horizontal="right" vertical="center"/>
    </xf>
    <xf numFmtId="164" fontId="30" fillId="0" borderId="36" xfId="0" applyNumberFormat="1" applyFont="1" applyBorder="1" applyAlignment="1">
      <alignment horizontal="right" vertical="center"/>
    </xf>
    <xf numFmtId="164" fontId="30" fillId="0" borderId="41" xfId="0" applyNumberFormat="1" applyFont="1" applyBorder="1" applyAlignment="1">
      <alignment horizontal="right" vertical="center"/>
    </xf>
    <xf numFmtId="3" fontId="30" fillId="0" borderId="43" xfId="0" applyNumberFormat="1" applyFont="1" applyBorder="1" applyAlignment="1">
      <alignment horizontal="right" vertical="center"/>
    </xf>
    <xf numFmtId="164" fontId="34" fillId="0" borderId="6" xfId="0" applyNumberFormat="1" applyFont="1" applyBorder="1" applyAlignment="1">
      <alignment horizontal="right" vertical="center"/>
    </xf>
    <xf numFmtId="164" fontId="34" fillId="0" borderId="49" xfId="0" applyNumberFormat="1" applyFont="1" applyBorder="1" applyAlignment="1">
      <alignment horizontal="right" vertical="center"/>
    </xf>
    <xf numFmtId="164" fontId="17" fillId="0" borderId="49" xfId="0" applyNumberFormat="1" applyFont="1" applyBorder="1" applyAlignment="1">
      <alignment horizontal="right" vertical="center"/>
    </xf>
    <xf numFmtId="164" fontId="30" fillId="0" borderId="27" xfId="0" applyNumberFormat="1" applyFont="1" applyBorder="1" applyAlignment="1">
      <alignment horizontal="right" vertical="center"/>
    </xf>
    <xf numFmtId="164" fontId="17" fillId="0" borderId="46" xfId="0" applyNumberFormat="1" applyFont="1" applyBorder="1" applyAlignment="1">
      <alignment horizontal="center" vertical="center"/>
    </xf>
    <xf numFmtId="49" fontId="18" fillId="0" borderId="35" xfId="0" applyNumberFormat="1" applyFont="1" applyBorder="1" applyAlignment="1">
      <alignment horizontal="center" vertical="center"/>
    </xf>
    <xf numFmtId="3" fontId="18" fillId="0" borderId="37" xfId="0" applyNumberFormat="1" applyFont="1" applyBorder="1" applyAlignment="1">
      <alignment horizontal="right" vertical="center"/>
    </xf>
    <xf numFmtId="3" fontId="18" fillId="0" borderId="38" xfId="0" applyNumberFormat="1" applyFont="1" applyBorder="1" applyAlignment="1">
      <alignment horizontal="right" vertical="center"/>
    </xf>
    <xf numFmtId="3" fontId="18" fillId="0" borderId="39" xfId="0" applyNumberFormat="1" applyFont="1" applyBorder="1" applyAlignment="1">
      <alignment horizontal="right" vertical="center"/>
    </xf>
    <xf numFmtId="164" fontId="29" fillId="0" borderId="39" xfId="0" applyNumberFormat="1" applyFont="1" applyBorder="1" applyAlignment="1">
      <alignment horizontal="right" vertical="center"/>
    </xf>
    <xf numFmtId="164" fontId="18" fillId="0" borderId="36" xfId="0" applyNumberFormat="1" applyFont="1" applyBorder="1" applyAlignment="1">
      <alignment horizontal="right" vertical="center"/>
    </xf>
    <xf numFmtId="164" fontId="29" fillId="0" borderId="36" xfId="0" applyNumberFormat="1" applyFont="1" applyBorder="1" applyAlignment="1">
      <alignment horizontal="right" vertical="center"/>
    </xf>
    <xf numFmtId="164" fontId="29" fillId="0" borderId="40" xfId="0" applyNumberFormat="1" applyFont="1" applyBorder="1" applyAlignment="1">
      <alignment horizontal="right" vertical="center"/>
    </xf>
    <xf numFmtId="164" fontId="18" fillId="0" borderId="0" xfId="0" applyNumberFormat="1" applyFont="1" applyBorder="1" applyAlignment="1">
      <alignment horizontal="right" vertical="center"/>
    </xf>
    <xf numFmtId="0" fontId="18" fillId="0" borderId="0" xfId="0" applyFont="1" applyBorder="1" applyAlignment="1">
      <alignment vertical="center"/>
    </xf>
    <xf numFmtId="164" fontId="37" fillId="0" borderId="6" xfId="0" applyNumberFormat="1" applyFont="1" applyBorder="1" applyAlignment="1">
      <alignment horizontal="center" vertical="center"/>
    </xf>
    <xf numFmtId="164" fontId="37" fillId="0" borderId="7" xfId="0" applyNumberFormat="1" applyFont="1" applyBorder="1" applyAlignment="1">
      <alignment horizontal="right" vertical="center"/>
    </xf>
    <xf numFmtId="164" fontId="30" fillId="0" borderId="36" xfId="0" applyNumberFormat="1" applyFont="1" applyBorder="1" applyAlignment="1">
      <alignment horizontal="right" vertical="center" wrapText="1"/>
    </xf>
    <xf numFmtId="4" fontId="17" fillId="0" borderId="41" xfId="0" applyNumberFormat="1" applyFont="1" applyBorder="1" applyAlignment="1">
      <alignment horizontal="right" vertical="center"/>
    </xf>
    <xf numFmtId="3" fontId="17" fillId="0" borderId="50" xfId="0" applyNumberFormat="1" applyFont="1" applyBorder="1" applyAlignment="1">
      <alignment horizontal="right" vertical="center"/>
    </xf>
    <xf numFmtId="3" fontId="17" fillId="0" borderId="6" xfId="0" applyNumberFormat="1" applyFont="1" applyBorder="1" applyAlignment="1">
      <alignment horizontal="right" vertical="center"/>
    </xf>
    <xf numFmtId="49" fontId="27" fillId="0" borderId="51" xfId="0" applyNumberFormat="1" applyFont="1" applyBorder="1" applyAlignment="1">
      <alignment horizontal="center" vertical="center"/>
    </xf>
    <xf numFmtId="0" fontId="27" fillId="0" borderId="52" xfId="0" applyFont="1" applyBorder="1" applyAlignment="1">
      <alignment vertical="center"/>
    </xf>
    <xf numFmtId="3" fontId="18" fillId="0" borderId="53" xfId="0" applyNumberFormat="1" applyFont="1" applyBorder="1" applyAlignment="1">
      <alignment horizontal="right" vertical="center"/>
    </xf>
    <xf numFmtId="3" fontId="18" fillId="0" borderId="54" xfId="0" applyNumberFormat="1" applyFont="1" applyBorder="1" applyAlignment="1">
      <alignment horizontal="right" vertical="center"/>
    </xf>
    <xf numFmtId="3" fontId="18" fillId="0" borderId="15" xfId="0" applyNumberFormat="1" applyFont="1" applyBorder="1" applyAlignment="1">
      <alignment horizontal="right" vertical="center"/>
    </xf>
    <xf numFmtId="164" fontId="18" fillId="0" borderId="30" xfId="0" applyNumberFormat="1" applyFont="1" applyBorder="1" applyAlignment="1">
      <alignment horizontal="right" vertical="center"/>
    </xf>
    <xf numFmtId="164" fontId="28" fillId="0" borderId="30" xfId="0" applyNumberFormat="1" applyFont="1" applyBorder="1" applyAlignment="1">
      <alignment horizontal="right" vertical="center"/>
    </xf>
    <xf numFmtId="164" fontId="27" fillId="0" borderId="55" xfId="0" applyNumberFormat="1" applyFont="1" applyBorder="1" applyAlignment="1">
      <alignment horizontal="right" vertical="center"/>
    </xf>
    <xf numFmtId="3" fontId="18" fillId="0" borderId="56" xfId="0" applyNumberFormat="1" applyFont="1" applyBorder="1" applyAlignment="1">
      <alignment horizontal="right" vertical="center"/>
    </xf>
    <xf numFmtId="164" fontId="27" fillId="0" borderId="52" xfId="0" applyNumberFormat="1" applyFont="1" applyBorder="1" applyAlignment="1">
      <alignment horizontal="right" vertical="center"/>
    </xf>
    <xf numFmtId="164" fontId="27" fillId="0" borderId="57" xfId="0" applyNumberFormat="1" applyFont="1" applyBorder="1" applyAlignment="1">
      <alignment horizontal="right" vertical="center"/>
    </xf>
    <xf numFmtId="164" fontId="27" fillId="0" borderId="0" xfId="0" applyNumberFormat="1" applyFont="1" applyBorder="1" applyAlignment="1">
      <alignment horizontal="right" vertical="center"/>
    </xf>
    <xf numFmtId="3" fontId="27" fillId="0" borderId="0" xfId="0" applyFont="1" applyBorder="1" applyAlignment="1">
      <alignment horizontal="center" vertical="center"/>
    </xf>
    <xf numFmtId="49" fontId="34" fillId="0" borderId="58" xfId="0" applyNumberFormat="1" applyFont="1" applyBorder="1" applyAlignment="1">
      <alignment horizontal="center" vertical="center"/>
    </xf>
    <xf numFmtId="0" fontId="34" fillId="0" borderId="59" xfId="0" applyFont="1" applyBorder="1" applyAlignment="1">
      <alignment vertical="center"/>
    </xf>
    <xf numFmtId="3" fontId="34" fillId="0" borderId="42" xfId="0" applyNumberFormat="1" applyFont="1" applyBorder="1" applyAlignment="1">
      <alignment horizontal="right" vertical="center"/>
    </xf>
    <xf numFmtId="3" fontId="34" fillId="0" borderId="60" xfId="0" applyNumberFormat="1" applyFont="1" applyBorder="1" applyAlignment="1">
      <alignment horizontal="right" vertical="center"/>
    </xf>
    <xf numFmtId="3" fontId="34" fillId="0" borderId="43" xfId="0" applyNumberFormat="1" applyFont="1" applyBorder="1" applyAlignment="1">
      <alignment horizontal="right" vertical="center"/>
    </xf>
    <xf numFmtId="164" fontId="34" fillId="0" borderId="43" xfId="0" applyNumberFormat="1" applyFont="1" applyBorder="1" applyAlignment="1">
      <alignment horizontal="right" vertical="center"/>
    </xf>
    <xf numFmtId="164" fontId="34" fillId="0" borderId="41" xfId="0" applyNumberFormat="1" applyFont="1" applyBorder="1" applyAlignment="1">
      <alignment horizontal="right" vertical="center"/>
    </xf>
    <xf numFmtId="3" fontId="34" fillId="0" borderId="61" xfId="0" applyNumberFormat="1" applyFont="1" applyBorder="1" applyAlignment="1">
      <alignment horizontal="right" vertical="center"/>
    </xf>
    <xf numFmtId="3" fontId="34" fillId="0" borderId="6" xfId="0" applyNumberFormat="1" applyFont="1" applyBorder="1" applyAlignment="1">
      <alignment horizontal="right" vertical="center"/>
    </xf>
    <xf numFmtId="164" fontId="34" fillId="0" borderId="59" xfId="0" applyNumberFormat="1" applyFont="1" applyBorder="1" applyAlignment="1">
      <alignment horizontal="right" vertical="center"/>
    </xf>
    <xf numFmtId="164" fontId="34" fillId="0" borderId="0" xfId="0" applyNumberFormat="1" applyFont="1" applyBorder="1" applyAlignment="1">
      <alignment horizontal="right" vertical="center"/>
    </xf>
    <xf numFmtId="3" fontId="34" fillId="0" borderId="0" xfId="0" applyFont="1" applyBorder="1" applyAlignment="1">
      <alignment horizontal="center" vertical="center"/>
    </xf>
    <xf numFmtId="49" fontId="34" fillId="0" borderId="62" xfId="0" applyNumberFormat="1" applyFont="1" applyBorder="1" applyAlignment="1">
      <alignment vertical="center"/>
    </xf>
    <xf numFmtId="164" fontId="34" fillId="0" borderId="63" xfId="0" applyFont="1" applyBorder="1" applyAlignment="1">
      <alignment vertical="center" wrapText="1"/>
    </xf>
    <xf numFmtId="3" fontId="34" fillId="0" borderId="64" xfId="0" applyNumberFormat="1" applyFont="1" applyBorder="1" applyAlignment="1">
      <alignment horizontal="right" vertical="center"/>
    </xf>
    <xf numFmtId="3" fontId="34" fillId="0" borderId="65" xfId="0" applyNumberFormat="1" applyFont="1" applyBorder="1" applyAlignment="1">
      <alignment horizontal="right" vertical="center"/>
    </xf>
    <xf numFmtId="3" fontId="34" fillId="0" borderId="66" xfId="0" applyNumberFormat="1" applyFont="1" applyBorder="1" applyAlignment="1">
      <alignment horizontal="right" vertical="center"/>
    </xf>
    <xf numFmtId="164" fontId="34" fillId="0" borderId="67" xfId="0" applyNumberFormat="1" applyFont="1" applyBorder="1" applyAlignment="1">
      <alignment horizontal="right" vertical="center"/>
    </xf>
    <xf numFmtId="164" fontId="34" fillId="0" borderId="66" xfId="0" applyNumberFormat="1" applyFont="1" applyBorder="1" applyAlignment="1">
      <alignment horizontal="right" vertical="center"/>
    </xf>
    <xf numFmtId="164" fontId="34" fillId="0" borderId="68" xfId="0" applyNumberFormat="1" applyFont="1" applyBorder="1" applyAlignment="1">
      <alignment horizontal="right" vertical="center"/>
    </xf>
    <xf numFmtId="3" fontId="34" fillId="0" borderId="69" xfId="0" applyNumberFormat="1" applyFont="1" applyBorder="1" applyAlignment="1">
      <alignment horizontal="right" vertical="center"/>
    </xf>
    <xf numFmtId="3" fontId="34" fillId="0" borderId="67" xfId="0" applyNumberFormat="1" applyFont="1" applyBorder="1" applyAlignment="1">
      <alignment horizontal="right" vertical="center"/>
    </xf>
    <xf numFmtId="164" fontId="34" fillId="0" borderId="63" xfId="0" applyNumberFormat="1" applyFont="1" applyBorder="1" applyAlignment="1">
      <alignment horizontal="right" vertical="center"/>
    </xf>
    <xf numFmtId="164" fontId="34" fillId="0" borderId="70" xfId="0" applyNumberFormat="1" applyFont="1" applyBorder="1" applyAlignment="1">
      <alignment horizontal="right" vertical="center"/>
    </xf>
    <xf numFmtId="0" fontId="34" fillId="0" borderId="0" xfId="0" applyFont="1" applyBorder="1" applyAlignment="1">
      <alignment horizontal="right" vertical="center"/>
    </xf>
    <xf numFmtId="0" fontId="34" fillId="0" borderId="0" xfId="0" applyFont="1" applyBorder="1" applyAlignment="1">
      <alignment vertical="center"/>
    </xf>
    <xf numFmtId="0" fontId="23" fillId="0" borderId="0" xfId="0" applyFont="1" applyBorder="1" applyAlignment="1">
      <alignment horizontal="centerContinuous" vertical="center"/>
    </xf>
    <xf numFmtId="0" fontId="15" fillId="0" borderId="0" xfId="0" applyFont="1" applyBorder="1" applyAlignment="1">
      <alignment horizontal="centerContinuous" vertical="center"/>
    </xf>
    <xf numFmtId="0" fontId="15" fillId="0" borderId="0" xfId="0" applyFont="1" applyBorder="1" applyAlignment="1">
      <alignment horizontal="right" vertical="center"/>
    </xf>
    <xf numFmtId="166" fontId="17" fillId="0" borderId="0" xfId="0" applyFont="1" applyBorder="1" applyAlignment="1">
      <alignment horizontal="right" vertical="center"/>
    </xf>
    <xf numFmtId="166" fontId="15" fillId="0" borderId="0" xfId="0" applyFont="1" applyBorder="1" applyAlignment="1">
      <alignment horizontal="right" vertical="center"/>
    </xf>
    <xf numFmtId="3" fontId="15" fillId="0" borderId="0" xfId="0" applyNumberFormat="1" applyFont="1" applyBorder="1" applyAlignment="1">
      <alignment horizontal="right" vertical="center"/>
    </xf>
    <xf numFmtId="0" fontId="15" fillId="0" borderId="0" xfId="0" applyFont="1" applyBorder="1" applyAlignment="1">
      <alignment vertical="center"/>
    </xf>
    <xf numFmtId="0" fontId="38"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right" vertical="center"/>
    </xf>
    <xf numFmtId="166" fontId="17" fillId="0" borderId="0" xfId="0" applyFont="1" applyAlignment="1">
      <alignment horizontal="right" vertical="center"/>
    </xf>
    <xf numFmtId="166" fontId="15" fillId="0" borderId="0" xfId="0" applyFont="1" applyAlignment="1">
      <alignment horizontal="right" vertical="center"/>
    </xf>
    <xf numFmtId="0" fontId="15" fillId="0" borderId="0" xfId="0" applyFont="1" applyAlignment="1">
      <alignment horizontal="right"/>
    </xf>
    <xf numFmtId="166" fontId="17" fillId="0" borderId="0" xfId="0" applyFont="1" applyAlignment="1">
      <alignment horizontal="right"/>
    </xf>
    <xf numFmtId="166" fontId="15" fillId="0" borderId="0" xfId="0" applyFont="1" applyAlignment="1">
      <alignment horizontal="right"/>
    </xf>
    <xf numFmtId="0" fontId="15" fillId="0" borderId="0" xfId="0" applyFont="1" applyBorder="1" applyAlignment="1">
      <alignment horizontal="right"/>
    </xf>
    <xf numFmtId="164" fontId="30" fillId="0" borderId="7" xfId="0" applyNumberFormat="1" applyFont="1" applyBorder="1" applyAlignment="1">
      <alignment horizontal="right" vertical="center"/>
    </xf>
    <xf numFmtId="164" fontId="16" fillId="0" borderId="27" xfId="0" applyNumberFormat="1" applyFont="1" applyBorder="1" applyAlignment="1">
      <alignment horizontal="right" vertical="center"/>
    </xf>
    <xf numFmtId="164" fontId="17" fillId="0" borderId="46" xfId="0" applyNumberFormat="1" applyFont="1" applyBorder="1" applyAlignment="1">
      <alignment horizontal="right" vertical="center"/>
    </xf>
    <xf numFmtId="49" fontId="19" fillId="0" borderId="0" xfId="0" applyNumberFormat="1" applyFont="1" applyAlignment="1">
      <alignment horizontal="centerContinuous"/>
    </xf>
    <xf numFmtId="0" fontId="27" fillId="0" borderId="0" xfId="0" applyFont="1" applyAlignment="1">
      <alignment horizontal="centerContinuous" wrapText="1"/>
    </xf>
    <xf numFmtId="164" fontId="27" fillId="0" borderId="0" xfId="0" applyFont="1" applyAlignment="1">
      <alignment horizontal="centerContinuous"/>
    </xf>
    <xf numFmtId="0" fontId="27" fillId="0" borderId="0" xfId="0" applyFont="1" applyAlignment="1">
      <alignment horizontal="centerContinuous"/>
    </xf>
    <xf numFmtId="0" fontId="27" fillId="0" borderId="0" xfId="0" applyFont="1" applyBorder="1" applyAlignment="1">
      <alignment/>
    </xf>
    <xf numFmtId="0" fontId="27" fillId="0" borderId="0" xfId="0" applyFont="1" applyAlignment="1">
      <alignment/>
    </xf>
    <xf numFmtId="0" fontId="23" fillId="0" borderId="0" xfId="0" applyFont="1" applyBorder="1" applyAlignment="1">
      <alignment/>
    </xf>
    <xf numFmtId="49" fontId="23" fillId="0" borderId="0" xfId="0" applyNumberFormat="1" applyFont="1" applyBorder="1" applyAlignment="1">
      <alignment/>
    </xf>
    <xf numFmtId="0" fontId="23" fillId="0" borderId="0" xfId="0" applyFont="1" applyBorder="1" applyAlignment="1">
      <alignment wrapText="1"/>
    </xf>
    <xf numFmtId="164" fontId="23" fillId="0" borderId="0" xfId="0" applyFont="1" applyBorder="1" applyAlignment="1">
      <alignment/>
    </xf>
    <xf numFmtId="0" fontId="17" fillId="0" borderId="0" xfId="0" applyFont="1" applyBorder="1" applyAlignment="1">
      <alignment horizontal="center"/>
    </xf>
    <xf numFmtId="49" fontId="33" fillId="0" borderId="1" xfId="0" applyNumberFormat="1" applyFont="1" applyAlignment="1">
      <alignment horizontal="center" wrapText="1"/>
    </xf>
    <xf numFmtId="0" fontId="16" fillId="0" borderId="71" xfId="0" applyFont="1" applyBorder="1" applyAlignment="1">
      <alignment horizontal="center" vertical="center" wrapText="1"/>
    </xf>
    <xf numFmtId="164" fontId="27" fillId="0" borderId="22" xfId="0" applyFont="1" applyBorder="1" applyAlignment="1">
      <alignment horizontal="centerContinuous" vertical="center"/>
    </xf>
    <xf numFmtId="164" fontId="27" fillId="0" borderId="72" xfId="0" applyFont="1" applyBorder="1" applyAlignment="1">
      <alignment horizontal="centerContinuous" vertical="center"/>
    </xf>
    <xf numFmtId="0" fontId="30" fillId="0" borderId="72" xfId="0" applyFont="1" applyBorder="1" applyAlignment="1">
      <alignment horizontal="centerContinuous" vertical="center" wrapText="1"/>
    </xf>
    <xf numFmtId="0" fontId="30" fillId="0" borderId="73" xfId="0" applyFont="1" applyBorder="1" applyAlignment="1">
      <alignment horizontal="centerContinuous" vertical="center" wrapText="1"/>
    </xf>
    <xf numFmtId="0" fontId="30" fillId="0" borderId="73" xfId="0" applyFont="1" applyBorder="1" applyAlignment="1">
      <alignment horizontal="centerContinuous" vertical="center"/>
    </xf>
    <xf numFmtId="0" fontId="30" fillId="0" borderId="72" xfId="0" applyFont="1" applyBorder="1" applyAlignment="1">
      <alignment horizontal="centerContinuous" vertical="center"/>
    </xf>
    <xf numFmtId="0" fontId="30" fillId="0" borderId="24" xfId="0" applyFont="1" applyBorder="1" applyAlignment="1">
      <alignment horizontal="centerContinuous" vertical="center"/>
    </xf>
    <xf numFmtId="0" fontId="30" fillId="0" borderId="74" xfId="0" applyFont="1" applyBorder="1" applyAlignment="1">
      <alignment horizontal="centerContinuous" vertical="center"/>
    </xf>
    <xf numFmtId="0" fontId="39" fillId="0" borderId="0" xfId="0" applyFont="1" applyAlignment="1">
      <alignment horizontal="center" vertical="center"/>
    </xf>
    <xf numFmtId="49" fontId="33" fillId="0" borderId="5" xfId="0" applyNumberFormat="1" applyFont="1" applyAlignment="1">
      <alignment horizontal="center" vertical="center"/>
    </xf>
    <xf numFmtId="0" fontId="16" fillId="0" borderId="59" xfId="0" applyFont="1" applyBorder="1" applyAlignment="1">
      <alignment vertical="center" wrapText="1"/>
    </xf>
    <xf numFmtId="0" fontId="16" fillId="0" borderId="52" xfId="0" applyFont="1" applyBorder="1" applyAlignment="1">
      <alignment horizontal="center" vertical="center" wrapText="1"/>
    </xf>
    <xf numFmtId="164" fontId="16" fillId="0" borderId="75" xfId="0" applyFont="1" applyBorder="1" applyAlignment="1">
      <alignment horizontal="center" vertical="center"/>
    </xf>
    <xf numFmtId="0" fontId="16" fillId="0" borderId="76" xfId="0" applyFont="1" applyBorder="1" applyAlignment="1">
      <alignment horizontal="center" vertical="center" wrapText="1"/>
    </xf>
    <xf numFmtId="0" fontId="31" fillId="0" borderId="77" xfId="0" applyFont="1" applyBorder="1" applyAlignment="1">
      <alignment horizontal="center" vertical="center" wrapText="1"/>
    </xf>
    <xf numFmtId="164" fontId="16" fillId="0" borderId="9" xfId="0" applyFont="1" applyAlignment="1">
      <alignment horizontal="center" vertical="center"/>
    </xf>
    <xf numFmtId="44" fontId="16" fillId="0" borderId="78" xfId="19" applyFont="1" applyBorder="1" applyAlignment="1">
      <alignment horizontal="center" vertical="center" wrapText="1"/>
    </xf>
    <xf numFmtId="44" fontId="16" fillId="0" borderId="79" xfId="19" applyFont="1" applyBorder="1" applyAlignment="1">
      <alignment horizontal="center" vertical="center" wrapText="1"/>
    </xf>
    <xf numFmtId="0" fontId="15" fillId="0" borderId="0" xfId="0" applyFont="1" applyAlignment="1">
      <alignment vertical="center"/>
    </xf>
    <xf numFmtId="49" fontId="31" fillId="0" borderId="11" xfId="0" applyNumberFormat="1" applyFont="1" applyBorder="1" applyAlignment="1">
      <alignment horizontal="center" vertical="center"/>
    </xf>
    <xf numFmtId="0" fontId="31" fillId="0" borderId="33" xfId="0" applyFont="1" applyBorder="1" applyAlignment="1">
      <alignment horizontal="centerContinuous" vertical="center" wrapText="1"/>
    </xf>
    <xf numFmtId="0" fontId="31" fillId="0" borderId="34" xfId="0" applyFont="1" applyBorder="1" applyAlignment="1">
      <alignment horizontal="center" vertical="center"/>
    </xf>
    <xf numFmtId="0" fontId="31" fillId="0" borderId="12"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12" xfId="0" applyFont="1" applyBorder="1" applyAlignment="1">
      <alignment horizontal="center" vertical="center"/>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vertical="center"/>
    </xf>
    <xf numFmtId="49" fontId="16" fillId="0" borderId="14" xfId="0" applyNumberFormat="1" applyFont="1" applyBorder="1" applyAlignment="1">
      <alignment horizontal="center" vertical="center"/>
    </xf>
    <xf numFmtId="0" fontId="16" fillId="0" borderId="81" xfId="0" applyFont="1" applyBorder="1" applyAlignment="1">
      <alignment vertical="center" wrapText="1"/>
    </xf>
    <xf numFmtId="3" fontId="16" fillId="0" borderId="36" xfId="0" applyNumberFormat="1" applyFont="1" applyBorder="1" applyAlignment="1">
      <alignment vertical="center"/>
    </xf>
    <xf numFmtId="3" fontId="16" fillId="0" borderId="38" xfId="0" applyNumberFormat="1" applyFont="1" applyBorder="1" applyAlignment="1">
      <alignment vertical="center"/>
    </xf>
    <xf numFmtId="3" fontId="16" fillId="0" borderId="39" xfId="0" applyNumberFormat="1" applyFont="1" applyBorder="1" applyAlignment="1">
      <alignment vertical="center"/>
    </xf>
    <xf numFmtId="164" fontId="26" fillId="0" borderId="82" xfId="0" applyNumberFormat="1" applyFont="1" applyBorder="1" applyAlignment="1">
      <alignment vertical="center"/>
    </xf>
    <xf numFmtId="164" fontId="35" fillId="0" borderId="36" xfId="0" applyNumberFormat="1" applyFont="1" applyBorder="1" applyAlignment="1">
      <alignment vertical="center"/>
    </xf>
    <xf numFmtId="3" fontId="16" fillId="0" borderId="39" xfId="0" applyNumberFormat="1" applyFont="1" applyBorder="1" applyAlignment="1">
      <alignment vertical="center"/>
    </xf>
    <xf numFmtId="3" fontId="16" fillId="0" borderId="38" xfId="0" applyNumberFormat="1" applyFont="1" applyBorder="1" applyAlignment="1">
      <alignment vertical="center"/>
    </xf>
    <xf numFmtId="3" fontId="16" fillId="0" borderId="83" xfId="0" applyNumberFormat="1" applyFont="1" applyBorder="1" applyAlignment="1">
      <alignment vertical="center"/>
    </xf>
    <xf numFmtId="0" fontId="16" fillId="0" borderId="0" xfId="0" applyFont="1" applyAlignment="1">
      <alignment vertical="center"/>
    </xf>
    <xf numFmtId="49" fontId="36" fillId="0" borderId="5" xfId="0" applyNumberFormat="1" applyFont="1" applyBorder="1" applyAlignment="1">
      <alignment horizontal="center" vertical="center"/>
    </xf>
    <xf numFmtId="0" fontId="36" fillId="0" borderId="59" xfId="0" applyFont="1" applyBorder="1" applyAlignment="1">
      <alignment vertical="center" wrapText="1"/>
    </xf>
    <xf numFmtId="3" fontId="36" fillId="0" borderId="41" xfId="0" applyNumberFormat="1" applyFont="1" applyBorder="1" applyAlignment="1">
      <alignment vertical="center"/>
    </xf>
    <xf numFmtId="3" fontId="36" fillId="0" borderId="43" xfId="0" applyNumberFormat="1" applyFont="1" applyBorder="1" applyAlignment="1">
      <alignment vertical="center"/>
    </xf>
    <xf numFmtId="3" fontId="36" fillId="0" borderId="6" xfId="0" applyNumberFormat="1" applyFont="1" applyBorder="1" applyAlignment="1">
      <alignment vertical="center"/>
    </xf>
    <xf numFmtId="164" fontId="40" fillId="0" borderId="50" xfId="0" applyNumberFormat="1" applyFont="1" applyBorder="1" applyAlignment="1">
      <alignment vertical="center"/>
    </xf>
    <xf numFmtId="164" fontId="36" fillId="0" borderId="41" xfId="0" applyNumberFormat="1" applyFont="1" applyBorder="1" applyAlignment="1">
      <alignment vertical="center"/>
    </xf>
    <xf numFmtId="3" fontId="36" fillId="0" borderId="6" xfId="0" applyNumberFormat="1" applyFont="1" applyAlignment="1">
      <alignment vertical="center"/>
    </xf>
    <xf numFmtId="3" fontId="36" fillId="0" borderId="49" xfId="0" applyNumberFormat="1" applyFont="1" applyBorder="1" applyAlignment="1">
      <alignment vertical="center"/>
    </xf>
    <xf numFmtId="0" fontId="36" fillId="0" borderId="0" xfId="0" applyFont="1" applyAlignment="1">
      <alignment vertical="center"/>
    </xf>
    <xf numFmtId="164" fontId="36" fillId="0" borderId="41" xfId="0" applyNumberFormat="1" applyFont="1" applyBorder="1" applyAlignment="1">
      <alignment horizontal="center" vertical="center"/>
    </xf>
    <xf numFmtId="49" fontId="16" fillId="0" borderId="35" xfId="0" applyNumberFormat="1" applyFont="1" applyBorder="1" applyAlignment="1">
      <alignment horizontal="center" vertical="center"/>
    </xf>
    <xf numFmtId="3" fontId="16" fillId="0" borderId="37" xfId="0" applyNumberFormat="1" applyFont="1" applyBorder="1" applyAlignment="1">
      <alignment vertical="center"/>
    </xf>
    <xf numFmtId="3" fontId="16" fillId="0" borderId="48" xfId="0" applyNumberFormat="1" applyFont="1" applyBorder="1" applyAlignment="1">
      <alignment vertical="center"/>
    </xf>
    <xf numFmtId="3" fontId="16" fillId="0" borderId="81" xfId="0" applyNumberFormat="1" applyFont="1" applyBorder="1" applyAlignment="1">
      <alignment vertical="center"/>
    </xf>
    <xf numFmtId="3" fontId="16" fillId="0" borderId="40" xfId="0" applyNumberFormat="1" applyFont="1" applyBorder="1" applyAlignment="1">
      <alignment vertical="center"/>
    </xf>
    <xf numFmtId="3" fontId="36" fillId="0" borderId="50" xfId="0" applyNumberFormat="1" applyFont="1" applyBorder="1" applyAlignment="1">
      <alignment vertical="center"/>
    </xf>
    <xf numFmtId="3" fontId="36" fillId="0" borderId="47" xfId="0" applyNumberFormat="1" applyFont="1" applyBorder="1" applyAlignment="1">
      <alignment vertical="center"/>
    </xf>
    <xf numFmtId="49" fontId="16" fillId="0" borderId="35" xfId="0" applyNumberFormat="1" applyFont="1" applyBorder="1" applyAlignment="1">
      <alignment horizontal="center" vertical="center"/>
    </xf>
    <xf numFmtId="3" fontId="16" fillId="0" borderId="49" xfId="0" applyNumberFormat="1" applyFont="1" applyBorder="1" applyAlignment="1">
      <alignment vertical="center"/>
    </xf>
    <xf numFmtId="49" fontId="41" fillId="0" borderId="5" xfId="0" applyNumberFormat="1" applyFont="1" applyBorder="1" applyAlignment="1">
      <alignment horizontal="center" vertical="center"/>
    </xf>
    <xf numFmtId="0" fontId="41" fillId="0" borderId="59" xfId="0" applyFont="1" applyBorder="1" applyAlignment="1">
      <alignment vertical="center" wrapText="1"/>
    </xf>
    <xf numFmtId="3" fontId="41" fillId="0" borderId="41" xfId="0" applyNumberFormat="1" applyFont="1" applyBorder="1" applyAlignment="1">
      <alignment vertical="center"/>
    </xf>
    <xf numFmtId="3" fontId="41" fillId="0" borderId="43" xfId="0" applyNumberFormat="1" applyFont="1" applyBorder="1" applyAlignment="1">
      <alignment vertical="center"/>
    </xf>
    <xf numFmtId="3" fontId="41" fillId="0" borderId="6" xfId="0" applyNumberFormat="1" applyFont="1" applyBorder="1" applyAlignment="1">
      <alignment vertical="center"/>
    </xf>
    <xf numFmtId="3" fontId="41" fillId="0" borderId="6" xfId="0" applyNumberFormat="1" applyFont="1" applyAlignment="1">
      <alignment vertical="center"/>
    </xf>
    <xf numFmtId="3" fontId="36" fillId="0" borderId="7" xfId="0" applyNumberFormat="1" applyFont="1" applyBorder="1" applyAlignment="1">
      <alignment vertical="center"/>
    </xf>
    <xf numFmtId="0" fontId="41" fillId="0" borderId="0" xfId="0" applyFont="1" applyAlignment="1">
      <alignment vertical="center"/>
    </xf>
    <xf numFmtId="164" fontId="40" fillId="0" borderId="50" xfId="0" applyNumberFormat="1" applyFont="1" applyBorder="1" applyAlignment="1">
      <alignment horizontal="center" vertical="center"/>
    </xf>
    <xf numFmtId="165" fontId="16" fillId="0" borderId="81" xfId="0" applyNumberFormat="1" applyFont="1" applyBorder="1" applyAlignment="1">
      <alignment vertical="center" wrapText="1"/>
    </xf>
    <xf numFmtId="3" fontId="16" fillId="0" borderId="48" xfId="0" applyNumberFormat="1" applyFont="1" applyBorder="1" applyAlignment="1">
      <alignment vertical="center"/>
    </xf>
    <xf numFmtId="3" fontId="36" fillId="0" borderId="43" xfId="0" applyNumberFormat="1" applyFont="1" applyBorder="1" applyAlignment="1">
      <alignment vertical="center"/>
    </xf>
    <xf numFmtId="3" fontId="36" fillId="0" borderId="59" xfId="0" applyNumberFormat="1" applyFont="1" applyBorder="1" applyAlignment="1">
      <alignment vertical="center"/>
    </xf>
    <xf numFmtId="3" fontId="17" fillId="0" borderId="49" xfId="0" applyNumberFormat="1" applyFont="1" applyBorder="1" applyAlignment="1">
      <alignment vertical="center"/>
    </xf>
    <xf numFmtId="3" fontId="36" fillId="0" borderId="7" xfId="0" applyNumberFormat="1" applyFont="1" applyBorder="1" applyAlignment="1">
      <alignment vertical="center"/>
    </xf>
    <xf numFmtId="49" fontId="16" fillId="0" borderId="5" xfId="0" applyNumberFormat="1" applyFont="1" applyBorder="1" applyAlignment="1">
      <alignment horizontal="center" vertical="center"/>
    </xf>
    <xf numFmtId="0" fontId="16" fillId="0" borderId="36" xfId="0" applyFont="1" applyBorder="1" applyAlignment="1">
      <alignment vertical="center" wrapText="1"/>
    </xf>
    <xf numFmtId="3" fontId="16" fillId="0" borderId="41" xfId="0" applyNumberFormat="1" applyFont="1" applyBorder="1" applyAlignment="1">
      <alignment vertical="center"/>
    </xf>
    <xf numFmtId="164" fontId="16" fillId="0" borderId="82" xfId="0" applyNumberFormat="1" applyFont="1" applyBorder="1" applyAlignment="1">
      <alignment horizontal="center" vertical="center"/>
    </xf>
    <xf numFmtId="164" fontId="16" fillId="0" borderId="36" xfId="0" applyNumberFormat="1" applyFont="1" applyBorder="1" applyAlignment="1">
      <alignment vertical="center"/>
    </xf>
    <xf numFmtId="3" fontId="36" fillId="0" borderId="6" xfId="0" applyNumberFormat="1" applyFont="1" applyBorder="1" applyAlignment="1">
      <alignment vertical="center"/>
    </xf>
    <xf numFmtId="0" fontId="36" fillId="0" borderId="0" xfId="0" applyFont="1" applyBorder="1" applyAlignment="1">
      <alignment vertical="center"/>
    </xf>
    <xf numFmtId="49" fontId="17" fillId="0" borderId="26" xfId="0" applyNumberFormat="1" applyFont="1" applyBorder="1" applyAlignment="1">
      <alignment horizontal="center" vertical="center"/>
    </xf>
    <xf numFmtId="0" fontId="17" fillId="0" borderId="84" xfId="0" applyFont="1" applyBorder="1" applyAlignment="1">
      <alignment vertical="center" wrapText="1"/>
    </xf>
    <xf numFmtId="3" fontId="17" fillId="0" borderId="27" xfId="0" applyNumberFormat="1" applyFont="1" applyBorder="1" applyAlignment="1">
      <alignment vertical="center"/>
    </xf>
    <xf numFmtId="3" fontId="17" fillId="0" borderId="43" xfId="0" applyNumberFormat="1" applyFont="1" applyBorder="1" applyAlignment="1">
      <alignment vertical="center"/>
    </xf>
    <xf numFmtId="3" fontId="17" fillId="0" borderId="6" xfId="0" applyNumberFormat="1" applyFont="1" applyBorder="1" applyAlignment="1">
      <alignment vertical="center"/>
    </xf>
    <xf numFmtId="164" fontId="17" fillId="0" borderId="41" xfId="0" applyNumberFormat="1" applyFont="1" applyBorder="1" applyAlignment="1">
      <alignment vertical="center"/>
    </xf>
    <xf numFmtId="3" fontId="17" fillId="0" borderId="46" xfId="0" applyNumberFormat="1" applyFont="1" applyAlignment="1">
      <alignment vertical="center"/>
    </xf>
    <xf numFmtId="3" fontId="17" fillId="0" borderId="41" xfId="0" applyNumberFormat="1" applyFont="1" applyBorder="1" applyAlignment="1">
      <alignment vertical="center"/>
    </xf>
    <xf numFmtId="3" fontId="17" fillId="0" borderId="45" xfId="0" applyNumberFormat="1" applyFont="1" applyBorder="1" applyAlignment="1">
      <alignment vertical="center"/>
    </xf>
    <xf numFmtId="0" fontId="17" fillId="0" borderId="0" xfId="0" applyFont="1" applyAlignment="1">
      <alignment vertical="center"/>
    </xf>
    <xf numFmtId="164" fontId="26" fillId="0" borderId="82" xfId="0" applyNumberFormat="1" applyFont="1" applyBorder="1" applyAlignment="1">
      <alignment horizontal="center" vertical="center"/>
    </xf>
    <xf numFmtId="0" fontId="36" fillId="0" borderId="27" xfId="0" applyFont="1" applyBorder="1" applyAlignment="1">
      <alignment vertical="center" wrapText="1"/>
    </xf>
    <xf numFmtId="3" fontId="36" fillId="0" borderId="27" xfId="0" applyNumberFormat="1" applyFont="1" applyBorder="1" applyAlignment="1">
      <alignment vertical="center"/>
    </xf>
    <xf numFmtId="3" fontId="36" fillId="0" borderId="45" xfId="0" applyNumberFormat="1" applyFont="1" applyBorder="1" applyAlignment="1">
      <alignment vertical="center"/>
    </xf>
    <xf numFmtId="3" fontId="36" fillId="0" borderId="46" xfId="0" applyNumberFormat="1" applyFont="1" applyBorder="1" applyAlignment="1">
      <alignment vertical="center"/>
    </xf>
    <xf numFmtId="164" fontId="40" fillId="0" borderId="85" xfId="0" applyNumberFormat="1" applyFont="1" applyBorder="1" applyAlignment="1">
      <alignment vertical="center"/>
    </xf>
    <xf numFmtId="164" fontId="32" fillId="0" borderId="27" xfId="0" applyNumberFormat="1" applyFont="1" applyBorder="1" applyAlignment="1">
      <alignment vertical="center"/>
    </xf>
    <xf numFmtId="3" fontId="36" fillId="0" borderId="46" xfId="0" applyNumberFormat="1" applyFont="1" applyBorder="1" applyAlignment="1">
      <alignment vertical="center"/>
    </xf>
    <xf numFmtId="3" fontId="36" fillId="0" borderId="45" xfId="0" applyNumberFormat="1" applyFont="1" applyBorder="1" applyAlignment="1">
      <alignment vertical="center"/>
    </xf>
    <xf numFmtId="3" fontId="36" fillId="0" borderId="86" xfId="0" applyNumberFormat="1" applyFont="1" applyBorder="1" applyAlignment="1">
      <alignment vertical="center"/>
    </xf>
    <xf numFmtId="49" fontId="16" fillId="0" borderId="59" xfId="0" applyNumberFormat="1" applyFont="1" applyBorder="1" applyAlignment="1">
      <alignment horizontal="center" vertical="center"/>
    </xf>
    <xf numFmtId="3" fontId="16" fillId="0" borderId="43" xfId="0" applyNumberFormat="1" applyFont="1" applyBorder="1" applyAlignment="1">
      <alignment vertical="center"/>
    </xf>
    <xf numFmtId="3" fontId="16" fillId="0" borderId="6" xfId="0" applyNumberFormat="1" applyFont="1" applyBorder="1" applyAlignment="1">
      <alignment vertical="center"/>
    </xf>
    <xf numFmtId="164" fontId="26" fillId="0" borderId="50" xfId="0" applyNumberFormat="1" applyFont="1" applyBorder="1" applyAlignment="1">
      <alignment vertical="center"/>
    </xf>
    <xf numFmtId="164" fontId="35" fillId="0" borderId="41" xfId="0" applyNumberFormat="1" applyFont="1" applyBorder="1" applyAlignment="1">
      <alignment vertical="center"/>
    </xf>
    <xf numFmtId="3" fontId="16" fillId="0" borderId="6" xfId="0" applyNumberFormat="1" applyFont="1" applyBorder="1" applyAlignment="1">
      <alignment vertical="center"/>
    </xf>
    <xf numFmtId="3" fontId="16" fillId="0" borderId="43" xfId="0" applyNumberFormat="1" applyFont="1" applyBorder="1" applyAlignment="1">
      <alignment vertical="center"/>
    </xf>
    <xf numFmtId="3" fontId="16" fillId="0" borderId="7" xfId="0" applyNumberFormat="1" applyFont="1" applyBorder="1" applyAlignment="1">
      <alignment vertical="center"/>
    </xf>
    <xf numFmtId="49" fontId="36" fillId="0" borderId="26" xfId="0" applyNumberFormat="1" applyFont="1" applyBorder="1" applyAlignment="1">
      <alignment horizontal="center" vertical="center"/>
    </xf>
    <xf numFmtId="164" fontId="40" fillId="0" borderId="87" xfId="0" applyNumberFormat="1" applyFont="1" applyBorder="1" applyAlignment="1">
      <alignment vertical="center"/>
    </xf>
    <xf numFmtId="3" fontId="16" fillId="0" borderId="39" xfId="0" applyNumberFormat="1" applyFont="1" applyBorder="1" applyAlignment="1">
      <alignment vertical="center"/>
    </xf>
    <xf numFmtId="164" fontId="16" fillId="0" borderId="82" xfId="0" applyNumberFormat="1" applyFont="1" applyBorder="1" applyAlignment="1">
      <alignment vertical="center"/>
    </xf>
    <xf numFmtId="164" fontId="31" fillId="0" borderId="6" xfId="0" applyNumberFormat="1" applyFont="1" applyBorder="1" applyAlignment="1">
      <alignment vertical="center"/>
    </xf>
    <xf numFmtId="49" fontId="36" fillId="0" borderId="5" xfId="0" applyNumberFormat="1" applyFont="1" applyBorder="1" applyAlignment="1">
      <alignment vertical="center"/>
    </xf>
    <xf numFmtId="3" fontId="36" fillId="0" borderId="42" xfId="0" applyNumberFormat="1" applyFont="1" applyBorder="1" applyAlignment="1">
      <alignment vertical="center"/>
    </xf>
    <xf numFmtId="0" fontId="16" fillId="0" borderId="0" xfId="0" applyFont="1" applyBorder="1" applyAlignment="1">
      <alignment vertical="center"/>
    </xf>
    <xf numFmtId="164" fontId="40" fillId="0" borderId="0" xfId="0" applyNumberFormat="1" applyFont="1" applyBorder="1" applyAlignment="1">
      <alignment vertical="center"/>
    </xf>
    <xf numFmtId="164" fontId="36" fillId="0" borderId="41" xfId="0" applyNumberFormat="1" applyFont="1" applyBorder="1" applyAlignment="1">
      <alignment vertical="center"/>
    </xf>
    <xf numFmtId="3" fontId="16" fillId="0" borderId="36" xfId="0" applyNumberFormat="1" applyFont="1" applyBorder="1" applyAlignment="1">
      <alignment vertical="center"/>
    </xf>
    <xf numFmtId="164" fontId="35" fillId="0" borderId="36" xfId="0" applyNumberFormat="1" applyFont="1" applyBorder="1" applyAlignment="1">
      <alignment vertical="center"/>
    </xf>
    <xf numFmtId="3" fontId="16" fillId="0" borderId="39" xfId="0" applyNumberFormat="1" applyFont="1" applyBorder="1" applyAlignment="1">
      <alignment vertical="center"/>
    </xf>
    <xf numFmtId="3" fontId="16" fillId="0" borderId="38" xfId="0" applyNumberFormat="1" applyFont="1" applyBorder="1" applyAlignment="1">
      <alignment vertical="center"/>
    </xf>
    <xf numFmtId="3" fontId="16" fillId="0" borderId="40" xfId="0" applyNumberFormat="1" applyFont="1" applyBorder="1" applyAlignment="1">
      <alignment vertical="center"/>
    </xf>
    <xf numFmtId="0" fontId="16" fillId="0" borderId="0" xfId="0" applyFont="1" applyAlignment="1">
      <alignment vertical="center"/>
    </xf>
    <xf numFmtId="165" fontId="17" fillId="0" borderId="41" xfId="0" applyNumberFormat="1" applyFont="1" applyBorder="1" applyAlignment="1">
      <alignment vertical="center" wrapText="1"/>
    </xf>
    <xf numFmtId="49" fontId="30" fillId="0" borderId="1" xfId="0" applyNumberFormat="1" applyFont="1" applyBorder="1" applyAlignment="1">
      <alignment horizontal="center" vertical="center"/>
    </xf>
    <xf numFmtId="3" fontId="30" fillId="0" borderId="20" xfId="0" applyNumberFormat="1" applyFont="1" applyBorder="1" applyAlignment="1">
      <alignment vertical="center"/>
    </xf>
    <xf numFmtId="3" fontId="30" fillId="0" borderId="2" xfId="0" applyNumberFormat="1" applyFont="1" applyFill="1" applyBorder="1" applyAlignment="1">
      <alignment horizontal="right" vertical="center"/>
    </xf>
    <xf numFmtId="3" fontId="30" fillId="0" borderId="88" xfId="0" applyNumberFormat="1" applyFont="1" applyBorder="1" applyAlignment="1">
      <alignment horizontal="right" vertical="center"/>
    </xf>
    <xf numFmtId="164" fontId="26" fillId="0" borderId="88" xfId="0" applyNumberFormat="1" applyFont="1" applyBorder="1" applyAlignment="1">
      <alignment vertical="center"/>
    </xf>
    <xf numFmtId="164" fontId="34" fillId="0" borderId="20" xfId="0" applyNumberFormat="1" applyFont="1" applyBorder="1" applyAlignment="1">
      <alignment horizontal="right" vertical="center"/>
    </xf>
    <xf numFmtId="3" fontId="30" fillId="0" borderId="88" xfId="0" applyNumberFormat="1" applyFont="1" applyBorder="1" applyAlignment="1">
      <alignment vertical="center"/>
    </xf>
    <xf numFmtId="3" fontId="30" fillId="0" borderId="89" xfId="0" applyNumberFormat="1" applyFont="1" applyBorder="1" applyAlignment="1">
      <alignment vertical="center"/>
    </xf>
    <xf numFmtId="3" fontId="30" fillId="0" borderId="90" xfId="0" applyNumberFormat="1" applyFont="1" applyBorder="1" applyAlignment="1">
      <alignment vertical="center"/>
    </xf>
    <xf numFmtId="3" fontId="30" fillId="0" borderId="2" xfId="0" applyNumberFormat="1" applyFont="1" applyBorder="1" applyAlignment="1">
      <alignment vertical="center"/>
    </xf>
    <xf numFmtId="3" fontId="30" fillId="0" borderId="2" xfId="0" applyNumberFormat="1" applyFont="1" applyBorder="1" applyAlignment="1">
      <alignment vertical="center"/>
    </xf>
    <xf numFmtId="3" fontId="30" fillId="0" borderId="91" xfId="0" applyNumberFormat="1" applyFont="1" applyBorder="1" applyAlignment="1">
      <alignment vertical="center"/>
    </xf>
    <xf numFmtId="49" fontId="17" fillId="0" borderId="5" xfId="0" applyNumberFormat="1" applyFont="1" applyBorder="1" applyAlignment="1">
      <alignment vertical="center"/>
    </xf>
    <xf numFmtId="3" fontId="17" fillId="0" borderId="59" xfId="0" applyNumberFormat="1" applyFont="1" applyBorder="1" applyAlignment="1">
      <alignment vertical="center"/>
    </xf>
    <xf numFmtId="3" fontId="17" fillId="0" borderId="43" xfId="0" applyNumberFormat="1" applyFont="1" applyFill="1" applyBorder="1" applyAlignment="1">
      <alignment vertical="center"/>
    </xf>
    <xf numFmtId="164" fontId="40" fillId="0" borderId="0" xfId="0" applyNumberFormat="1" applyFont="1" applyFill="1" applyBorder="1" applyAlignment="1">
      <alignment vertical="center"/>
    </xf>
    <xf numFmtId="3" fontId="17" fillId="0" borderId="43" xfId="0" applyNumberFormat="1" applyFont="1" applyBorder="1" applyAlignment="1">
      <alignment vertical="center"/>
    </xf>
    <xf numFmtId="3" fontId="17" fillId="0" borderId="0" xfId="0" applyNumberFormat="1" applyFont="1" applyBorder="1" applyAlignment="1">
      <alignment vertical="center"/>
    </xf>
    <xf numFmtId="3" fontId="17" fillId="0" borderId="60" xfId="0" applyNumberFormat="1" applyFont="1" applyBorder="1" applyAlignment="1">
      <alignment vertical="center"/>
    </xf>
    <xf numFmtId="0" fontId="17" fillId="0" borderId="0" xfId="0" applyFont="1" applyBorder="1" applyAlignment="1">
      <alignment vertical="center"/>
    </xf>
    <xf numFmtId="49" fontId="15" fillId="0" borderId="5" xfId="0" applyNumberFormat="1" applyFont="1" applyBorder="1" applyAlignment="1">
      <alignment vertical="center"/>
    </xf>
    <xf numFmtId="3" fontId="15" fillId="0" borderId="41" xfId="0" applyNumberFormat="1" applyFont="1" applyBorder="1" applyAlignment="1">
      <alignment vertical="center"/>
    </xf>
    <xf numFmtId="3" fontId="15" fillId="0" borderId="43" xfId="0" applyNumberFormat="1" applyFont="1" applyFill="1" applyBorder="1" applyAlignment="1">
      <alignment vertical="center"/>
    </xf>
    <xf numFmtId="164" fontId="31" fillId="0" borderId="0" xfId="0" applyNumberFormat="1" applyFont="1" applyFill="1" applyBorder="1" applyAlignment="1">
      <alignment vertical="center"/>
    </xf>
    <xf numFmtId="3" fontId="15" fillId="0" borderId="6" xfId="0" applyNumberFormat="1" applyFont="1" applyBorder="1" applyAlignment="1">
      <alignment vertical="center"/>
    </xf>
    <xf numFmtId="3" fontId="15" fillId="0" borderId="50" xfId="0" applyNumberFormat="1" applyFont="1" applyBorder="1" applyAlignment="1">
      <alignment vertical="center"/>
    </xf>
    <xf numFmtId="3" fontId="15" fillId="0" borderId="60" xfId="0" applyNumberFormat="1" applyFont="1" applyBorder="1" applyAlignment="1">
      <alignment vertical="center"/>
    </xf>
    <xf numFmtId="3" fontId="15" fillId="0" borderId="43" xfId="0" applyNumberFormat="1" applyFont="1" applyBorder="1" applyAlignment="1">
      <alignment vertical="center"/>
    </xf>
    <xf numFmtId="3" fontId="15" fillId="0" borderId="43" xfId="0" applyNumberFormat="1" applyFont="1" applyBorder="1" applyAlignment="1">
      <alignment vertical="center"/>
    </xf>
    <xf numFmtId="3" fontId="15" fillId="0" borderId="49" xfId="0" applyNumberFormat="1" applyFont="1" applyBorder="1" applyAlignment="1">
      <alignment vertical="center"/>
    </xf>
    <xf numFmtId="165" fontId="15" fillId="0" borderId="0" xfId="0" applyNumberFormat="1" applyFont="1" applyBorder="1" applyAlignment="1">
      <alignment vertical="center"/>
    </xf>
    <xf numFmtId="165" fontId="17" fillId="0" borderId="59" xfId="0" applyNumberFormat="1" applyFont="1" applyBorder="1" applyAlignment="1">
      <alignment vertical="center" wrapText="1"/>
    </xf>
    <xf numFmtId="3" fontId="17" fillId="0" borderId="6" xfId="0" applyNumberFormat="1" applyFont="1" applyBorder="1" applyAlignment="1">
      <alignment vertical="center"/>
    </xf>
    <xf numFmtId="3" fontId="17" fillId="0" borderId="50" xfId="0" applyNumberFormat="1" applyFont="1" applyBorder="1" applyAlignment="1">
      <alignment vertical="center"/>
    </xf>
    <xf numFmtId="3" fontId="17" fillId="0" borderId="61" xfId="0" applyNumberFormat="1" applyFont="1" applyBorder="1" applyAlignment="1">
      <alignment vertical="center"/>
    </xf>
    <xf numFmtId="3" fontId="17" fillId="0" borderId="41" xfId="0" applyNumberFormat="1" applyFont="1" applyBorder="1" applyAlignment="1">
      <alignment vertical="center"/>
    </xf>
    <xf numFmtId="3" fontId="17" fillId="0" borderId="7" xfId="0" applyNumberFormat="1" applyFont="1" applyBorder="1" applyAlignment="1">
      <alignment vertical="center"/>
    </xf>
    <xf numFmtId="165" fontId="17" fillId="0" borderId="0" xfId="0" applyNumberFormat="1" applyFont="1" applyBorder="1" applyAlignment="1">
      <alignment vertical="center"/>
    </xf>
    <xf numFmtId="49" fontId="17" fillId="0" borderId="17" xfId="0" applyNumberFormat="1" applyFont="1" applyBorder="1" applyAlignment="1">
      <alignment/>
    </xf>
    <xf numFmtId="165" fontId="17" fillId="0" borderId="92" xfId="0" applyNumberFormat="1" applyFont="1" applyBorder="1" applyAlignment="1">
      <alignment vertical="center" wrapText="1"/>
    </xf>
    <xf numFmtId="3" fontId="17" fillId="0" borderId="92" xfId="0" applyNumberFormat="1" applyFont="1" applyBorder="1" applyAlignment="1">
      <alignment/>
    </xf>
    <xf numFmtId="3" fontId="17" fillId="0" borderId="93" xfId="0" applyNumberFormat="1" applyFont="1" applyFill="1" applyBorder="1" applyAlignment="1">
      <alignment vertical="center"/>
    </xf>
    <xf numFmtId="3" fontId="17" fillId="0" borderId="18" xfId="0" applyNumberFormat="1" applyFont="1" applyBorder="1" applyAlignment="1">
      <alignment vertical="center"/>
    </xf>
    <xf numFmtId="164" fontId="40" fillId="0" borderId="94" xfId="0" applyNumberFormat="1" applyFont="1" applyBorder="1" applyAlignment="1">
      <alignment vertical="center"/>
    </xf>
    <xf numFmtId="164" fontId="17" fillId="0" borderId="95" xfId="0" applyNumberFormat="1" applyFont="1" applyBorder="1" applyAlignment="1">
      <alignment horizontal="right" vertical="center"/>
    </xf>
    <xf numFmtId="3" fontId="17" fillId="0" borderId="93" xfId="0" applyNumberFormat="1" applyFont="1" applyBorder="1" applyAlignment="1">
      <alignment/>
    </xf>
    <xf numFmtId="3" fontId="17" fillId="0" borderId="94" xfId="0" applyNumberFormat="1" applyFont="1" applyBorder="1" applyAlignment="1">
      <alignment/>
    </xf>
    <xf numFmtId="3" fontId="17" fillId="0" borderId="96" xfId="0" applyNumberFormat="1" applyFont="1" applyBorder="1" applyAlignment="1">
      <alignment/>
    </xf>
    <xf numFmtId="3" fontId="17" fillId="0" borderId="97" xfId="0" applyNumberFormat="1" applyFont="1" applyBorder="1" applyAlignment="1">
      <alignment/>
    </xf>
    <xf numFmtId="165" fontId="17" fillId="0" borderId="0" xfId="0" applyNumberFormat="1" applyFont="1" applyBorder="1" applyAlignment="1">
      <alignment/>
    </xf>
    <xf numFmtId="49" fontId="23" fillId="0" borderId="0" xfId="0" applyNumberFormat="1" applyFont="1" applyAlignment="1">
      <alignment/>
    </xf>
    <xf numFmtId="0" fontId="23" fillId="0" borderId="0" xfId="0" applyFont="1" applyAlignment="1">
      <alignment wrapText="1"/>
    </xf>
    <xf numFmtId="164" fontId="23" fillId="0" borderId="0" xfId="0" applyFont="1" applyAlignment="1">
      <alignment/>
    </xf>
    <xf numFmtId="0" fontId="23" fillId="0" borderId="0" xfId="0" applyFont="1" applyAlignment="1">
      <alignment/>
    </xf>
    <xf numFmtId="0" fontId="42" fillId="0" borderId="0" xfId="0" applyFont="1" applyAlignment="1">
      <alignment vertical="center"/>
    </xf>
    <xf numFmtId="168" fontId="16" fillId="0" borderId="0" xfId="0" applyNumberFormat="1" applyFont="1" applyBorder="1" applyAlignment="1">
      <alignment/>
    </xf>
    <xf numFmtId="168" fontId="16" fillId="0" borderId="0" xfId="0" applyNumberFormat="1" applyFont="1" applyAlignment="1">
      <alignment/>
    </xf>
    <xf numFmtId="168" fontId="15" fillId="0" borderId="0" xfId="0" applyNumberFormat="1" applyFont="1" applyAlignment="1">
      <alignment/>
    </xf>
    <xf numFmtId="164" fontId="27" fillId="0" borderId="0" xfId="0" applyFont="1" applyAlignment="1">
      <alignment horizontal="centerContinuous" wrapText="1"/>
    </xf>
    <xf numFmtId="168" fontId="27" fillId="0" borderId="0" xfId="0" applyNumberFormat="1" applyFont="1" applyBorder="1" applyAlignment="1">
      <alignment horizontal="centerContinuous" wrapText="1"/>
    </xf>
    <xf numFmtId="168" fontId="27" fillId="0" borderId="0" xfId="0" applyNumberFormat="1" applyFont="1" applyAlignment="1">
      <alignment horizontal="centerContinuous" wrapText="1"/>
    </xf>
    <xf numFmtId="168" fontId="38" fillId="0" borderId="0" xfId="0" applyNumberFormat="1" applyFont="1" applyAlignment="1">
      <alignment horizontal="centerContinuous" wrapText="1"/>
    </xf>
    <xf numFmtId="166" fontId="43" fillId="0" borderId="0" xfId="0" applyFont="1" applyAlignment="1">
      <alignment horizontal="centerContinuous" wrapText="1"/>
    </xf>
    <xf numFmtId="166" fontId="38" fillId="0" borderId="0" xfId="0" applyFont="1" applyAlignment="1">
      <alignment horizontal="centerContinuous" wrapText="1"/>
    </xf>
    <xf numFmtId="164" fontId="38" fillId="0" borderId="0" xfId="0" applyFont="1" applyAlignment="1">
      <alignment horizontal="centerContinuous" wrapText="1"/>
    </xf>
    <xf numFmtId="0" fontId="38" fillId="0" borderId="0" xfId="0" applyFont="1" applyBorder="1" applyAlignment="1">
      <alignment wrapText="1"/>
    </xf>
    <xf numFmtId="0" fontId="38" fillId="0" borderId="0" xfId="0" applyFont="1" applyAlignment="1">
      <alignment wrapText="1"/>
    </xf>
    <xf numFmtId="168" fontId="15" fillId="0" borderId="0" xfId="0" applyNumberFormat="1" applyFont="1" applyBorder="1" applyAlignment="1">
      <alignment horizontal="centerContinuous"/>
    </xf>
    <xf numFmtId="168" fontId="15" fillId="0" borderId="0" xfId="0" applyNumberFormat="1" applyFont="1" applyAlignment="1">
      <alignment horizontal="centerContinuous"/>
    </xf>
    <xf numFmtId="164" fontId="16" fillId="0" borderId="54" xfId="0" applyFont="1" applyBorder="1" applyAlignment="1">
      <alignment horizontal="center" vertical="center"/>
    </xf>
    <xf numFmtId="164" fontId="18" fillId="0" borderId="55" xfId="0" applyFont="1" applyBorder="1" applyAlignment="1">
      <alignment horizontal="center" vertical="center"/>
    </xf>
    <xf numFmtId="168" fontId="19" fillId="0" borderId="80" xfId="0" applyNumberFormat="1" applyFont="1" applyBorder="1" applyAlignment="1">
      <alignment horizontal="centerContinuous" vertical="center" wrapText="1"/>
    </xf>
    <xf numFmtId="168" fontId="44" fillId="0" borderId="34" xfId="0" applyNumberFormat="1" applyFont="1" applyBorder="1" applyAlignment="1">
      <alignment horizontal="centerContinuous" vertical="center" wrapText="1"/>
    </xf>
    <xf numFmtId="168" fontId="19" fillId="0" borderId="12" xfId="0" applyNumberFormat="1" applyFont="1" applyBorder="1" applyAlignment="1">
      <alignment horizontal="centerContinuous" vertical="center" wrapText="1"/>
    </xf>
    <xf numFmtId="168" fontId="24" fillId="0" borderId="12" xfId="0" applyNumberFormat="1" applyFont="1" applyBorder="1" applyAlignment="1">
      <alignment horizontal="centerContinuous" vertical="center" wrapText="1"/>
    </xf>
    <xf numFmtId="166" fontId="25" fillId="0" borderId="12" xfId="0" applyFont="1" applyBorder="1" applyAlignment="1">
      <alignment horizontal="centerContinuous" vertical="center" wrapText="1"/>
    </xf>
    <xf numFmtId="166" fontId="26" fillId="0" borderId="33" xfId="0" applyFont="1" applyBorder="1" applyAlignment="1">
      <alignment horizontal="centerContinuous" vertical="center" wrapText="1"/>
    </xf>
    <xf numFmtId="164" fontId="27" fillId="0" borderId="12" xfId="0" applyFont="1" applyBorder="1" applyAlignment="1">
      <alignment horizontal="centerContinuous" vertical="center" wrapText="1"/>
    </xf>
    <xf numFmtId="166" fontId="27" fillId="0" borderId="33" xfId="0" applyFont="1" applyBorder="1" applyAlignment="1">
      <alignment horizontal="centerContinuous" vertical="center" wrapText="1"/>
    </xf>
    <xf numFmtId="164" fontId="27" fillId="0" borderId="34" xfId="0" applyFont="1" applyBorder="1" applyAlignment="1">
      <alignment horizontal="centerContinuous" vertical="center" wrapText="1"/>
    </xf>
    <xf numFmtId="164" fontId="27" fillId="0" borderId="12" xfId="0" applyFont="1" applyBorder="1" applyAlignment="1">
      <alignment horizontal="centerContinuous" vertical="center" wrapText="1"/>
    </xf>
    <xf numFmtId="166" fontId="18" fillId="0" borderId="33" xfId="0" applyFont="1" applyBorder="1" applyAlignment="1">
      <alignment horizontal="centerContinuous" vertical="center" wrapText="1"/>
    </xf>
    <xf numFmtId="164" fontId="33" fillId="0" borderId="98" xfId="0" applyFont="1" applyBorder="1" applyAlignment="1">
      <alignment horizontal="center" vertical="top"/>
    </xf>
    <xf numFmtId="164" fontId="16" fillId="0" borderId="27" xfId="0" applyFont="1" applyBorder="1" applyAlignment="1">
      <alignment horizontal="center" vertical="top"/>
    </xf>
    <xf numFmtId="168" fontId="45" fillId="0" borderId="99" xfId="0" applyNumberFormat="1" applyFont="1" applyBorder="1" applyAlignment="1">
      <alignment horizontal="center" vertical="center" wrapText="1"/>
    </xf>
    <xf numFmtId="168" fontId="45" fillId="0" borderId="100" xfId="0" applyNumberFormat="1" applyFont="1" applyBorder="1" applyAlignment="1">
      <alignment horizontal="center" vertical="center" wrapText="1"/>
    </xf>
    <xf numFmtId="168" fontId="45" fillId="0" borderId="46" xfId="0" applyNumberFormat="1" applyFont="1" applyBorder="1" applyAlignment="1">
      <alignment horizontal="center" vertical="center" wrapText="1"/>
    </xf>
    <xf numFmtId="164" fontId="45" fillId="0" borderId="46"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7" xfId="0" applyFont="1" applyBorder="1" applyAlignment="1">
      <alignment horizontal="center" vertical="center" wrapText="1"/>
    </xf>
    <xf numFmtId="168" fontId="45" fillId="0" borderId="45" xfId="0" applyNumberFormat="1" applyFont="1" applyBorder="1" applyAlignment="1">
      <alignment horizontal="center" vertical="center" wrapText="1"/>
    </xf>
    <xf numFmtId="0" fontId="45" fillId="0" borderId="27" xfId="0" applyFont="1" applyBorder="1" applyAlignment="1">
      <alignment horizontal="center" vertical="center" wrapText="1"/>
    </xf>
    <xf numFmtId="3" fontId="46" fillId="0" borderId="101" xfId="0" applyFont="1" applyBorder="1" applyAlignment="1">
      <alignment horizontal="center" vertical="center"/>
    </xf>
    <xf numFmtId="3" fontId="46" fillId="0" borderId="33" xfId="0" applyFont="1" applyBorder="1" applyAlignment="1">
      <alignment horizontal="center" vertical="center"/>
    </xf>
    <xf numFmtId="3" fontId="46" fillId="0" borderId="102" xfId="0" applyNumberFormat="1" applyFont="1" applyBorder="1" applyAlignment="1">
      <alignment horizontal="center" vertical="center"/>
    </xf>
    <xf numFmtId="3" fontId="46" fillId="0" borderId="12" xfId="0" applyNumberFormat="1" applyFont="1" applyBorder="1" applyAlignment="1">
      <alignment horizontal="center" vertical="center"/>
    </xf>
    <xf numFmtId="3" fontId="46" fillId="0" borderId="12" xfId="0" applyNumberFormat="1" applyFont="1" applyBorder="1" applyAlignment="1">
      <alignment horizontal="center" vertical="center"/>
    </xf>
    <xf numFmtId="3" fontId="46" fillId="0" borderId="12" xfId="0" applyFont="1" applyBorder="1" applyAlignment="1">
      <alignment horizontal="center" vertical="center"/>
    </xf>
    <xf numFmtId="3" fontId="46" fillId="0" borderId="34" xfId="0" applyFont="1" applyBorder="1" applyAlignment="1">
      <alignment horizontal="center" vertical="center"/>
    </xf>
    <xf numFmtId="3" fontId="46" fillId="0" borderId="33" xfId="0" applyFont="1" applyBorder="1" applyAlignment="1">
      <alignment horizontal="center" vertical="center"/>
    </xf>
    <xf numFmtId="3" fontId="46" fillId="0" borderId="0" xfId="0" applyFont="1" applyBorder="1" applyAlignment="1">
      <alignment horizontal="center" vertical="center"/>
    </xf>
    <xf numFmtId="3" fontId="46" fillId="0" borderId="0" xfId="0" applyFont="1" applyAlignment="1">
      <alignment horizontal="center" vertical="center"/>
    </xf>
    <xf numFmtId="164" fontId="26" fillId="0" borderId="101" xfId="0" applyFont="1" applyBorder="1" applyAlignment="1">
      <alignment horizontal="center" vertical="center"/>
    </xf>
    <xf numFmtId="164" fontId="26" fillId="0" borderId="33" xfId="0" applyFont="1" applyBorder="1" applyAlignment="1">
      <alignment vertical="center" wrapText="1"/>
    </xf>
    <xf numFmtId="3" fontId="26" fillId="0" borderId="102" xfId="0" applyNumberFormat="1" applyFont="1" applyBorder="1" applyAlignment="1">
      <alignment vertical="center"/>
    </xf>
    <xf numFmtId="3" fontId="26" fillId="0" borderId="12" xfId="0" applyNumberFormat="1" applyFont="1" applyBorder="1" applyAlignment="1">
      <alignment vertical="center"/>
    </xf>
    <xf numFmtId="3" fontId="26" fillId="0" borderId="12" xfId="0" applyNumberFormat="1" applyFont="1" applyBorder="1" applyAlignment="1">
      <alignment vertical="center"/>
    </xf>
    <xf numFmtId="164" fontId="26" fillId="0" borderId="12" xfId="0" applyNumberFormat="1" applyFont="1" applyBorder="1" applyAlignment="1">
      <alignment vertical="center"/>
    </xf>
    <xf numFmtId="164" fontId="26" fillId="0" borderId="33" xfId="0" applyNumberFormat="1" applyFont="1" applyBorder="1" applyAlignment="1">
      <alignment vertical="center"/>
    </xf>
    <xf numFmtId="3" fontId="26" fillId="0" borderId="103" xfId="0" applyNumberFormat="1" applyFont="1" applyBorder="1" applyAlignment="1">
      <alignment vertical="center"/>
    </xf>
    <xf numFmtId="164" fontId="26" fillId="0" borderId="33"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164" fontId="24" fillId="0" borderId="33" xfId="0" applyFont="1" applyBorder="1" applyAlignment="1">
      <alignment vertical="center" wrapText="1"/>
    </xf>
    <xf numFmtId="164" fontId="26" fillId="0" borderId="33" xfId="0" applyFont="1" applyBorder="1" applyAlignment="1">
      <alignment vertical="center"/>
    </xf>
    <xf numFmtId="3" fontId="26" fillId="0" borderId="34" xfId="0" applyNumberFormat="1" applyFont="1" applyBorder="1" applyAlignment="1">
      <alignment vertical="center"/>
    </xf>
    <xf numFmtId="3" fontId="31" fillId="0" borderId="60" xfId="0" applyNumberFormat="1" applyFont="1" applyBorder="1" applyAlignment="1">
      <alignment horizontal="center" vertical="center"/>
    </xf>
    <xf numFmtId="164" fontId="31" fillId="0" borderId="41" xfId="0" applyFont="1" applyBorder="1" applyAlignment="1">
      <alignment vertical="center" wrapText="1"/>
    </xf>
    <xf numFmtId="3" fontId="31" fillId="0" borderId="61" xfId="0" applyNumberFormat="1" applyFont="1" applyBorder="1" applyAlignment="1">
      <alignment vertical="center"/>
    </xf>
    <xf numFmtId="3" fontId="31" fillId="0" borderId="6" xfId="0" applyNumberFormat="1" applyFont="1" applyBorder="1" applyAlignment="1">
      <alignment vertical="center"/>
    </xf>
    <xf numFmtId="3" fontId="31" fillId="0" borderId="6" xfId="0" applyNumberFormat="1" applyFont="1" applyBorder="1" applyAlignment="1">
      <alignment vertical="center"/>
    </xf>
    <xf numFmtId="164" fontId="31" fillId="0" borderId="6" xfId="0" applyNumberFormat="1" applyFont="1" applyBorder="1" applyAlignment="1">
      <alignment vertical="center"/>
    </xf>
    <xf numFmtId="164" fontId="31" fillId="0" borderId="41" xfId="0" applyNumberFormat="1" applyFont="1" applyBorder="1" applyAlignment="1">
      <alignment vertical="center"/>
    </xf>
    <xf numFmtId="164" fontId="31" fillId="0" borderId="41" xfId="0" applyFont="1" applyBorder="1" applyAlignment="1">
      <alignment vertical="center"/>
    </xf>
    <xf numFmtId="3" fontId="31" fillId="0" borderId="43" xfId="0" applyNumberFormat="1" applyFont="1" applyBorder="1" applyAlignment="1">
      <alignment vertical="center"/>
    </xf>
    <xf numFmtId="164" fontId="31" fillId="0" borderId="41" xfId="0" applyFont="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164" fontId="31" fillId="0" borderId="6" xfId="0" applyFont="1" applyBorder="1" applyAlignment="1">
      <alignment vertical="center"/>
    </xf>
    <xf numFmtId="3" fontId="26" fillId="0" borderId="101" xfId="0" applyNumberFormat="1" applyFont="1" applyBorder="1" applyAlignment="1">
      <alignment horizontal="center" vertical="center"/>
    </xf>
    <xf numFmtId="164" fontId="26" fillId="0" borderId="12" xfId="0" applyFont="1" applyBorder="1" applyAlignment="1">
      <alignment vertical="center"/>
    </xf>
    <xf numFmtId="164" fontId="26" fillId="0" borderId="33" xfId="0" applyFont="1" applyBorder="1" applyAlignment="1">
      <alignment horizontal="center" vertical="center"/>
    </xf>
    <xf numFmtId="164" fontId="31" fillId="0" borderId="43" xfId="0" applyNumberFormat="1" applyFont="1" applyBorder="1" applyAlignment="1">
      <alignment vertical="center"/>
    </xf>
    <xf numFmtId="3" fontId="31" fillId="0" borderId="98" xfId="0" applyNumberFormat="1" applyFont="1" applyBorder="1" applyAlignment="1">
      <alignment horizontal="center" vertical="center"/>
    </xf>
    <xf numFmtId="164" fontId="31" fillId="0" borderId="27" xfId="0" applyFont="1" applyBorder="1" applyAlignment="1">
      <alignment vertical="center" wrapText="1"/>
    </xf>
    <xf numFmtId="3" fontId="31" fillId="0" borderId="104" xfId="0" applyNumberFormat="1" applyFont="1" applyBorder="1" applyAlignment="1">
      <alignment vertical="center"/>
    </xf>
    <xf numFmtId="3" fontId="31" fillId="0" borderId="46" xfId="0" applyNumberFormat="1" applyFont="1" applyBorder="1" applyAlignment="1">
      <alignment vertical="center"/>
    </xf>
    <xf numFmtId="164" fontId="31" fillId="0" borderId="46" xfId="0" applyFont="1" applyBorder="1" applyAlignment="1">
      <alignment vertical="center"/>
    </xf>
    <xf numFmtId="164" fontId="31" fillId="0" borderId="27" xfId="0" applyNumberFormat="1" applyFont="1" applyBorder="1" applyAlignment="1">
      <alignment vertical="center"/>
    </xf>
    <xf numFmtId="164" fontId="31" fillId="0" borderId="27" xfId="0" applyFont="1" applyBorder="1" applyAlignment="1">
      <alignment vertical="center"/>
    </xf>
    <xf numFmtId="164" fontId="31" fillId="0" borderId="27" xfId="0" applyFont="1" applyBorder="1" applyAlignment="1">
      <alignment vertical="center"/>
    </xf>
    <xf numFmtId="3" fontId="31" fillId="0" borderId="56" xfId="0" applyNumberFormat="1" applyFont="1" applyBorder="1" applyAlignment="1">
      <alignment horizontal="center" vertical="center"/>
    </xf>
    <xf numFmtId="164" fontId="31" fillId="0" borderId="55" xfId="0" applyFont="1" applyBorder="1" applyAlignment="1">
      <alignment vertical="center" wrapText="1"/>
    </xf>
    <xf numFmtId="3" fontId="31" fillId="0" borderId="56" xfId="0" applyNumberFormat="1" applyFont="1" applyBorder="1" applyAlignment="1">
      <alignment vertical="center"/>
    </xf>
    <xf numFmtId="3" fontId="31" fillId="0" borderId="15" xfId="0" applyNumberFormat="1" applyFont="1" applyBorder="1" applyAlignment="1">
      <alignment vertical="center"/>
    </xf>
    <xf numFmtId="164" fontId="31" fillId="0" borderId="15" xfId="0" applyFont="1" applyBorder="1" applyAlignment="1">
      <alignment vertical="center"/>
    </xf>
    <xf numFmtId="164" fontId="31" fillId="0" borderId="105" xfId="0" applyNumberFormat="1" applyFont="1" applyBorder="1" applyAlignment="1">
      <alignment vertical="center"/>
    </xf>
    <xf numFmtId="3" fontId="31" fillId="0" borderId="54" xfId="0" applyNumberFormat="1" applyFont="1" applyBorder="1" applyAlignment="1">
      <alignment vertical="center"/>
    </xf>
    <xf numFmtId="3" fontId="31" fillId="0" borderId="105" xfId="0" applyNumberFormat="1" applyFont="1" applyBorder="1" applyAlignment="1">
      <alignment vertical="center"/>
    </xf>
    <xf numFmtId="164" fontId="31" fillId="0" borderId="55" xfId="0" applyFont="1" applyBorder="1" applyAlignment="1">
      <alignment vertical="center"/>
    </xf>
    <xf numFmtId="3" fontId="31" fillId="0" borderId="61" xfId="0" applyNumberFormat="1" applyFont="1" applyBorder="1" applyAlignment="1">
      <alignment horizontal="center" vertical="center"/>
    </xf>
    <xf numFmtId="164" fontId="31" fillId="0" borderId="41" xfId="0" applyFont="1" applyBorder="1" applyAlignment="1">
      <alignment vertical="center" wrapText="1"/>
    </xf>
    <xf numFmtId="3" fontId="31" fillId="0" borderId="18" xfId="0" applyNumberFormat="1" applyFont="1" applyBorder="1" applyAlignment="1">
      <alignment vertical="center"/>
    </xf>
    <xf numFmtId="164" fontId="31" fillId="0" borderId="18" xfId="0" applyFont="1" applyBorder="1" applyAlignment="1">
      <alignment vertical="center"/>
    </xf>
    <xf numFmtId="164" fontId="31" fillId="0" borderId="0" xfId="0" applyNumberFormat="1" applyFont="1" applyBorder="1" applyAlignment="1">
      <alignment vertical="center"/>
    </xf>
    <xf numFmtId="3" fontId="31" fillId="0" borderId="96" xfId="0" applyNumberFormat="1" applyFont="1" applyBorder="1" applyAlignment="1">
      <alignment vertical="center"/>
    </xf>
    <xf numFmtId="3" fontId="31" fillId="0" borderId="0" xfId="0" applyNumberFormat="1" applyFont="1" applyBorder="1" applyAlignment="1">
      <alignment vertical="center"/>
    </xf>
    <xf numFmtId="164" fontId="33" fillId="0" borderId="102" xfId="0" applyFont="1" applyBorder="1" applyAlignment="1">
      <alignment horizontal="center" vertical="center"/>
    </xf>
    <xf numFmtId="164" fontId="24" fillId="0" borderId="33" xfId="0" applyFont="1" applyBorder="1" applyAlignment="1">
      <alignment vertical="center" wrapText="1"/>
    </xf>
    <xf numFmtId="164" fontId="26" fillId="0" borderId="12" xfId="0" applyFont="1" applyBorder="1" applyAlignment="1">
      <alignment vertical="center"/>
    </xf>
    <xf numFmtId="0" fontId="33" fillId="0" borderId="0" xfId="0" applyFont="1" applyBorder="1" applyAlignment="1">
      <alignment vertical="center"/>
    </xf>
    <xf numFmtId="0" fontId="33" fillId="0" borderId="0" xfId="0" applyFont="1" applyAlignment="1">
      <alignment vertical="center"/>
    </xf>
    <xf numFmtId="164" fontId="33" fillId="0" borderId="101" xfId="0" applyFont="1" applyBorder="1" applyAlignment="1">
      <alignment horizontal="center" vertical="center"/>
    </xf>
    <xf numFmtId="3" fontId="31" fillId="0" borderId="60" xfId="0" applyFont="1" applyBorder="1" applyAlignment="1">
      <alignment horizontal="center" vertical="center"/>
    </xf>
    <xf numFmtId="2" fontId="31" fillId="0" borderId="41" xfId="0" applyNumberFormat="1" applyFont="1" applyBorder="1" applyAlignment="1">
      <alignment vertical="center"/>
    </xf>
    <xf numFmtId="3" fontId="33" fillId="0" borderId="102" xfId="0" applyNumberFormat="1" applyFont="1" applyBorder="1" applyAlignment="1">
      <alignment vertical="center"/>
    </xf>
    <xf numFmtId="3" fontId="33" fillId="0" borderId="12" xfId="0" applyNumberFormat="1" applyFont="1" applyBorder="1" applyAlignment="1">
      <alignment vertical="center"/>
    </xf>
    <xf numFmtId="164" fontId="33" fillId="0" borderId="80" xfId="0" applyFont="1" applyBorder="1" applyAlignment="1">
      <alignment vertical="center"/>
    </xf>
    <xf numFmtId="164" fontId="33" fillId="0" borderId="33" xfId="0" applyFont="1" applyBorder="1" applyAlignment="1">
      <alignment vertical="center"/>
    </xf>
    <xf numFmtId="164" fontId="33" fillId="0" borderId="33" xfId="0" applyFont="1" applyBorder="1" applyAlignment="1">
      <alignment vertical="center"/>
    </xf>
    <xf numFmtId="0" fontId="15" fillId="0" borderId="0" xfId="0" applyFont="1" applyAlignment="1">
      <alignment horizontal="center"/>
    </xf>
    <xf numFmtId="168" fontId="15" fillId="0" borderId="0" xfId="0" applyNumberFormat="1" applyFont="1" applyBorder="1" applyAlignment="1">
      <alignment/>
    </xf>
    <xf numFmtId="0" fontId="4" fillId="0" borderId="0" xfId="0" applyFont="1" applyBorder="1" applyAlignment="1">
      <alignment/>
    </xf>
    <xf numFmtId="0" fontId="17" fillId="0" borderId="0" xfId="0" applyFont="1" applyAlignment="1">
      <alignment/>
    </xf>
    <xf numFmtId="0" fontId="17" fillId="0" borderId="0" xfId="0" applyFont="1" applyBorder="1" applyAlignment="1">
      <alignment/>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xf>
    <xf numFmtId="0" fontId="1" fillId="0" borderId="0" xfId="0" applyFont="1" applyAlignment="1">
      <alignment horizontal="centerContinuous" vertical="center"/>
    </xf>
    <xf numFmtId="0" fontId="47" fillId="0" borderId="0" xfId="0" applyFont="1" applyAlignment="1">
      <alignment horizontal="centerContinuous" vertical="center" wrapText="1"/>
    </xf>
    <xf numFmtId="0" fontId="2" fillId="0" borderId="0" xfId="0" applyFont="1" applyAlignment="1">
      <alignment horizontal="centerContinuous" vertical="center" wrapText="1"/>
    </xf>
    <xf numFmtId="0" fontId="9" fillId="0" borderId="5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0" xfId="0" applyFont="1" applyBorder="1" applyAlignment="1">
      <alignment horizontal="centerContinuous" vertical="center" wrapText="1"/>
    </xf>
    <xf numFmtId="0" fontId="5" fillId="0" borderId="31" xfId="0" applyFont="1" applyBorder="1" applyAlignment="1">
      <alignment horizontal="centerContinuous" vertical="center" wrapText="1"/>
    </xf>
    <xf numFmtId="0" fontId="5" fillId="0" borderId="29" xfId="0" applyFont="1" applyBorder="1" applyAlignment="1">
      <alignment horizontal="centerContinuous" vertical="center" wrapText="1"/>
    </xf>
    <xf numFmtId="0" fontId="7" fillId="0" borderId="100" xfId="0" applyFont="1" applyBorder="1" applyAlignment="1">
      <alignment horizontal="centerContinuous" vertical="center" wrapText="1"/>
    </xf>
    <xf numFmtId="0" fontId="7" fillId="0" borderId="31" xfId="0" applyFont="1" applyBorder="1" applyAlignment="1">
      <alignment horizontal="centerContinuous" vertical="center" wrapText="1"/>
    </xf>
    <xf numFmtId="0" fontId="9" fillId="0" borderId="98" xfId="0" applyFont="1" applyBorder="1" applyAlignment="1">
      <alignment horizontal="center" vertical="center" wrapText="1"/>
    </xf>
    <xf numFmtId="0" fontId="5" fillId="0" borderId="46" xfId="0" applyFont="1" applyBorder="1" applyAlignment="1">
      <alignment horizontal="center" vertical="center" wrapText="1"/>
    </xf>
    <xf numFmtId="0" fontId="11" fillId="0" borderId="46" xfId="0" applyFont="1" applyBorder="1" applyAlignment="1">
      <alignment horizontal="center" vertical="center" wrapText="1"/>
    </xf>
    <xf numFmtId="0" fontId="7" fillId="0" borderId="27" xfId="0" applyFont="1" applyBorder="1" applyAlignment="1">
      <alignment horizontal="center" vertical="center" wrapText="1"/>
    </xf>
    <xf numFmtId="0" fontId="9" fillId="0" borderId="106" xfId="0" applyFont="1" applyBorder="1" applyAlignment="1">
      <alignment horizontal="center" vertical="center"/>
    </xf>
    <xf numFmtId="0" fontId="9" fillId="0" borderId="9" xfId="0" applyFont="1" applyBorder="1" applyAlignment="1">
      <alignment horizontal="center" vertical="center" wrapText="1"/>
    </xf>
    <xf numFmtId="3" fontId="9" fillId="0" borderId="9" xfId="0" applyNumberFormat="1" applyFont="1" applyBorder="1" applyAlignment="1">
      <alignment horizontal="center" vertical="center"/>
    </xf>
    <xf numFmtId="3" fontId="9" fillId="0" borderId="77" xfId="0" applyNumberFormat="1" applyFont="1" applyBorder="1" applyAlignment="1">
      <alignment horizontal="center" vertical="center"/>
    </xf>
    <xf numFmtId="3" fontId="9" fillId="0" borderId="75" xfId="0" applyNumberFormat="1" applyFont="1" applyBorder="1" applyAlignment="1">
      <alignment horizontal="center" vertical="center"/>
    </xf>
    <xf numFmtId="0" fontId="9" fillId="0" borderId="0" xfId="0" applyFont="1" applyAlignment="1">
      <alignment vertical="center"/>
    </xf>
    <xf numFmtId="49" fontId="6" fillId="0" borderId="101" xfId="0" applyNumberFormat="1" applyFont="1" applyBorder="1" applyAlignment="1">
      <alignment horizontal="center" vertical="center"/>
    </xf>
    <xf numFmtId="0" fontId="6" fillId="0" borderId="12" xfId="0" applyFont="1" applyBorder="1" applyAlignment="1">
      <alignment vertical="center" wrapText="1"/>
    </xf>
    <xf numFmtId="3" fontId="6" fillId="0" borderId="12" xfId="0" applyNumberFormat="1" applyFont="1" applyBorder="1" applyAlignment="1">
      <alignment vertical="center"/>
    </xf>
    <xf numFmtId="164" fontId="6" fillId="0" borderId="33" xfId="0" applyNumberFormat="1" applyFont="1" applyBorder="1" applyAlignment="1">
      <alignment vertical="center"/>
    </xf>
    <xf numFmtId="0" fontId="6" fillId="0" borderId="0" xfId="0" applyFont="1" applyAlignment="1">
      <alignment vertical="center"/>
    </xf>
    <xf numFmtId="49" fontId="6" fillId="0" borderId="54" xfId="0" applyNumberFormat="1" applyFont="1" applyBorder="1" applyAlignment="1">
      <alignment horizontal="center" vertical="center"/>
    </xf>
    <xf numFmtId="0" fontId="6" fillId="0" borderId="15" xfId="0" applyFont="1" applyBorder="1" applyAlignment="1">
      <alignment vertical="center" wrapText="1"/>
    </xf>
    <xf numFmtId="3" fontId="6" fillId="0" borderId="15" xfId="0" applyNumberFormat="1" applyFont="1" applyBorder="1" applyAlignment="1">
      <alignment vertical="center"/>
    </xf>
    <xf numFmtId="164" fontId="6" fillId="0" borderId="55" xfId="0" applyNumberFormat="1" applyFont="1" applyBorder="1" applyAlignment="1">
      <alignment vertical="center"/>
    </xf>
    <xf numFmtId="0" fontId="4" fillId="0" borderId="0" xfId="0" applyFont="1" applyAlignment="1">
      <alignment vertical="center"/>
    </xf>
    <xf numFmtId="49" fontId="14" fillId="0" borderId="60" xfId="0" applyNumberFormat="1" applyFont="1" applyBorder="1" applyAlignment="1">
      <alignment horizontal="center" vertical="center"/>
    </xf>
    <xf numFmtId="0" fontId="14" fillId="0" borderId="6" xfId="0" applyFont="1" applyBorder="1" applyAlignment="1">
      <alignment vertical="center" wrapText="1"/>
    </xf>
    <xf numFmtId="3" fontId="14" fillId="0" borderId="6" xfId="0" applyNumberFormat="1" applyFont="1" applyBorder="1" applyAlignment="1">
      <alignment vertical="center"/>
    </xf>
    <xf numFmtId="164" fontId="14" fillId="0" borderId="41" xfId="0" applyNumberFormat="1"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49" fontId="14" fillId="0" borderId="96" xfId="0" applyNumberFormat="1" applyFont="1" applyBorder="1" applyAlignment="1">
      <alignment horizontal="center" vertical="center"/>
    </xf>
    <xf numFmtId="0" fontId="14" fillId="0" borderId="18" xfId="0" applyFont="1" applyBorder="1" applyAlignment="1">
      <alignment vertical="center" wrapText="1"/>
    </xf>
    <xf numFmtId="3" fontId="14" fillId="0" borderId="18" xfId="0" applyNumberFormat="1" applyFont="1" applyBorder="1" applyAlignment="1">
      <alignment vertical="center"/>
    </xf>
    <xf numFmtId="164" fontId="14" fillId="0" borderId="95" xfId="0" applyNumberFormat="1" applyFont="1" applyBorder="1" applyAlignment="1">
      <alignment vertical="center"/>
    </xf>
    <xf numFmtId="0" fontId="4" fillId="0" borderId="0" xfId="0" applyFont="1" applyBorder="1" applyAlignment="1">
      <alignment vertical="center"/>
    </xf>
    <xf numFmtId="49" fontId="6" fillId="0" borderId="60" xfId="0" applyNumberFormat="1" applyFont="1" applyBorder="1" applyAlignment="1">
      <alignment horizontal="center" vertical="center"/>
    </xf>
    <xf numFmtId="0" fontId="6" fillId="0" borderId="6" xfId="0" applyFont="1" applyBorder="1" applyAlignment="1">
      <alignment vertical="center" wrapText="1"/>
    </xf>
    <xf numFmtId="3" fontId="6" fillId="0" borderId="6" xfId="0" applyNumberFormat="1" applyFont="1" applyBorder="1" applyAlignment="1">
      <alignment vertical="center"/>
    </xf>
    <xf numFmtId="164" fontId="6" fillId="0" borderId="41" xfId="0" applyNumberFormat="1" applyFont="1" applyBorder="1" applyAlignment="1">
      <alignment vertical="center"/>
    </xf>
    <xf numFmtId="0" fontId="6" fillId="0" borderId="0" xfId="0" applyFont="1" applyBorder="1" applyAlignment="1">
      <alignment vertical="center"/>
    </xf>
    <xf numFmtId="49" fontId="14" fillId="0" borderId="98" xfId="0" applyNumberFormat="1" applyFont="1" applyBorder="1" applyAlignment="1">
      <alignment horizontal="center" vertical="center"/>
    </xf>
    <xf numFmtId="0" fontId="14" fillId="0" borderId="46" xfId="0" applyFont="1" applyBorder="1" applyAlignment="1">
      <alignment vertical="center" wrapText="1"/>
    </xf>
    <xf numFmtId="3" fontId="14" fillId="0" borderId="46" xfId="0" applyNumberFormat="1" applyFont="1" applyBorder="1" applyAlignment="1">
      <alignment vertical="center"/>
    </xf>
    <xf numFmtId="164" fontId="14" fillId="0" borderId="27" xfId="0" applyNumberFormat="1" applyFont="1" applyBorder="1" applyAlignment="1">
      <alignment vertical="center"/>
    </xf>
    <xf numFmtId="1" fontId="6" fillId="0" borderId="60" xfId="0" applyNumberFormat="1" applyFont="1" applyFill="1" applyBorder="1" applyAlignment="1" applyProtection="1">
      <alignment horizontal="centerContinuous" vertical="center"/>
      <protection locked="0"/>
    </xf>
    <xf numFmtId="164" fontId="6" fillId="0" borderId="6" xfId="19" applyNumberFormat="1" applyFont="1" applyFill="1" applyBorder="1" applyAlignment="1" applyProtection="1">
      <alignment vertical="center" wrapText="1"/>
      <protection locked="0"/>
    </xf>
    <xf numFmtId="164" fontId="14" fillId="0" borderId="6" xfId="19" applyNumberFormat="1" applyFont="1" applyFill="1" applyBorder="1" applyAlignment="1" applyProtection="1">
      <alignment vertical="center" wrapText="1"/>
      <protection locked="0"/>
    </xf>
    <xf numFmtId="49" fontId="11" fillId="0" borderId="102" xfId="0" applyNumberFormat="1" applyFont="1" applyBorder="1" applyAlignment="1">
      <alignment horizontal="center" vertical="center"/>
    </xf>
    <xf numFmtId="0" fontId="11" fillId="0" borderId="34" xfId="0" applyFont="1" applyBorder="1" applyAlignment="1">
      <alignment vertical="center" wrapText="1"/>
    </xf>
    <xf numFmtId="3" fontId="11" fillId="0" borderId="12" xfId="0" applyNumberFormat="1" applyFont="1" applyBorder="1" applyAlignment="1">
      <alignment vertical="center"/>
    </xf>
    <xf numFmtId="164" fontId="11" fillId="0" borderId="33" xfId="0" applyNumberFormat="1" applyFont="1" applyBorder="1" applyAlignment="1">
      <alignment vertical="center"/>
    </xf>
    <xf numFmtId="0" fontId="11"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vertical="center"/>
    </xf>
    <xf numFmtId="3" fontId="1" fillId="0" borderId="0" xfId="0" applyNumberFormat="1" applyFont="1" applyAlignment="1">
      <alignment vertical="center"/>
    </xf>
    <xf numFmtId="0" fontId="4" fillId="0" borderId="0" xfId="0" applyFont="1" applyAlignment="1">
      <alignment horizontal="left" vertical="center"/>
    </xf>
    <xf numFmtId="0" fontId="1" fillId="0" borderId="0" xfId="0" applyFont="1" applyAlignment="1">
      <alignment vertical="center"/>
    </xf>
    <xf numFmtId="0" fontId="1" fillId="0" borderId="0" xfId="0" applyFont="1" applyAlignment="1">
      <alignment/>
    </xf>
    <xf numFmtId="0" fontId="4" fillId="0" borderId="0" xfId="0" applyFont="1" applyAlignment="1">
      <alignment horizontal="centerContinuous"/>
    </xf>
    <xf numFmtId="0" fontId="48" fillId="0" borderId="0" xfId="0" applyFont="1" applyAlignment="1">
      <alignment/>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vertical="top"/>
    </xf>
    <xf numFmtId="0" fontId="9" fillId="0" borderId="48" xfId="0" applyFont="1" applyBorder="1" applyAlignment="1">
      <alignment horizontal="center" vertical="center"/>
    </xf>
    <xf numFmtId="0" fontId="9" fillId="0" borderId="39" xfId="0" applyFont="1" applyBorder="1" applyAlignment="1">
      <alignment horizontal="center" vertical="center" wrapText="1"/>
    </xf>
    <xf numFmtId="3" fontId="9" fillId="0" borderId="39" xfId="0" applyNumberFormat="1" applyFont="1" applyBorder="1" applyAlignment="1">
      <alignment horizontal="center" vertical="center"/>
    </xf>
    <xf numFmtId="3" fontId="9" fillId="0" borderId="36"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6" fillId="0" borderId="34" xfId="0" applyNumberFormat="1" applyFont="1" applyBorder="1" applyAlignment="1">
      <alignment vertical="center"/>
    </xf>
    <xf numFmtId="3" fontId="6" fillId="0" borderId="30" xfId="0" applyNumberFormat="1" applyFont="1" applyBorder="1" applyAlignment="1">
      <alignment vertical="center"/>
    </xf>
    <xf numFmtId="3" fontId="14" fillId="0" borderId="43" xfId="0" applyNumberFormat="1" applyFont="1" applyBorder="1" applyAlignment="1">
      <alignment vertical="center"/>
    </xf>
    <xf numFmtId="3" fontId="6" fillId="0" borderId="43" xfId="0" applyNumberFormat="1" applyFont="1" applyBorder="1" applyAlignment="1">
      <alignment vertical="center"/>
    </xf>
    <xf numFmtId="3" fontId="14" fillId="0" borderId="45" xfId="0" applyNumberFormat="1" applyFont="1" applyBorder="1" applyAlignment="1">
      <alignment vertical="center"/>
    </xf>
    <xf numFmtId="164" fontId="49" fillId="0" borderId="27" xfId="0" applyNumberFormat="1" applyFont="1" applyBorder="1" applyAlignment="1">
      <alignment vertical="center"/>
    </xf>
    <xf numFmtId="49" fontId="6" fillId="0" borderId="107" xfId="0" applyNumberFormat="1" applyFont="1" applyBorder="1" applyAlignment="1">
      <alignment horizontal="center" vertical="center"/>
    </xf>
    <xf numFmtId="0" fontId="6" fillId="0" borderId="76" xfId="0" applyFont="1" applyBorder="1" applyAlignment="1">
      <alignment vertical="center" wrapText="1"/>
    </xf>
    <xf numFmtId="3" fontId="6" fillId="0" borderId="76" xfId="0" applyNumberFormat="1" applyFont="1" applyBorder="1" applyAlignment="1">
      <alignment vertical="center"/>
    </xf>
    <xf numFmtId="164" fontId="6" fillId="0" borderId="78" xfId="0" applyNumberFormat="1" applyFont="1" applyBorder="1" applyAlignment="1">
      <alignment vertical="center"/>
    </xf>
    <xf numFmtId="49" fontId="8" fillId="0" borderId="0" xfId="0" applyNumberFormat="1" applyFont="1" applyBorder="1" applyAlignment="1">
      <alignment horizontal="center" vertical="center"/>
    </xf>
    <xf numFmtId="0" fontId="8" fillId="0" borderId="0" xfId="0" applyFont="1" applyBorder="1" applyAlignment="1">
      <alignment vertical="center" wrapText="1"/>
    </xf>
    <xf numFmtId="3" fontId="8" fillId="0" borderId="0" xfId="0" applyNumberFormat="1" applyFont="1" applyBorder="1" applyAlignment="1">
      <alignment vertical="center"/>
    </xf>
    <xf numFmtId="164" fontId="8" fillId="0" borderId="0" xfId="0" applyNumberFormat="1" applyFont="1" applyBorder="1" applyAlignment="1">
      <alignment vertical="center"/>
    </xf>
    <xf numFmtId="0" fontId="8" fillId="0" borderId="0" xfId="0" applyFont="1" applyAlignment="1">
      <alignment vertical="center"/>
    </xf>
    <xf numFmtId="0" fontId="50" fillId="0" borderId="0" xfId="0" applyFont="1" applyAlignment="1">
      <alignment/>
    </xf>
    <xf numFmtId="0" fontId="51" fillId="0" borderId="0" xfId="0" applyFont="1" applyAlignment="1">
      <alignment/>
    </xf>
    <xf numFmtId="0" fontId="52" fillId="0" borderId="0" xfId="0" applyFont="1" applyAlignment="1">
      <alignment horizontal="center"/>
    </xf>
    <xf numFmtId="0" fontId="53" fillId="0" borderId="0" xfId="0" applyFont="1" applyAlignment="1">
      <alignment horizontal="centerContinuous" vertical="center"/>
    </xf>
    <xf numFmtId="0" fontId="53" fillId="0" borderId="0" xfId="0" applyFont="1" applyAlignment="1">
      <alignment/>
    </xf>
    <xf numFmtId="0" fontId="54" fillId="0" borderId="0" xfId="0" applyFont="1" applyAlignment="1">
      <alignment/>
    </xf>
    <xf numFmtId="0" fontId="54" fillId="0" borderId="0" xfId="0" applyFont="1" applyAlignment="1">
      <alignment horizontal="center"/>
    </xf>
    <xf numFmtId="0" fontId="55" fillId="0" borderId="108"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55" fillId="0" borderId="109" xfId="0" applyFont="1" applyFill="1" applyBorder="1" applyAlignment="1">
      <alignment horizontal="center" vertical="center" wrapText="1"/>
    </xf>
    <xf numFmtId="0" fontId="55" fillId="0" borderId="0" xfId="0" applyFont="1" applyAlignment="1">
      <alignment vertical="center" wrapText="1"/>
    </xf>
    <xf numFmtId="0" fontId="56" fillId="0" borderId="28" xfId="0" applyFont="1" applyFill="1" applyBorder="1" applyAlignment="1">
      <alignment horizontal="center" vertical="center"/>
    </xf>
    <xf numFmtId="0" fontId="56" fillId="0" borderId="34" xfId="0" applyFont="1" applyFill="1" applyBorder="1" applyAlignment="1">
      <alignment horizontal="center" vertical="center"/>
    </xf>
    <xf numFmtId="0" fontId="56" fillId="0" borderId="110" xfId="0" applyFont="1" applyFill="1" applyBorder="1" applyAlignment="1">
      <alignment horizontal="center" vertical="center"/>
    </xf>
    <xf numFmtId="0" fontId="56" fillId="0" borderId="0" xfId="0" applyFont="1" applyAlignment="1">
      <alignment vertical="center"/>
    </xf>
    <xf numFmtId="0" fontId="57" fillId="0" borderId="42" xfId="0" applyFont="1" applyFill="1" applyBorder="1" applyAlignment="1">
      <alignment vertical="center" wrapText="1"/>
    </xf>
    <xf numFmtId="3" fontId="57" fillId="0" borderId="43" xfId="0" applyNumberFormat="1" applyFont="1" applyFill="1" applyBorder="1" applyAlignment="1">
      <alignment vertical="center"/>
    </xf>
    <xf numFmtId="3" fontId="57" fillId="0" borderId="59" xfId="0" applyNumberFormat="1" applyFont="1" applyFill="1" applyBorder="1" applyAlignment="1">
      <alignment vertical="center"/>
    </xf>
    <xf numFmtId="0" fontId="54" fillId="0" borderId="0" xfId="0" applyFont="1" applyAlignment="1">
      <alignment vertical="center"/>
    </xf>
    <xf numFmtId="0" fontId="55" fillId="0" borderId="42" xfId="0" applyFont="1" applyFill="1" applyBorder="1" applyAlignment="1">
      <alignment vertical="center" wrapText="1"/>
    </xf>
    <xf numFmtId="3" fontId="55" fillId="0" borderId="43" xfId="0" applyNumberFormat="1" applyFont="1" applyFill="1" applyBorder="1" applyAlignment="1">
      <alignment vertical="center"/>
    </xf>
    <xf numFmtId="0" fontId="58" fillId="0" borderId="0" xfId="0" applyFont="1" applyAlignment="1">
      <alignment vertical="center"/>
    </xf>
    <xf numFmtId="0" fontId="59" fillId="0" borderId="42" xfId="0" applyFont="1" applyFill="1" applyBorder="1" applyAlignment="1">
      <alignment vertical="center" wrapText="1"/>
    </xf>
    <xf numFmtId="0" fontId="60" fillId="0" borderId="42" xfId="0" applyFont="1" applyFill="1" applyBorder="1" applyAlignment="1">
      <alignment vertical="center" wrapText="1"/>
    </xf>
    <xf numFmtId="3" fontId="60" fillId="0" borderId="43" xfId="0" applyNumberFormat="1" applyFont="1" applyFill="1" applyBorder="1" applyAlignment="1">
      <alignment vertical="center"/>
    </xf>
    <xf numFmtId="3" fontId="60" fillId="0" borderId="59" xfId="0" applyNumberFormat="1" applyFont="1" applyFill="1" applyBorder="1" applyAlignment="1">
      <alignment vertical="center"/>
    </xf>
    <xf numFmtId="0" fontId="60" fillId="0" borderId="0" xfId="0" applyFont="1" applyAlignment="1">
      <alignment vertical="center"/>
    </xf>
    <xf numFmtId="0" fontId="61" fillId="0" borderId="42" xfId="0" applyFont="1" applyFill="1" applyBorder="1" applyAlignment="1">
      <alignment vertical="center" wrapText="1"/>
    </xf>
    <xf numFmtId="3" fontId="61" fillId="0" borderId="43" xfId="0" applyNumberFormat="1" applyFont="1" applyFill="1" applyBorder="1" applyAlignment="1">
      <alignment vertical="center"/>
    </xf>
    <xf numFmtId="0" fontId="61" fillId="0" borderId="0" xfId="0" applyFont="1" applyAlignment="1">
      <alignment vertical="center"/>
    </xf>
    <xf numFmtId="3" fontId="55" fillId="0" borderId="41" xfId="0" applyNumberFormat="1" applyFont="1" applyFill="1" applyBorder="1" applyAlignment="1">
      <alignment vertical="center"/>
    </xf>
    <xf numFmtId="3" fontId="59" fillId="0" borderId="43" xfId="0" applyNumberFormat="1" applyFont="1" applyFill="1" applyBorder="1" applyAlignment="1">
      <alignment vertical="center"/>
    </xf>
    <xf numFmtId="3" fontId="59" fillId="0" borderId="41" xfId="0" applyNumberFormat="1" applyFont="1" applyFill="1" applyBorder="1" applyAlignment="1">
      <alignment vertical="center"/>
    </xf>
    <xf numFmtId="0" fontId="62" fillId="0" borderId="0" xfId="0" applyFont="1" applyAlignment="1">
      <alignment vertical="center"/>
    </xf>
    <xf numFmtId="3" fontId="59" fillId="0" borderId="59" xfId="0" applyNumberFormat="1" applyFont="1" applyFill="1" applyBorder="1" applyAlignment="1">
      <alignment vertical="center"/>
    </xf>
    <xf numFmtId="4" fontId="60" fillId="0" borderId="0" xfId="0" applyNumberFormat="1" applyFont="1" applyAlignment="1">
      <alignment vertical="center"/>
    </xf>
    <xf numFmtId="3" fontId="60" fillId="0" borderId="41" xfId="0" applyNumberFormat="1" applyFont="1" applyFill="1" applyBorder="1" applyAlignment="1">
      <alignment vertical="center"/>
    </xf>
    <xf numFmtId="0" fontId="60" fillId="0" borderId="111" xfId="0" applyFont="1" applyFill="1" applyBorder="1" applyAlignment="1">
      <alignment vertical="center" wrapText="1"/>
    </xf>
    <xf numFmtId="3" fontId="60" fillId="0" borderId="93" xfId="0" applyNumberFormat="1" applyFont="1" applyFill="1" applyBorder="1" applyAlignment="1">
      <alignment vertical="center"/>
    </xf>
    <xf numFmtId="3" fontId="60" fillId="0" borderId="92" xfId="0" applyNumberFormat="1" applyFont="1" applyFill="1" applyBorder="1" applyAlignment="1">
      <alignment vertical="center"/>
    </xf>
    <xf numFmtId="0" fontId="50" fillId="0" borderId="0" xfId="0" applyFont="1" applyFill="1" applyAlignment="1">
      <alignment wrapText="1"/>
    </xf>
    <xf numFmtId="4" fontId="63" fillId="0" borderId="0" xfId="0" applyNumberFormat="1" applyFont="1" applyFill="1" applyBorder="1" applyAlignment="1">
      <alignment horizontal="centerContinuous" vertical="center"/>
    </xf>
    <xf numFmtId="0" fontId="50" fillId="0" borderId="0" xfId="0" applyFont="1" applyFill="1" applyBorder="1" applyAlignment="1">
      <alignment/>
    </xf>
    <xf numFmtId="0" fontId="50" fillId="0" borderId="0" xfId="0" applyFont="1" applyAlignment="1">
      <alignment wrapText="1"/>
    </xf>
    <xf numFmtId="4" fontId="50" fillId="0" borderId="0" xfId="0" applyNumberFormat="1" applyFont="1" applyAlignment="1">
      <alignment/>
    </xf>
    <xf numFmtId="1" fontId="10" fillId="0" borderId="0" xfId="0" applyNumberFormat="1" applyFont="1" applyAlignment="1">
      <alignment horizontal="center"/>
    </xf>
    <xf numFmtId="1" fontId="10" fillId="0" borderId="0" xfId="0" applyNumberFormat="1" applyFont="1" applyAlignment="1">
      <alignment/>
    </xf>
    <xf numFmtId="3" fontId="10" fillId="0" borderId="0" xfId="0" applyNumberFormat="1" applyFont="1" applyAlignment="1">
      <alignment/>
    </xf>
    <xf numFmtId="3" fontId="10" fillId="0" borderId="0" xfId="0" applyNumberFormat="1" applyFont="1" applyAlignment="1">
      <alignment/>
    </xf>
    <xf numFmtId="164" fontId="13" fillId="0" borderId="0" xfId="0" applyNumberFormat="1" applyFont="1" applyAlignment="1">
      <alignment/>
    </xf>
    <xf numFmtId="164" fontId="10" fillId="0" borderId="0" xfId="0" applyNumberFormat="1" applyFont="1" applyAlignment="1">
      <alignment/>
    </xf>
    <xf numFmtId="164" fontId="10" fillId="0" borderId="0" xfId="0" applyNumberFormat="1" applyFont="1" applyBorder="1" applyAlignment="1">
      <alignment/>
    </xf>
    <xf numFmtId="1" fontId="47" fillId="0" borderId="0" xfId="0" applyNumberFormat="1" applyFont="1" applyFill="1" applyBorder="1" applyAlignment="1" applyProtection="1">
      <alignment horizontal="centerContinuous" vertical="center" wrapText="1"/>
      <protection locked="0"/>
    </xf>
    <xf numFmtId="1" fontId="11" fillId="0" borderId="0" xfId="0" applyNumberFormat="1" applyFont="1" applyFill="1" applyBorder="1" applyAlignment="1" applyProtection="1">
      <alignment horizontal="centerContinuous" vertical="center" wrapText="1"/>
      <protection locked="0"/>
    </xf>
    <xf numFmtId="3" fontId="11" fillId="0" borderId="0" xfId="0" applyNumberFormat="1" applyFont="1" applyFill="1" applyBorder="1" applyAlignment="1" applyProtection="1">
      <alignment horizontal="centerContinuous" vertical="center"/>
      <protection locked="0"/>
    </xf>
    <xf numFmtId="164" fontId="64" fillId="0" borderId="0" xfId="0" applyNumberFormat="1" applyFont="1" applyFill="1" applyBorder="1" applyAlignment="1" applyProtection="1">
      <alignment horizontal="centerContinuous" vertical="center"/>
      <protection locked="0"/>
    </xf>
    <xf numFmtId="164" fontId="11" fillId="0" borderId="0" xfId="0" applyNumberFormat="1" applyFont="1" applyFill="1" applyBorder="1" applyAlignment="1" applyProtection="1">
      <alignment horizontal="centerContinuous" vertical="center"/>
      <protection locked="0"/>
    </xf>
    <xf numFmtId="164" fontId="11" fillId="0" borderId="0" xfId="0" applyNumberFormat="1" applyFont="1" applyBorder="1" applyAlignment="1">
      <alignment vertical="center"/>
    </xf>
    <xf numFmtId="1" fontId="10" fillId="0" borderId="0" xfId="0" applyNumberFormat="1" applyFont="1" applyFill="1" applyBorder="1" applyAlignment="1" applyProtection="1">
      <alignment horizontal="center"/>
      <protection locked="0"/>
    </xf>
    <xf numFmtId="1" fontId="10" fillId="0" borderId="0" xfId="0" applyNumberFormat="1" applyFont="1" applyFill="1" applyBorder="1" applyAlignment="1" applyProtection="1">
      <alignment/>
      <protection locked="0"/>
    </xf>
    <xf numFmtId="3" fontId="10" fillId="0" borderId="0" xfId="0" applyNumberFormat="1" applyFont="1" applyFill="1" applyBorder="1" applyAlignment="1" applyProtection="1">
      <alignment horizontal="centerContinuous" vertical="center"/>
      <protection locked="0"/>
    </xf>
    <xf numFmtId="3" fontId="10" fillId="0" borderId="0" xfId="0" applyNumberFormat="1" applyFont="1" applyFill="1" applyBorder="1" applyAlignment="1" applyProtection="1">
      <alignment horizontal="centerContinuous" vertical="center"/>
      <protection locked="0"/>
    </xf>
    <xf numFmtId="164" fontId="13" fillId="0" borderId="0" xfId="0" applyNumberFormat="1" applyFont="1" applyFill="1" applyBorder="1" applyAlignment="1" applyProtection="1">
      <alignment horizontal="centerContinuous" vertical="center"/>
      <protection locked="0"/>
    </xf>
    <xf numFmtId="164" fontId="10" fillId="0" borderId="0" xfId="0" applyNumberFormat="1" applyFont="1" applyFill="1" applyBorder="1" applyAlignment="1" applyProtection="1">
      <alignment horizontal="centerContinuous" vertical="center"/>
      <protection locked="0"/>
    </xf>
    <xf numFmtId="3" fontId="10" fillId="0" borderId="0" xfId="0" applyNumberFormat="1" applyFont="1" applyFill="1" applyBorder="1" applyAlignment="1" applyProtection="1">
      <alignment horizontal="left" vertical="center"/>
      <protection locked="0"/>
    </xf>
    <xf numFmtId="3" fontId="10" fillId="0" borderId="0" xfId="0" applyNumberFormat="1" applyFont="1" applyFill="1" applyBorder="1" applyAlignment="1" applyProtection="1">
      <alignment horizontal="center" vertical="center"/>
      <protection locked="0"/>
    </xf>
    <xf numFmtId="164" fontId="10" fillId="0" borderId="0" xfId="0" applyNumberFormat="1" applyFont="1" applyFill="1" applyBorder="1" applyAlignment="1" applyProtection="1">
      <alignment horizontal="left" vertical="center"/>
      <protection locked="0"/>
    </xf>
    <xf numFmtId="1" fontId="10" fillId="0" borderId="56" xfId="0" applyNumberFormat="1" applyFont="1" applyFill="1" applyBorder="1" applyAlignment="1" applyProtection="1">
      <alignment horizontal="center" vertical="center"/>
      <protection locked="0"/>
    </xf>
    <xf numFmtId="164" fontId="10" fillId="0" borderId="112" xfId="0" applyNumberFormat="1" applyFont="1" applyFill="1" applyBorder="1" applyAlignment="1" applyProtection="1">
      <alignment horizontal="centerContinuous" vertical="center"/>
      <protection locked="0"/>
    </xf>
    <xf numFmtId="3" fontId="5" fillId="0" borderId="56" xfId="0" applyNumberFormat="1" applyFont="1" applyFill="1" applyBorder="1" applyAlignment="1" applyProtection="1">
      <alignment horizontal="centerContinuous" vertical="center"/>
      <protection locked="0"/>
    </xf>
    <xf numFmtId="3" fontId="8" fillId="0" borderId="105" xfId="0" applyNumberFormat="1" applyFont="1" applyFill="1" applyBorder="1" applyAlignment="1" applyProtection="1">
      <alignment horizontal="centerContinuous" vertical="center"/>
      <protection locked="0"/>
    </xf>
    <xf numFmtId="164" fontId="13" fillId="0" borderId="52" xfId="0" applyNumberFormat="1" applyFont="1" applyFill="1" applyBorder="1" applyAlignment="1" applyProtection="1">
      <alignment horizontal="centerContinuous" vertical="center"/>
      <protection locked="0"/>
    </xf>
    <xf numFmtId="3" fontId="11" fillId="0" borderId="113" xfId="0" applyNumberFormat="1" applyFont="1" applyFill="1" applyBorder="1" applyAlignment="1" applyProtection="1">
      <alignment horizontal="centerContinuous" vertical="center"/>
      <protection locked="0"/>
    </xf>
    <xf numFmtId="3" fontId="8" fillId="0" borderId="52" xfId="0" applyNumberFormat="1" applyFont="1" applyFill="1" applyBorder="1" applyAlignment="1" applyProtection="1">
      <alignment horizontal="centerContinuous" vertical="center"/>
      <protection locked="0"/>
    </xf>
    <xf numFmtId="164" fontId="10" fillId="0" borderId="52" xfId="0" applyNumberFormat="1" applyFont="1" applyFill="1" applyBorder="1" applyAlignment="1" applyProtection="1">
      <alignment horizontal="centerContinuous" vertical="center"/>
      <protection locked="0"/>
    </xf>
    <xf numFmtId="3" fontId="11" fillId="0" borderId="114" xfId="0" applyNumberFormat="1" applyFont="1" applyFill="1" applyBorder="1" applyAlignment="1" applyProtection="1">
      <alignment horizontal="centerContinuous" vertical="center"/>
      <protection locked="0"/>
    </xf>
    <xf numFmtId="3" fontId="8" fillId="0" borderId="109" xfId="0" applyNumberFormat="1" applyFont="1" applyFill="1" applyBorder="1" applyAlignment="1" applyProtection="1">
      <alignment horizontal="centerContinuous" vertical="center"/>
      <protection locked="0"/>
    </xf>
    <xf numFmtId="164" fontId="10" fillId="0" borderId="109" xfId="0" applyNumberFormat="1" applyFont="1" applyFill="1" applyBorder="1" applyAlignment="1" applyProtection="1">
      <alignment horizontal="centerContinuous" vertical="center"/>
      <protection locked="0"/>
    </xf>
    <xf numFmtId="164" fontId="10" fillId="0" borderId="0" xfId="0" applyNumberFormat="1" applyFont="1" applyBorder="1" applyAlignment="1">
      <alignment vertical="center"/>
    </xf>
    <xf numFmtId="1" fontId="10" fillId="0" borderId="60" xfId="0" applyNumberFormat="1" applyFont="1" applyFill="1" applyBorder="1" applyAlignment="1" applyProtection="1">
      <alignment horizontal="center" vertical="center" wrapText="1"/>
      <protection locked="0"/>
    </xf>
    <xf numFmtId="164" fontId="11" fillId="0" borderId="50" xfId="19" applyNumberFormat="1" applyFont="1" applyFill="1" applyBorder="1" applyAlignment="1" applyProtection="1">
      <alignment horizontal="center" vertical="center" wrapText="1"/>
      <protection locked="0"/>
    </xf>
    <xf numFmtId="3" fontId="8" fillId="0" borderId="48" xfId="0" applyNumberFormat="1" applyFont="1" applyFill="1" applyBorder="1" applyAlignment="1" applyProtection="1">
      <alignment horizontal="center" vertical="center" wrapText="1"/>
      <protection locked="0"/>
    </xf>
    <xf numFmtId="3" fontId="8" fillId="0" borderId="39" xfId="0" applyNumberFormat="1" applyFont="1" applyFill="1" applyBorder="1" applyAlignment="1" applyProtection="1">
      <alignment horizontal="center" vertical="center" wrapText="1"/>
      <protection locked="0"/>
    </xf>
    <xf numFmtId="164" fontId="13" fillId="0" borderId="81" xfId="0" applyNumberFormat="1" applyFont="1" applyFill="1" applyBorder="1" applyAlignment="1" applyProtection="1">
      <alignment horizontal="center" vertical="center" wrapText="1"/>
      <protection locked="0"/>
    </xf>
    <xf numFmtId="3" fontId="8" fillId="0" borderId="81" xfId="0" applyNumberFormat="1" applyFont="1" applyFill="1" applyBorder="1" applyAlignment="1" applyProtection="1">
      <alignment horizontal="center" vertical="center" wrapText="1"/>
      <protection locked="0"/>
    </xf>
    <xf numFmtId="164" fontId="13" fillId="0" borderId="59" xfId="0" applyNumberFormat="1" applyFont="1" applyFill="1" applyBorder="1" applyAlignment="1" applyProtection="1">
      <alignment horizontal="center" vertical="center" wrapText="1"/>
      <protection locked="0"/>
    </xf>
    <xf numFmtId="164" fontId="10" fillId="0" borderId="0" xfId="0" applyNumberFormat="1" applyFont="1" applyBorder="1" applyAlignment="1">
      <alignment horizontal="center" vertical="center"/>
    </xf>
    <xf numFmtId="3" fontId="10" fillId="0" borderId="110" xfId="0" applyNumberFormat="1" applyFont="1" applyFill="1" applyBorder="1" applyAlignment="1" applyProtection="1">
      <alignment horizontal="center" vertical="center"/>
      <protection locked="0"/>
    </xf>
    <xf numFmtId="1" fontId="10" fillId="0" borderId="0" xfId="0" applyNumberFormat="1" applyFont="1" applyBorder="1" applyAlignment="1">
      <alignment/>
    </xf>
    <xf numFmtId="1" fontId="6" fillId="0" borderId="101" xfId="0" applyNumberFormat="1" applyFont="1" applyFill="1" applyBorder="1" applyAlignment="1" applyProtection="1">
      <alignment horizontal="centerContinuous" vertical="center"/>
      <protection locked="0"/>
    </xf>
    <xf numFmtId="164" fontId="6" fillId="0" borderId="80" xfId="19" applyNumberFormat="1" applyFont="1" applyFill="1" applyBorder="1" applyAlignment="1" applyProtection="1">
      <alignment vertical="center" wrapText="1"/>
      <protection locked="0"/>
    </xf>
    <xf numFmtId="3" fontId="6" fillId="0" borderId="101"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164" fontId="49" fillId="0" borderId="110" xfId="0" applyNumberFormat="1" applyFont="1" applyFill="1" applyBorder="1" applyAlignment="1" applyProtection="1">
      <alignment horizontal="right" vertical="center"/>
      <protection locked="0"/>
    </xf>
    <xf numFmtId="3" fontId="6" fillId="0" borderId="110" xfId="0" applyNumberFormat="1" applyFont="1" applyFill="1" applyBorder="1" applyAlignment="1" applyProtection="1">
      <alignment vertical="center"/>
      <protection locked="0"/>
    </xf>
    <xf numFmtId="164" fontId="6" fillId="0" borderId="110" xfId="0" applyNumberFormat="1" applyFont="1" applyFill="1" applyBorder="1" applyAlignment="1" applyProtection="1">
      <alignment vertical="center"/>
      <protection locked="0"/>
    </xf>
    <xf numFmtId="164" fontId="6" fillId="0" borderId="0" xfId="0" applyNumberFormat="1" applyFont="1" applyBorder="1" applyAlignment="1">
      <alignment/>
    </xf>
    <xf numFmtId="1" fontId="6" fillId="0" borderId="106" xfId="0" applyNumberFormat="1" applyFont="1" applyFill="1" applyBorder="1" applyAlignment="1" applyProtection="1">
      <alignment horizontal="centerContinuous" vertical="center"/>
      <protection locked="0"/>
    </xf>
    <xf numFmtId="164" fontId="6" fillId="0" borderId="115" xfId="19" applyNumberFormat="1" applyFont="1" applyFill="1" applyBorder="1" applyAlignment="1" applyProtection="1">
      <alignment vertical="center" wrapText="1"/>
      <protection locked="0"/>
    </xf>
    <xf numFmtId="3" fontId="6" fillId="0" borderId="98" xfId="0" applyNumberFormat="1" applyFont="1" applyFill="1" applyBorder="1" applyAlignment="1" applyProtection="1">
      <alignment vertical="center"/>
      <protection locked="0"/>
    </xf>
    <xf numFmtId="3" fontId="6" fillId="0" borderId="46" xfId="0" applyNumberFormat="1" applyFont="1" applyFill="1" applyBorder="1" applyAlignment="1" applyProtection="1">
      <alignment vertical="center"/>
      <protection locked="0"/>
    </xf>
    <xf numFmtId="164" fontId="49" fillId="0" borderId="84" xfId="0" applyNumberFormat="1" applyFont="1" applyFill="1" applyBorder="1" applyAlignment="1" applyProtection="1">
      <alignment horizontal="right" vertical="center"/>
      <protection locked="0"/>
    </xf>
    <xf numFmtId="3" fontId="6" fillId="0" borderId="106" xfId="0" applyNumberFormat="1" applyFont="1" applyFill="1" applyBorder="1" applyAlignment="1" applyProtection="1">
      <alignment vertical="center"/>
      <protection locked="0"/>
    </xf>
    <xf numFmtId="3" fontId="6" fillId="0" borderId="116" xfId="0" applyNumberFormat="1" applyFont="1" applyFill="1" applyBorder="1" applyAlignment="1" applyProtection="1">
      <alignment vertical="center"/>
      <protection locked="0"/>
    </xf>
    <xf numFmtId="164" fontId="49" fillId="0" borderId="109" xfId="0" applyNumberFormat="1" applyFont="1" applyFill="1" applyBorder="1" applyAlignment="1" applyProtection="1">
      <alignment horizontal="right" vertical="center"/>
      <protection locked="0"/>
    </xf>
    <xf numFmtId="164" fontId="6" fillId="0" borderId="116" xfId="0" applyNumberFormat="1" applyFont="1" applyFill="1" applyBorder="1" applyAlignment="1" applyProtection="1">
      <alignment vertical="center"/>
      <protection locked="0"/>
    </xf>
    <xf numFmtId="1" fontId="4" fillId="0" borderId="60" xfId="0" applyNumberFormat="1" applyFont="1" applyFill="1" applyBorder="1" applyAlignment="1" applyProtection="1">
      <alignment horizontal="centerContinuous" vertical="center"/>
      <protection locked="0"/>
    </xf>
    <xf numFmtId="164" fontId="4" fillId="0" borderId="50" xfId="19" applyNumberFormat="1" applyFont="1" applyFill="1" applyBorder="1" applyAlignment="1" applyProtection="1">
      <alignment vertical="center" wrapText="1"/>
      <protection locked="0"/>
    </xf>
    <xf numFmtId="3" fontId="4" fillId="0" borderId="96" xfId="0" applyNumberFormat="1" applyFont="1" applyFill="1" applyBorder="1" applyAlignment="1" applyProtection="1">
      <alignment vertical="center"/>
      <protection locked="0"/>
    </xf>
    <xf numFmtId="3" fontId="4" fillId="0" borderId="6" xfId="0" applyNumberFormat="1" applyFont="1" applyFill="1" applyBorder="1" applyAlignment="1" applyProtection="1">
      <alignment vertical="center"/>
      <protection locked="0"/>
    </xf>
    <xf numFmtId="164" fontId="14" fillId="0" borderId="59" xfId="0" applyNumberFormat="1" applyFont="1" applyFill="1" applyBorder="1" applyAlignment="1" applyProtection="1">
      <alignment horizontal="right" vertical="center"/>
      <protection locked="0"/>
    </xf>
    <xf numFmtId="3" fontId="4" fillId="0" borderId="60" xfId="0" applyNumberFormat="1" applyFont="1" applyFill="1" applyBorder="1" applyAlignment="1" applyProtection="1">
      <alignment vertical="center"/>
      <protection locked="0"/>
    </xf>
    <xf numFmtId="3" fontId="4" fillId="0" borderId="59" xfId="0" applyNumberFormat="1" applyFont="1" applyFill="1" applyBorder="1" applyAlignment="1" applyProtection="1">
      <alignment vertical="center"/>
      <protection locked="0"/>
    </xf>
    <xf numFmtId="164" fontId="4" fillId="0" borderId="59" xfId="0" applyNumberFormat="1" applyFont="1" applyFill="1" applyBorder="1" applyAlignment="1" applyProtection="1">
      <alignment vertical="center"/>
      <protection locked="0"/>
    </xf>
    <xf numFmtId="164" fontId="4" fillId="0" borderId="0" xfId="0" applyNumberFormat="1" applyFont="1" applyBorder="1" applyAlignment="1">
      <alignment/>
    </xf>
    <xf numFmtId="164" fontId="6" fillId="0" borderId="12" xfId="19" applyNumberFormat="1" applyFont="1" applyFill="1" applyBorder="1" applyAlignment="1" applyProtection="1">
      <alignment vertical="center" wrapText="1"/>
      <protection locked="0"/>
    </xf>
    <xf numFmtId="164" fontId="6" fillId="0" borderId="9" xfId="19" applyNumberFormat="1" applyFont="1" applyFill="1" applyBorder="1" applyAlignment="1" applyProtection="1">
      <alignment vertical="center" wrapText="1"/>
      <protection locked="0"/>
    </xf>
    <xf numFmtId="3" fontId="6" fillId="0" borderId="114" xfId="0" applyNumberFormat="1" applyFont="1" applyFill="1" applyBorder="1" applyAlignment="1" applyProtection="1">
      <alignment vertical="center"/>
      <protection locked="0"/>
    </xf>
    <xf numFmtId="3" fontId="6" fillId="0" borderId="109" xfId="0" applyNumberFormat="1" applyFont="1" applyFill="1" applyBorder="1" applyAlignment="1" applyProtection="1">
      <alignment vertical="center"/>
      <protection locked="0"/>
    </xf>
    <xf numFmtId="164" fontId="4" fillId="0" borderId="6" xfId="19" applyNumberFormat="1" applyFont="1" applyFill="1" applyBorder="1" applyAlignment="1" applyProtection="1">
      <alignment vertical="center" wrapText="1"/>
      <protection locked="0"/>
    </xf>
    <xf numFmtId="1" fontId="6" fillId="0" borderId="114" xfId="0" applyNumberFormat="1" applyFont="1" applyFill="1" applyBorder="1" applyAlignment="1" applyProtection="1">
      <alignment horizontal="centerContinuous" vertical="center"/>
      <protection locked="0"/>
    </xf>
    <xf numFmtId="164" fontId="6" fillId="0" borderId="100" xfId="19" applyNumberFormat="1" applyFont="1" applyFill="1" applyBorder="1" applyAlignment="1" applyProtection="1">
      <alignment vertical="center" wrapText="1"/>
      <protection locked="0"/>
    </xf>
    <xf numFmtId="3" fontId="6" fillId="0" borderId="100" xfId="0" applyNumberFormat="1" applyFont="1" applyFill="1" applyBorder="1" applyAlignment="1" applyProtection="1">
      <alignment vertical="center"/>
      <protection locked="0"/>
    </xf>
    <xf numFmtId="164" fontId="49" fillId="0" borderId="59" xfId="0" applyNumberFormat="1" applyFont="1" applyFill="1" applyBorder="1" applyAlignment="1" applyProtection="1">
      <alignment horizontal="right" vertical="center"/>
      <protection locked="0"/>
    </xf>
    <xf numFmtId="3" fontId="6" fillId="0" borderId="9" xfId="0" applyNumberFormat="1" applyFont="1" applyFill="1" applyBorder="1" applyAlignment="1" applyProtection="1">
      <alignment vertical="center"/>
      <protection locked="0"/>
    </xf>
    <xf numFmtId="164" fontId="49" fillId="0" borderId="116" xfId="0" applyNumberFormat="1" applyFont="1" applyFill="1" applyBorder="1" applyAlignment="1" applyProtection="1">
      <alignment horizontal="right" vertical="center"/>
      <protection locked="0"/>
    </xf>
    <xf numFmtId="1" fontId="4" fillId="0" borderId="98" xfId="0" applyNumberFormat="1" applyFont="1" applyFill="1" applyBorder="1" applyAlignment="1" applyProtection="1">
      <alignment horizontal="centerContinuous" vertical="center"/>
      <protection locked="0"/>
    </xf>
    <xf numFmtId="164" fontId="4" fillId="0" borderId="46" xfId="19" applyNumberFormat="1" applyFont="1" applyFill="1" applyBorder="1" applyAlignment="1" applyProtection="1">
      <alignment vertical="center" wrapText="1"/>
      <protection locked="0"/>
    </xf>
    <xf numFmtId="3" fontId="4" fillId="0" borderId="98" xfId="0" applyNumberFormat="1" applyFont="1" applyFill="1" applyBorder="1" applyAlignment="1" applyProtection="1">
      <alignment horizontal="right" vertical="center"/>
      <protection locked="0"/>
    </xf>
    <xf numFmtId="3" fontId="4" fillId="0" borderId="84" xfId="0" applyNumberFormat="1" applyFont="1" applyFill="1" applyBorder="1" applyAlignment="1" applyProtection="1">
      <alignment horizontal="right" vertical="center"/>
      <protection locked="0"/>
    </xf>
    <xf numFmtId="164" fontId="4" fillId="0" borderId="84" xfId="0" applyNumberFormat="1" applyFont="1" applyFill="1" applyBorder="1" applyAlignment="1" applyProtection="1">
      <alignment horizontal="right" vertical="center"/>
      <protection locked="0"/>
    </xf>
    <xf numFmtId="164" fontId="49" fillId="0" borderId="92" xfId="0" applyNumberFormat="1" applyFont="1" applyFill="1" applyBorder="1" applyAlignment="1" applyProtection="1">
      <alignment horizontal="right" vertical="center"/>
      <protection locked="0"/>
    </xf>
    <xf numFmtId="1" fontId="4" fillId="0" borderId="106" xfId="0" applyNumberFormat="1" applyFont="1" applyFill="1" applyBorder="1" applyAlignment="1" applyProtection="1">
      <alignment horizontal="centerContinuous" vertical="center"/>
      <protection locked="0"/>
    </xf>
    <xf numFmtId="164" fontId="4" fillId="0" borderId="9" xfId="19" applyNumberFormat="1" applyFont="1" applyFill="1" applyBorder="1" applyAlignment="1" applyProtection="1">
      <alignment vertical="center" wrapText="1"/>
      <protection locked="0"/>
    </xf>
    <xf numFmtId="3" fontId="4" fillId="0" borderId="106" xfId="0" applyNumberFormat="1" applyFont="1" applyFill="1" applyBorder="1" applyAlignment="1" applyProtection="1">
      <alignment vertical="center"/>
      <protection locked="0"/>
    </xf>
    <xf numFmtId="3" fontId="4" fillId="0" borderId="9" xfId="0" applyNumberFormat="1" applyFont="1" applyFill="1" applyBorder="1" applyAlignment="1" applyProtection="1">
      <alignment vertical="center"/>
      <protection locked="0"/>
    </xf>
    <xf numFmtId="164" fontId="14" fillId="0" borderId="116" xfId="0" applyNumberFormat="1" applyFont="1" applyFill="1" applyBorder="1" applyAlignment="1" applyProtection="1">
      <alignment horizontal="right" vertical="center"/>
      <protection locked="0"/>
    </xf>
    <xf numFmtId="3" fontId="4" fillId="0" borderId="116" xfId="0" applyNumberFormat="1" applyFont="1" applyFill="1" applyBorder="1" applyAlignment="1" applyProtection="1">
      <alignment vertical="center"/>
      <protection locked="0"/>
    </xf>
    <xf numFmtId="1" fontId="6" fillId="0" borderId="106" xfId="0" applyNumberFormat="1" applyFont="1" applyFill="1" applyBorder="1" applyAlignment="1" applyProtection="1">
      <alignment horizontal="center" vertical="center"/>
      <protection locked="0"/>
    </xf>
    <xf numFmtId="1" fontId="4" fillId="0" borderId="98" xfId="0" applyNumberFormat="1" applyFont="1" applyFill="1" applyBorder="1" applyAlignment="1" applyProtection="1">
      <alignment horizontal="center" vertical="center"/>
      <protection locked="0"/>
    </xf>
    <xf numFmtId="3" fontId="4" fillId="0" borderId="98" xfId="0" applyNumberFormat="1" applyFont="1" applyFill="1" applyBorder="1" applyAlignment="1" applyProtection="1">
      <alignment vertical="center"/>
      <protection locked="0"/>
    </xf>
    <xf numFmtId="3" fontId="4" fillId="0" borderId="46" xfId="0" applyNumberFormat="1" applyFont="1" applyFill="1" applyBorder="1" applyAlignment="1" applyProtection="1">
      <alignment vertical="center"/>
      <protection locked="0"/>
    </xf>
    <xf numFmtId="164" fontId="14" fillId="0" borderId="84" xfId="0" applyNumberFormat="1" applyFont="1" applyFill="1" applyBorder="1" applyAlignment="1" applyProtection="1">
      <alignment horizontal="right" vertical="center"/>
      <protection locked="0"/>
    </xf>
    <xf numFmtId="3" fontId="4" fillId="0" borderId="48" xfId="0" applyNumberFormat="1" applyFont="1" applyFill="1" applyBorder="1" applyAlignment="1" applyProtection="1">
      <alignment vertical="center"/>
      <protection locked="0"/>
    </xf>
    <xf numFmtId="3" fontId="4" fillId="0" borderId="81" xfId="0" applyNumberFormat="1" applyFont="1" applyFill="1" applyBorder="1" applyAlignment="1" applyProtection="1">
      <alignment vertical="center"/>
      <protection locked="0"/>
    </xf>
    <xf numFmtId="3" fontId="4" fillId="0" borderId="84" xfId="0" applyNumberFormat="1" applyFont="1" applyFill="1" applyBorder="1" applyAlignment="1" applyProtection="1">
      <alignment vertical="center"/>
      <protection locked="0"/>
    </xf>
    <xf numFmtId="0" fontId="4" fillId="0" borderId="48" xfId="0" applyNumberFormat="1" applyFont="1" applyFill="1" applyBorder="1" applyAlignment="1" applyProtection="1">
      <alignment horizontal="centerContinuous" vertical="center"/>
      <protection locked="0"/>
    </xf>
    <xf numFmtId="164" fontId="4" fillId="0" borderId="39" xfId="19" applyNumberFormat="1" applyFont="1" applyFill="1" applyBorder="1" applyAlignment="1" applyProtection="1">
      <alignment vertical="center" wrapText="1"/>
      <protection locked="0"/>
    </xf>
    <xf numFmtId="3" fontId="4" fillId="0" borderId="39" xfId="0" applyNumberFormat="1" applyFont="1" applyFill="1" applyBorder="1" applyAlignment="1" applyProtection="1">
      <alignment vertical="center"/>
      <protection locked="0"/>
    </xf>
    <xf numFmtId="164" fontId="14" fillId="0" borderId="81" xfId="0" applyNumberFormat="1" applyFont="1" applyFill="1" applyBorder="1" applyAlignment="1" applyProtection="1">
      <alignment horizontal="right" vertical="center"/>
      <protection locked="0"/>
    </xf>
    <xf numFmtId="164" fontId="49" fillId="0" borderId="0" xfId="0" applyNumberFormat="1" applyFont="1" applyBorder="1" applyAlignment="1">
      <alignment vertical="center"/>
    </xf>
    <xf numFmtId="164" fontId="14" fillId="0" borderId="0" xfId="0" applyNumberFormat="1" applyFont="1" applyBorder="1" applyAlignment="1">
      <alignment/>
    </xf>
    <xf numFmtId="164" fontId="49" fillId="0" borderId="0" xfId="0" applyNumberFormat="1" applyFont="1" applyBorder="1" applyAlignment="1">
      <alignment/>
    </xf>
    <xf numFmtId="3" fontId="6" fillId="0" borderId="102" xfId="0" applyNumberFormat="1" applyFont="1" applyFill="1" applyBorder="1" applyAlignment="1" applyProtection="1">
      <alignment vertical="center"/>
      <protection locked="0"/>
    </xf>
    <xf numFmtId="164" fontId="6" fillId="0" borderId="92" xfId="0" applyNumberFormat="1" applyFont="1" applyFill="1" applyBorder="1" applyAlignment="1" applyProtection="1">
      <alignment vertical="center"/>
      <protection locked="0"/>
    </xf>
    <xf numFmtId="3" fontId="6" fillId="0" borderId="106" xfId="0" applyNumberFormat="1" applyFont="1" applyFill="1" applyBorder="1" applyAlignment="1" applyProtection="1">
      <alignment horizontal="right" vertical="center"/>
      <protection locked="0"/>
    </xf>
    <xf numFmtId="3" fontId="6" fillId="0" borderId="116" xfId="0" applyNumberFormat="1" applyFont="1" applyFill="1" applyBorder="1" applyAlignment="1" applyProtection="1">
      <alignment horizontal="right" vertical="center"/>
      <protection locked="0"/>
    </xf>
    <xf numFmtId="164" fontId="6" fillId="0" borderId="116" xfId="0" applyNumberFormat="1" applyFont="1" applyFill="1" applyBorder="1" applyAlignment="1" applyProtection="1">
      <alignment horizontal="right" vertical="center"/>
      <protection locked="0"/>
    </xf>
    <xf numFmtId="3" fontId="6" fillId="0" borderId="99" xfId="0" applyNumberFormat="1" applyFont="1" applyFill="1" applyBorder="1" applyAlignment="1" applyProtection="1">
      <alignment vertical="center"/>
      <protection locked="0"/>
    </xf>
    <xf numFmtId="164" fontId="6" fillId="0" borderId="59" xfId="0" applyNumberFormat="1" applyFont="1" applyFill="1" applyBorder="1" applyAlignment="1" applyProtection="1">
      <alignment vertical="center"/>
      <protection locked="0"/>
    </xf>
    <xf numFmtId="1" fontId="4" fillId="0" borderId="48" xfId="0" applyNumberFormat="1" applyFont="1" applyFill="1" applyBorder="1" applyAlignment="1" applyProtection="1">
      <alignment horizontal="centerContinuous" vertical="center"/>
      <protection locked="0"/>
    </xf>
    <xf numFmtId="1" fontId="4" fillId="0" borderId="60" xfId="0" applyNumberFormat="1" applyFont="1" applyFill="1" applyBorder="1" applyAlignment="1" applyProtection="1">
      <alignment horizontal="center" vertical="center"/>
      <protection locked="0"/>
    </xf>
    <xf numFmtId="164" fontId="4" fillId="0" borderId="116" xfId="0" applyNumberFormat="1" applyFont="1" applyFill="1" applyBorder="1" applyAlignment="1" applyProtection="1">
      <alignment vertical="center"/>
      <protection locked="0"/>
    </xf>
    <xf numFmtId="164" fontId="4" fillId="0" borderId="81" xfId="0" applyNumberFormat="1" applyFont="1" applyFill="1" applyBorder="1" applyAlignment="1" applyProtection="1">
      <alignment vertical="center"/>
      <protection locked="0"/>
    </xf>
    <xf numFmtId="3" fontId="6" fillId="0" borderId="18" xfId="0" applyNumberFormat="1" applyFont="1" applyFill="1" applyBorder="1" applyAlignment="1" applyProtection="1">
      <alignment vertical="center"/>
      <protection locked="0"/>
    </xf>
    <xf numFmtId="3" fontId="6" fillId="0" borderId="33" xfId="0" applyNumberFormat="1" applyFont="1" applyFill="1" applyBorder="1" applyAlignment="1" applyProtection="1">
      <alignment vertical="center"/>
      <protection locked="0"/>
    </xf>
    <xf numFmtId="164" fontId="6" fillId="0" borderId="77" xfId="19" applyNumberFormat="1" applyFont="1" applyFill="1" applyBorder="1" applyAlignment="1" applyProtection="1">
      <alignment vertical="center" wrapText="1"/>
      <protection locked="0"/>
    </xf>
    <xf numFmtId="1" fontId="6" fillId="0" borderId="102" xfId="0" applyNumberFormat="1" applyFont="1" applyFill="1" applyBorder="1" applyAlignment="1" applyProtection="1">
      <alignment horizontal="centerContinuous" vertical="center"/>
      <protection locked="0"/>
    </xf>
    <xf numFmtId="164" fontId="10" fillId="0" borderId="0" xfId="0" applyNumberFormat="1" applyFont="1" applyAlignment="1">
      <alignment wrapText="1"/>
    </xf>
    <xf numFmtId="3" fontId="10" fillId="0" borderId="0" xfId="0" applyNumberFormat="1" applyFont="1" applyBorder="1" applyAlignment="1">
      <alignment/>
    </xf>
    <xf numFmtId="164" fontId="13" fillId="0" borderId="0" xfId="0" applyNumberFormat="1" applyFont="1" applyFill="1" applyBorder="1" applyAlignment="1" applyProtection="1">
      <alignment horizontal="right" vertical="center"/>
      <protection locked="0"/>
    </xf>
    <xf numFmtId="0" fontId="4" fillId="0" borderId="0" xfId="0" applyFont="1" applyBorder="1" applyAlignment="1">
      <alignment horizontal="center" vertical="center" wrapText="1"/>
    </xf>
    <xf numFmtId="0" fontId="4" fillId="0" borderId="0" xfId="0" applyFont="1" applyBorder="1" applyAlignment="1">
      <alignment/>
    </xf>
    <xf numFmtId="0" fontId="5" fillId="0" borderId="0" xfId="0" applyFont="1" applyAlignment="1">
      <alignment horizontal="center" vertical="center" wrapText="1"/>
    </xf>
    <xf numFmtId="0" fontId="10" fillId="0" borderId="0" xfId="0" applyFont="1" applyBorder="1" applyAlignment="1">
      <alignment horizontal="right"/>
    </xf>
    <xf numFmtId="0" fontId="7" fillId="0" borderId="53" xfId="0" applyFont="1" applyBorder="1" applyAlignment="1">
      <alignment horizontal="center" wrapText="1"/>
    </xf>
    <xf numFmtId="0" fontId="5" fillId="0" borderId="110" xfId="0" applyFont="1" applyBorder="1" applyAlignment="1">
      <alignment horizontal="centerContinuous" vertical="center"/>
    </xf>
    <xf numFmtId="0" fontId="5" fillId="0" borderId="28" xfId="0" applyFont="1" applyBorder="1" applyAlignment="1">
      <alignment horizontal="centerContinuous" vertical="center"/>
    </xf>
    <xf numFmtId="0" fontId="2" fillId="0" borderId="28" xfId="0" applyFont="1" applyBorder="1" applyAlignment="1">
      <alignment horizontal="centerContinuous" vertical="center"/>
    </xf>
    <xf numFmtId="0" fontId="6" fillId="0" borderId="44" xfId="0" applyFont="1" applyBorder="1" applyAlignment="1">
      <alignment horizontal="center" vertical="top" wrapText="1"/>
    </xf>
    <xf numFmtId="0" fontId="65" fillId="0" borderId="44" xfId="0" applyFont="1" applyBorder="1" applyAlignment="1">
      <alignment horizontal="centerContinuous" vertical="top" wrapText="1"/>
    </xf>
    <xf numFmtId="0" fontId="66" fillId="0" borderId="100" xfId="0" applyFont="1" applyBorder="1" applyAlignment="1">
      <alignment horizontal="centerContinuous" vertical="center" wrapText="1"/>
    </xf>
    <xf numFmtId="0" fontId="66" fillId="0" borderId="100" xfId="0" applyFont="1" applyBorder="1" applyAlignment="1">
      <alignment horizontal="centerContinuous" vertical="center" wrapText="1"/>
    </xf>
    <xf numFmtId="0" fontId="67" fillId="0" borderId="100" xfId="0" applyFont="1" applyBorder="1" applyAlignment="1">
      <alignment horizontal="centerContinuous" vertical="center" wrapText="1"/>
    </xf>
    <xf numFmtId="0" fontId="67" fillId="0" borderId="31" xfId="0" applyFont="1" applyBorder="1" applyAlignment="1">
      <alignment horizontal="centerContinuous" vertical="center" wrapText="1"/>
    </xf>
    <xf numFmtId="0" fontId="67" fillId="0" borderId="28" xfId="0" applyFont="1" applyBorder="1" applyAlignment="1">
      <alignment horizontal="center" vertical="center" wrapText="1"/>
    </xf>
    <xf numFmtId="0" fontId="67" fillId="0" borderId="103" xfId="0" applyFont="1" applyBorder="1" applyAlignment="1">
      <alignment horizontal="center" vertical="center" wrapText="1"/>
    </xf>
    <xf numFmtId="0" fontId="67" fillId="0" borderId="28" xfId="0" applyFont="1" applyBorder="1" applyAlignment="1">
      <alignment horizontal="center" vertical="center"/>
    </xf>
    <xf numFmtId="0" fontId="67" fillId="0" borderId="12" xfId="0" applyFont="1" applyBorder="1" applyAlignment="1">
      <alignment horizontal="center" vertical="center"/>
    </xf>
    <xf numFmtId="0" fontId="67" fillId="0" borderId="33" xfId="0" applyFont="1" applyBorder="1" applyAlignment="1">
      <alignment horizontal="center" vertical="center"/>
    </xf>
    <xf numFmtId="0" fontId="67" fillId="0" borderId="0" xfId="0" applyFont="1" applyAlignment="1">
      <alignment/>
    </xf>
    <xf numFmtId="0" fontId="7" fillId="0" borderId="37" xfId="0" applyFont="1" applyBorder="1" applyAlignment="1">
      <alignment horizontal="center" vertical="center" wrapText="1"/>
    </xf>
    <xf numFmtId="0" fontId="7" fillId="0" borderId="117" xfId="0" applyFont="1" applyBorder="1" applyAlignment="1">
      <alignment horizontal="center" vertical="center" wrapText="1"/>
    </xf>
    <xf numFmtId="164" fontId="9" fillId="0" borderId="37" xfId="0" applyFont="1" applyBorder="1" applyAlignment="1">
      <alignment vertical="center"/>
    </xf>
    <xf numFmtId="164" fontId="9" fillId="0" borderId="39" xfId="0" applyFont="1" applyBorder="1" applyAlignment="1">
      <alignment vertical="center"/>
    </xf>
    <xf numFmtId="164" fontId="9" fillId="0" borderId="39" xfId="0" applyFont="1" applyBorder="1" applyAlignment="1">
      <alignment vertical="center"/>
    </xf>
    <xf numFmtId="164" fontId="9" fillId="0" borderId="36" xfId="0" applyFont="1" applyBorder="1" applyAlignment="1">
      <alignment vertical="center"/>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164" fontId="9" fillId="0" borderId="9" xfId="0" applyFont="1" applyBorder="1" applyAlignment="1">
      <alignment vertical="center"/>
    </xf>
    <xf numFmtId="164" fontId="8" fillId="0" borderId="28" xfId="0" applyFont="1" applyBorder="1" applyAlignment="1">
      <alignment horizontal="center" vertical="center"/>
    </xf>
    <xf numFmtId="164" fontId="8" fillId="0" borderId="12" xfId="0" applyFont="1" applyBorder="1" applyAlignment="1">
      <alignment vertical="center"/>
    </xf>
    <xf numFmtId="164" fontId="8" fillId="0" borderId="12" xfId="0" applyNumberFormat="1" applyFont="1" applyBorder="1" applyAlignment="1">
      <alignment vertical="center"/>
    </xf>
    <xf numFmtId="164" fontId="8" fillId="0" borderId="12" xfId="0" applyFont="1" applyBorder="1" applyAlignment="1">
      <alignment vertical="center"/>
    </xf>
    <xf numFmtId="164" fontId="8" fillId="0" borderId="33" xfId="0" applyFont="1" applyBorder="1" applyAlignment="1">
      <alignment vertical="center"/>
    </xf>
    <xf numFmtId="164" fontId="8" fillId="0" borderId="28" xfId="0" applyFont="1" applyBorder="1" applyAlignment="1">
      <alignment horizontal="right" vertical="center"/>
    </xf>
    <xf numFmtId="0" fontId="8" fillId="0" borderId="0" xfId="0" applyFont="1" applyAlignment="1">
      <alignment vertical="center"/>
    </xf>
    <xf numFmtId="0" fontId="66" fillId="0" borderId="0" xfId="0" applyFont="1" applyBorder="1" applyAlignment="1">
      <alignment/>
    </xf>
    <xf numFmtId="0" fontId="66" fillId="0" borderId="120" xfId="0" applyFont="1" applyAlignment="1">
      <alignment/>
    </xf>
    <xf numFmtId="0" fontId="9" fillId="0" borderId="0" xfId="0" applyFont="1" applyAlignment="1">
      <alignment/>
    </xf>
    <xf numFmtId="0" fontId="2" fillId="0" borderId="0" xfId="0" applyFont="1" applyAlignment="1">
      <alignment horizontal="left"/>
    </xf>
    <xf numFmtId="0" fontId="3" fillId="0" borderId="0" xfId="0" applyFont="1" applyAlignment="1">
      <alignment/>
    </xf>
    <xf numFmtId="0" fontId="4" fillId="0" borderId="0" xfId="0" applyFont="1" applyAlignment="1">
      <alignment horizontal="right"/>
    </xf>
    <xf numFmtId="0" fontId="2" fillId="0" borderId="0" xfId="0" applyFont="1" applyAlignment="1">
      <alignment/>
    </xf>
    <xf numFmtId="0" fontId="68" fillId="0" borderId="0" xfId="0" applyFont="1" applyAlignment="1">
      <alignment/>
    </xf>
    <xf numFmtId="0" fontId="5" fillId="0" borderId="54" xfId="0" applyFont="1" applyBorder="1" applyAlignment="1">
      <alignment horizontal="center" vertical="center"/>
    </xf>
    <xf numFmtId="0" fontId="5"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55" xfId="0" applyFont="1" applyBorder="1" applyAlignment="1">
      <alignment horizontal="center" vertical="center" wrapText="1"/>
    </xf>
    <xf numFmtId="0" fontId="0" fillId="0" borderId="0" xfId="0" applyAlignment="1">
      <alignment vertical="center"/>
    </xf>
    <xf numFmtId="0" fontId="10" fillId="0" borderId="101"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10" fillId="0" borderId="33" xfId="0" applyFont="1" applyBorder="1" applyAlignment="1">
      <alignment horizontal="center" vertical="center" wrapText="1"/>
    </xf>
    <xf numFmtId="0" fontId="69" fillId="0" borderId="0" xfId="0" applyFont="1" applyAlignment="1">
      <alignment vertical="center"/>
    </xf>
    <xf numFmtId="0" fontId="2" fillId="0" borderId="54" xfId="0" applyFont="1" applyBorder="1" applyAlignment="1">
      <alignment horizontal="center" vertical="center"/>
    </xf>
    <xf numFmtId="0" fontId="2" fillId="0" borderId="15" xfId="0" applyFont="1" applyBorder="1" applyAlignment="1">
      <alignment vertical="center"/>
    </xf>
    <xf numFmtId="3" fontId="2" fillId="0" borderId="15" xfId="0" applyNumberFormat="1" applyFont="1" applyBorder="1" applyAlignment="1">
      <alignment vertical="center"/>
    </xf>
    <xf numFmtId="164" fontId="2" fillId="0" borderId="15" xfId="0" applyNumberFormat="1" applyFont="1" applyBorder="1" applyAlignment="1">
      <alignment vertical="center"/>
    </xf>
    <xf numFmtId="164" fontId="2" fillId="0" borderId="55" xfId="0" applyNumberFormat="1" applyFont="1" applyBorder="1" applyAlignment="1">
      <alignment vertical="center"/>
    </xf>
    <xf numFmtId="0" fontId="4" fillId="0" borderId="96" xfId="0" applyFont="1" applyBorder="1" applyAlignment="1">
      <alignment horizontal="center" vertical="center"/>
    </xf>
    <xf numFmtId="0" fontId="6" fillId="0" borderId="18" xfId="0" applyFont="1" applyBorder="1" applyAlignment="1">
      <alignment vertical="center"/>
    </xf>
    <xf numFmtId="3" fontId="4" fillId="0" borderId="18" xfId="0" applyNumberFormat="1" applyFont="1" applyBorder="1" applyAlignment="1">
      <alignment vertical="center"/>
    </xf>
    <xf numFmtId="164" fontId="4" fillId="0" borderId="95" xfId="0" applyNumberFormat="1" applyFont="1" applyBorder="1" applyAlignment="1">
      <alignment vertical="center"/>
    </xf>
    <xf numFmtId="0" fontId="4" fillId="0" borderId="60" xfId="0" applyFont="1" applyBorder="1" applyAlignment="1">
      <alignment horizontal="center" vertical="center"/>
    </xf>
    <xf numFmtId="0" fontId="4" fillId="0" borderId="6" xfId="0" applyFont="1" applyBorder="1" applyAlignment="1">
      <alignment vertical="center"/>
    </xf>
    <xf numFmtId="3" fontId="4" fillId="0" borderId="6" xfId="0" applyNumberFormat="1" applyFont="1" applyBorder="1" applyAlignment="1">
      <alignment vertical="center"/>
    </xf>
    <xf numFmtId="164" fontId="4" fillId="0" borderId="6" xfId="0" applyNumberFormat="1" applyFont="1" applyBorder="1" applyAlignment="1">
      <alignment vertical="center"/>
    </xf>
    <xf numFmtId="164" fontId="4" fillId="0" borderId="41" xfId="0" applyNumberFormat="1" applyFont="1" applyBorder="1" applyAlignment="1">
      <alignment vertical="center"/>
    </xf>
    <xf numFmtId="0" fontId="4" fillId="0" borderId="106" xfId="0" applyFont="1" applyBorder="1" applyAlignment="1">
      <alignment horizontal="center" vertical="center"/>
    </xf>
    <xf numFmtId="0" fontId="4" fillId="0" borderId="9" xfId="0" applyFont="1" applyBorder="1" applyAlignment="1">
      <alignment vertical="center"/>
    </xf>
    <xf numFmtId="3" fontId="4" fillId="0" borderId="9" xfId="0" applyNumberFormat="1" applyFont="1" applyBorder="1" applyAlignment="1">
      <alignment vertical="center"/>
    </xf>
    <xf numFmtId="164" fontId="4" fillId="0" borderId="9" xfId="0" applyNumberFormat="1" applyFont="1" applyBorder="1" applyAlignment="1">
      <alignment vertical="center"/>
    </xf>
    <xf numFmtId="164" fontId="4" fillId="0" borderId="77" xfId="0" applyNumberFormat="1" applyFont="1" applyBorder="1" applyAlignment="1">
      <alignment vertical="center"/>
    </xf>
    <xf numFmtId="0" fontId="4" fillId="0" borderId="60" xfId="0" applyFont="1" applyBorder="1" applyAlignment="1">
      <alignment horizontal="center" vertical="center" wrapText="1"/>
    </xf>
    <xf numFmtId="0" fontId="4" fillId="0" borderId="6" xfId="0" applyFont="1" applyBorder="1" applyAlignment="1">
      <alignment vertical="center" wrapText="1"/>
    </xf>
    <xf numFmtId="3" fontId="4" fillId="0" borderId="6" xfId="0" applyNumberFormat="1" applyFont="1" applyBorder="1" applyAlignment="1">
      <alignment vertical="center" wrapText="1"/>
    </xf>
    <xf numFmtId="0" fontId="0" fillId="0" borderId="0" xfId="0" applyAlignment="1">
      <alignment vertical="center" wrapText="1"/>
    </xf>
    <xf numFmtId="0" fontId="4" fillId="0" borderId="48" xfId="0" applyFont="1" applyBorder="1" applyAlignment="1">
      <alignment horizontal="center" vertical="center"/>
    </xf>
    <xf numFmtId="0" fontId="4" fillId="0" borderId="106" xfId="0" applyFont="1" applyBorder="1" applyAlignment="1">
      <alignment horizontal="center" vertical="center" wrapText="1"/>
    </xf>
    <xf numFmtId="0" fontId="4" fillId="0" borderId="9" xfId="0" applyFont="1" applyBorder="1" applyAlignment="1">
      <alignment vertical="center" wrapText="1"/>
    </xf>
    <xf numFmtId="3" fontId="4" fillId="0" borderId="9" xfId="0" applyNumberFormat="1" applyFont="1" applyBorder="1" applyAlignment="1">
      <alignment vertical="center" wrapText="1"/>
    </xf>
    <xf numFmtId="0" fontId="2" fillId="0" borderId="96" xfId="0" applyFont="1" applyBorder="1" applyAlignment="1">
      <alignment horizontal="center" vertical="center"/>
    </xf>
    <xf numFmtId="3" fontId="2" fillId="0" borderId="18" xfId="0" applyNumberFormat="1" applyFont="1" applyBorder="1" applyAlignment="1">
      <alignment vertical="center"/>
    </xf>
    <xf numFmtId="164" fontId="2" fillId="0" borderId="95" xfId="0" applyNumberFormat="1" applyFont="1" applyBorder="1" applyAlignment="1">
      <alignment vertical="center"/>
    </xf>
    <xf numFmtId="0" fontId="2" fillId="0" borderId="60" xfId="0" applyFont="1" applyBorder="1" applyAlignment="1">
      <alignment horizontal="center" vertical="center"/>
    </xf>
    <xf numFmtId="0" fontId="4" fillId="0" borderId="39" xfId="0" applyFont="1" applyBorder="1" applyAlignment="1">
      <alignment vertical="center"/>
    </xf>
    <xf numFmtId="164" fontId="4" fillId="0" borderId="77" xfId="0" applyNumberFormat="1" applyFont="1" applyBorder="1" applyAlignment="1">
      <alignment horizontal="right" vertical="center" wrapText="1"/>
    </xf>
    <xf numFmtId="0" fontId="0" fillId="0" borderId="96" xfId="0" applyBorder="1" applyAlignment="1">
      <alignment vertical="center" wrapText="1"/>
    </xf>
    <xf numFmtId="0" fontId="4" fillId="0" borderId="76" xfId="0" applyFont="1" applyBorder="1" applyAlignment="1">
      <alignment vertical="center" wrapText="1"/>
    </xf>
    <xf numFmtId="3" fontId="4" fillId="0" borderId="76" xfId="0" applyNumberFormat="1" applyFont="1" applyBorder="1" applyAlignment="1">
      <alignment vertical="center" wrapText="1"/>
    </xf>
    <xf numFmtId="164" fontId="4" fillId="0" borderId="76" xfId="0" applyNumberFormat="1" applyFont="1" applyBorder="1" applyAlignment="1">
      <alignment vertical="center"/>
    </xf>
    <xf numFmtId="164" fontId="4" fillId="0" borderId="78" xfId="0" applyNumberFormat="1" applyFont="1" applyBorder="1" applyAlignment="1">
      <alignment horizontal="right" vertical="center" wrapText="1"/>
    </xf>
    <xf numFmtId="3" fontId="0" fillId="0" borderId="0" xfId="0" applyNumberFormat="1" applyAlignment="1">
      <alignment/>
    </xf>
    <xf numFmtId="0" fontId="23" fillId="0" borderId="0" xfId="0" applyFont="1" applyAlignment="1">
      <alignment horizontal="center" vertical="top"/>
    </xf>
    <xf numFmtId="0" fontId="27" fillId="0" borderId="0" xfId="0" applyFont="1" applyAlignment="1">
      <alignment horizontal="left" vertical="top"/>
    </xf>
    <xf numFmtId="0" fontId="19" fillId="0" borderId="56" xfId="0" applyFont="1" applyBorder="1" applyAlignment="1">
      <alignment horizontal="centerContinuous"/>
    </xf>
    <xf numFmtId="0" fontId="19" fillId="0" borderId="15" xfId="0" applyFont="1" applyBorder="1" applyAlignment="1">
      <alignment horizontal="center"/>
    </xf>
    <xf numFmtId="0" fontId="41" fillId="0" borderId="53" xfId="0" applyFont="1" applyBorder="1" applyAlignment="1">
      <alignment horizontal="center" vertical="center" wrapText="1"/>
    </xf>
    <xf numFmtId="0" fontId="19" fillId="0" borderId="102" xfId="0" applyFont="1" applyBorder="1" applyAlignment="1">
      <alignment horizontal="centerContinuous" vertical="center"/>
    </xf>
    <xf numFmtId="0" fontId="19" fillId="0" borderId="103" xfId="0" applyFont="1" applyBorder="1" applyAlignment="1">
      <alignment horizontal="centerContinuous" vertical="center"/>
    </xf>
    <xf numFmtId="0" fontId="70" fillId="0" borderId="103" xfId="0" applyFont="1" applyBorder="1" applyAlignment="1">
      <alignment horizontal="centerContinuous" vertical="center" wrapText="1"/>
    </xf>
    <xf numFmtId="0" fontId="31" fillId="0" borderId="53" xfId="0" applyFont="1" applyBorder="1" applyAlignment="1">
      <alignment horizontal="center" wrapText="1"/>
    </xf>
    <xf numFmtId="0" fontId="33" fillId="0" borderId="121" xfId="0" applyFont="1" applyBorder="1" applyAlignment="1">
      <alignment horizontal="center" vertical="top"/>
    </xf>
    <xf numFmtId="0" fontId="41" fillId="0" borderId="18" xfId="0" applyFont="1" applyBorder="1" applyAlignment="1">
      <alignment vertical="center"/>
    </xf>
    <xf numFmtId="0" fontId="41" fillId="0" borderId="111" xfId="0" applyFont="1" applyBorder="1" applyAlignment="1">
      <alignment horizontal="center" vertical="top" wrapText="1"/>
    </xf>
    <xf numFmtId="0" fontId="31" fillId="0" borderId="12" xfId="0" applyFont="1" applyBorder="1" applyAlignment="1">
      <alignment horizontal="centerContinuous" vertical="center" wrapText="1"/>
    </xf>
    <xf numFmtId="0" fontId="41" fillId="0" borderId="12" xfId="0" applyFont="1" applyBorder="1" applyAlignment="1">
      <alignment horizontal="center" vertical="center" wrapText="1"/>
    </xf>
    <xf numFmtId="0" fontId="31" fillId="0" borderId="112" xfId="0" applyFont="1" applyBorder="1" applyAlignment="1">
      <alignment horizontal="centerContinuous" vertical="center" wrapText="1"/>
    </xf>
    <xf numFmtId="0" fontId="31" fillId="0" borderId="101" xfId="0" applyFont="1" applyBorder="1" applyAlignment="1">
      <alignment horizontal="centerContinuous" vertical="center" wrapText="1"/>
    </xf>
    <xf numFmtId="0" fontId="31" fillId="0" borderId="111" xfId="0" applyFont="1" applyBorder="1" applyAlignment="1">
      <alignment horizontal="center" vertical="top" wrapText="1"/>
    </xf>
    <xf numFmtId="0" fontId="41" fillId="0" borderId="0" xfId="0" applyFont="1" applyAlignment="1">
      <alignment vertical="center"/>
    </xf>
    <xf numFmtId="0" fontId="31" fillId="0" borderId="121" xfId="0" applyFont="1" applyBorder="1" applyAlignment="1">
      <alignment horizontal="center" vertical="center"/>
    </xf>
    <xf numFmtId="0" fontId="31" fillId="0" borderId="18" xfId="0" applyFont="1" applyBorder="1" applyAlignment="1">
      <alignment horizontal="center" vertical="center"/>
    </xf>
    <xf numFmtId="0" fontId="31" fillId="0" borderId="28" xfId="0" applyFont="1" applyBorder="1" applyAlignment="1">
      <alignment horizontal="center" vertical="center"/>
    </xf>
    <xf numFmtId="0" fontId="31" fillId="0" borderId="12" xfId="0" applyFont="1" applyBorder="1" applyAlignment="1">
      <alignment horizontal="center" vertical="center"/>
    </xf>
    <xf numFmtId="0" fontId="31" fillId="0" borderId="33" xfId="0" applyFont="1" applyBorder="1" applyAlignment="1">
      <alignment horizontal="center" vertical="center"/>
    </xf>
    <xf numFmtId="0" fontId="31" fillId="0" borderId="80" xfId="0" applyFont="1" applyBorder="1" applyAlignment="1">
      <alignment horizontal="center" vertical="center"/>
    </xf>
    <xf numFmtId="0" fontId="31" fillId="0" borderId="0" xfId="0" applyFont="1" applyAlignment="1">
      <alignment horizontal="center" vertical="center"/>
    </xf>
    <xf numFmtId="0" fontId="30" fillId="0" borderId="61" xfId="0" applyFont="1" applyBorder="1" applyAlignment="1">
      <alignment horizontal="center" vertical="center" wrapText="1"/>
    </xf>
    <xf numFmtId="0" fontId="30" fillId="0" borderId="6" xfId="0" applyFont="1" applyBorder="1" applyAlignment="1">
      <alignment horizontal="left" vertical="center" wrapText="1"/>
    </xf>
    <xf numFmtId="164" fontId="16" fillId="0" borderId="42" xfId="0" applyNumberFormat="1" applyFont="1" applyBorder="1" applyAlignment="1">
      <alignment vertical="center"/>
    </xf>
    <xf numFmtId="164" fontId="16" fillId="0" borderId="6" xfId="0" applyNumberFormat="1" applyFont="1" applyBorder="1" applyAlignment="1">
      <alignment vertical="center"/>
    </xf>
    <xf numFmtId="164" fontId="16" fillId="0" borderId="55" xfId="0" applyNumberFormat="1" applyFont="1" applyBorder="1" applyAlignment="1">
      <alignment vertical="center"/>
    </xf>
    <xf numFmtId="164" fontId="16" fillId="0" borderId="77" xfId="0" applyNumberFormat="1" applyFont="1" applyBorder="1" applyAlignment="1">
      <alignment vertical="center"/>
    </xf>
    <xf numFmtId="0" fontId="30" fillId="0" borderId="0" xfId="0" applyFont="1" applyAlignment="1">
      <alignment vertical="center"/>
    </xf>
    <xf numFmtId="0" fontId="30" fillId="0" borderId="122" xfId="0" applyFont="1" applyBorder="1" applyAlignment="1">
      <alignment horizontal="center" vertical="center"/>
    </xf>
    <xf numFmtId="0" fontId="30" fillId="0" borderId="39" xfId="0" applyFont="1" applyBorder="1" applyAlignment="1">
      <alignment vertical="center" wrapText="1"/>
    </xf>
    <xf numFmtId="164" fontId="16" fillId="0" borderId="37" xfId="0" applyNumberFormat="1" applyFont="1" applyBorder="1" applyAlignment="1">
      <alignment vertical="center"/>
    </xf>
    <xf numFmtId="164" fontId="16" fillId="0" borderId="39" xfId="0" applyNumberFormat="1" applyFont="1" applyBorder="1" applyAlignment="1">
      <alignment vertical="center"/>
    </xf>
    <xf numFmtId="164" fontId="16" fillId="0" borderId="77" xfId="0" applyNumberFormat="1" applyFont="1" applyBorder="1" applyAlignment="1">
      <alignment horizontal="right" vertical="center"/>
    </xf>
    <xf numFmtId="164" fontId="16" fillId="0" borderId="118" xfId="0" applyNumberFormat="1" applyFont="1" applyBorder="1" applyAlignment="1">
      <alignment vertical="center"/>
    </xf>
    <xf numFmtId="164" fontId="16" fillId="0" borderId="39" xfId="0" applyNumberFormat="1" applyFont="1" applyBorder="1" applyAlignment="1">
      <alignment horizontal="right" vertical="center"/>
    </xf>
    <xf numFmtId="0" fontId="11" fillId="0" borderId="39" xfId="0" applyFont="1" applyBorder="1" applyAlignment="1">
      <alignment vertical="center" wrapText="1"/>
    </xf>
    <xf numFmtId="0" fontId="18" fillId="0" borderId="0" xfId="0" applyFont="1" applyAlignment="1">
      <alignment vertical="center"/>
    </xf>
    <xf numFmtId="0" fontId="23" fillId="0" borderId="0" xfId="0" applyFont="1" applyAlignment="1">
      <alignment vertical="center"/>
    </xf>
    <xf numFmtId="164" fontId="16" fillId="0" borderId="78" xfId="0" applyNumberFormat="1" applyFont="1" applyBorder="1" applyAlignment="1">
      <alignment vertical="center"/>
    </xf>
    <xf numFmtId="164" fontId="16" fillId="0" borderId="95" xfId="0" applyNumberFormat="1" applyFont="1" applyBorder="1" applyAlignment="1">
      <alignment vertical="center"/>
    </xf>
    <xf numFmtId="0" fontId="15" fillId="0" borderId="61" xfId="0" applyFont="1" applyBorder="1" applyAlignment="1">
      <alignment horizontal="center" vertical="center"/>
    </xf>
    <xf numFmtId="0" fontId="15" fillId="0" borderId="6" xfId="0" applyFont="1" applyBorder="1" applyAlignment="1">
      <alignment vertical="center" wrapText="1"/>
    </xf>
    <xf numFmtId="164" fontId="15" fillId="0" borderId="42" xfId="0" applyNumberFormat="1" applyFont="1" applyBorder="1" applyAlignment="1">
      <alignment vertical="center"/>
    </xf>
    <xf numFmtId="164" fontId="15" fillId="0" borderId="6" xfId="0" applyNumberFormat="1" applyFont="1" applyBorder="1" applyAlignment="1">
      <alignment vertical="center"/>
    </xf>
    <xf numFmtId="164" fontId="16" fillId="0" borderId="50" xfId="0" applyNumberFormat="1" applyFont="1" applyBorder="1" applyAlignment="1">
      <alignment vertical="center"/>
    </xf>
    <xf numFmtId="0" fontId="17" fillId="0" borderId="61" xfId="0" applyFont="1" applyBorder="1" applyAlignment="1">
      <alignment horizontal="center" vertical="center"/>
    </xf>
    <xf numFmtId="0" fontId="17" fillId="0" borderId="6" xfId="0" applyFont="1" applyBorder="1" applyAlignment="1">
      <alignment vertical="center" wrapText="1"/>
    </xf>
    <xf numFmtId="164" fontId="17" fillId="0" borderId="42" xfId="0" applyNumberFormat="1" applyFont="1" applyBorder="1" applyAlignment="1">
      <alignment vertical="center"/>
    </xf>
    <xf numFmtId="164" fontId="17" fillId="0" borderId="6" xfId="0" applyNumberFormat="1" applyFont="1" applyBorder="1" applyAlignment="1">
      <alignment vertical="center"/>
    </xf>
    <xf numFmtId="0" fontId="17" fillId="0" borderId="0" xfId="0" applyFont="1" applyAlignment="1">
      <alignment vertical="center"/>
    </xf>
    <xf numFmtId="164" fontId="18" fillId="0" borderId="102" xfId="0" applyNumberFormat="1" applyFont="1" applyBorder="1" applyAlignment="1">
      <alignment horizontal="center" vertical="center"/>
    </xf>
    <xf numFmtId="164" fontId="18" fillId="0" borderId="28" xfId="0" applyNumberFormat="1" applyFont="1" applyBorder="1" applyAlignment="1">
      <alignment vertical="center"/>
    </xf>
    <xf numFmtId="164" fontId="18" fillId="0" borderId="12" xfId="0" applyNumberFormat="1" applyFont="1" applyBorder="1" applyAlignment="1">
      <alignment vertical="center"/>
    </xf>
    <xf numFmtId="164" fontId="18" fillId="0" borderId="92" xfId="0" applyNumberFormat="1" applyFont="1" applyBorder="1" applyAlignment="1">
      <alignment vertical="center"/>
    </xf>
    <xf numFmtId="164" fontId="18" fillId="0" borderId="110" xfId="0" applyNumberFormat="1" applyFont="1" applyBorder="1" applyAlignment="1">
      <alignment vertical="center"/>
    </xf>
    <xf numFmtId="164" fontId="18" fillId="0" borderId="0" xfId="0" applyNumberFormat="1" applyFont="1" applyAlignment="1">
      <alignment vertical="center"/>
    </xf>
    <xf numFmtId="0" fontId="3" fillId="0" borderId="0" xfId="0" applyFont="1" applyAlignment="1">
      <alignment horizontal="center" vertical="center"/>
    </xf>
    <xf numFmtId="0" fontId="14" fillId="0" borderId="0" xfId="0" applyFont="1" applyAlignment="1">
      <alignment horizontal="center" vertical="center"/>
    </xf>
    <xf numFmtId="0" fontId="6" fillId="0" borderId="54" xfId="0" applyFont="1" applyBorder="1" applyAlignment="1">
      <alignment horizontal="center" vertical="center"/>
    </xf>
    <xf numFmtId="0" fontId="6" fillId="0" borderId="30" xfId="0" applyFont="1" applyBorder="1" applyAlignment="1">
      <alignment horizontal="center" vertical="center" wrapText="1"/>
    </xf>
    <xf numFmtId="0" fontId="6" fillId="0" borderId="15" xfId="0" applyFont="1" applyBorder="1" applyAlignment="1">
      <alignment horizontal="centerContinuous" vertical="center" wrapText="1"/>
    </xf>
    <xf numFmtId="0" fontId="6" fillId="0" borderId="60" xfId="0" applyFont="1" applyBorder="1" applyAlignment="1">
      <alignment horizontal="center" vertical="center"/>
    </xf>
    <xf numFmtId="0" fontId="2" fillId="0" borderId="4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2" xfId="0" applyFont="1" applyBorder="1" applyAlignment="1">
      <alignment horizontal="center" vertical="center"/>
    </xf>
    <xf numFmtId="0" fontId="6" fillId="0" borderId="39" xfId="0" applyFont="1" applyBorder="1" applyAlignment="1">
      <alignment horizontal="center" vertical="center" wrapText="1"/>
    </xf>
    <xf numFmtId="0" fontId="6" fillId="0" borderId="50" xfId="0" applyFont="1" applyBorder="1" applyAlignment="1">
      <alignment horizontal="center" vertical="center" wrapText="1"/>
    </xf>
    <xf numFmtId="0" fontId="5" fillId="0" borderId="41" xfId="0" applyFont="1" applyBorder="1" applyAlignment="1">
      <alignment horizontal="center" vertical="center"/>
    </xf>
    <xf numFmtId="0" fontId="6" fillId="0" borderId="98" xfId="0" applyFont="1" applyBorder="1" applyAlignment="1">
      <alignment horizontal="center"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top" wrapText="1"/>
    </xf>
    <xf numFmtId="0" fontId="6" fillId="0" borderId="46" xfId="0" applyFont="1" applyBorder="1" applyAlignment="1">
      <alignment horizontal="center" vertical="center" wrapText="1"/>
    </xf>
    <xf numFmtId="0" fontId="6" fillId="0" borderId="6" xfId="0" applyFont="1" applyBorder="1" applyAlignment="1">
      <alignment horizontal="center" vertical="top" wrapText="1"/>
    </xf>
    <xf numFmtId="0" fontId="6" fillId="0" borderId="0" xfId="0" applyFont="1" applyBorder="1" applyAlignment="1">
      <alignment horizontal="center" vertical="center" wrapText="1"/>
    </xf>
    <xf numFmtId="49" fontId="77" fillId="0" borderId="46" xfId="0" applyNumberFormat="1" applyFont="1" applyBorder="1" applyAlignment="1">
      <alignment horizontal="center" vertical="center" wrapText="1"/>
    </xf>
    <xf numFmtId="0" fontId="6" fillId="0" borderId="27" xfId="0" applyFont="1" applyBorder="1" applyAlignment="1">
      <alignment horizontal="center" vertical="center"/>
    </xf>
    <xf numFmtId="0" fontId="10" fillId="0" borderId="48"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39" xfId="0" applyNumberFormat="1" applyFont="1" applyBorder="1" applyAlignment="1">
      <alignment horizontal="center" vertical="center"/>
    </xf>
    <xf numFmtId="0" fontId="10" fillId="0" borderId="39" xfId="0" applyFont="1" applyBorder="1" applyAlignment="1">
      <alignment horizontal="center" vertical="center"/>
    </xf>
    <xf numFmtId="0" fontId="10" fillId="0" borderId="82" xfId="0" applyFont="1" applyBorder="1" applyAlignment="1">
      <alignment horizontal="center" vertical="center"/>
    </xf>
    <xf numFmtId="0" fontId="10" fillId="0" borderId="36" xfId="0" applyFont="1" applyBorder="1" applyAlignment="1">
      <alignment horizontal="center" vertical="center"/>
    </xf>
    <xf numFmtId="164" fontId="73" fillId="0" borderId="12" xfId="0" applyNumberFormat="1" applyFont="1" applyBorder="1" applyAlignment="1">
      <alignment vertical="center"/>
    </xf>
    <xf numFmtId="0" fontId="73" fillId="0" borderId="104" xfId="0" applyFont="1" applyBorder="1" applyAlignment="1">
      <alignment horizontal="center" vertical="center"/>
    </xf>
    <xf numFmtId="0" fontId="73" fillId="0" borderId="87" xfId="0" applyFont="1" applyBorder="1" applyAlignment="1">
      <alignment vertical="center" wrapText="1"/>
    </xf>
    <xf numFmtId="164" fontId="64" fillId="0" borderId="100" xfId="0" applyNumberFormat="1" applyFont="1" applyBorder="1" applyAlignment="1">
      <alignment vertical="center"/>
    </xf>
    <xf numFmtId="165" fontId="64" fillId="0" borderId="100" xfId="0" applyNumberFormat="1" applyFont="1" applyBorder="1" applyAlignment="1">
      <alignment vertical="center"/>
    </xf>
    <xf numFmtId="0" fontId="0" fillId="0" borderId="0" xfId="0" applyBorder="1" applyAlignment="1">
      <alignment/>
    </xf>
    <xf numFmtId="0" fontId="14" fillId="0" borderId="36" xfId="0" applyFont="1" applyBorder="1" applyAlignment="1">
      <alignment horizontal="left" vertical="center" wrapText="1"/>
    </xf>
    <xf numFmtId="0" fontId="4" fillId="0" borderId="98" xfId="0" applyFont="1" applyBorder="1" applyAlignment="1">
      <alignment horizontal="center" vertical="center"/>
    </xf>
    <xf numFmtId="0" fontId="14" fillId="0" borderId="27" xfId="0" applyFont="1" applyBorder="1" applyAlignment="1">
      <alignment horizontal="left" vertical="center" wrapText="1"/>
    </xf>
    <xf numFmtId="0" fontId="4" fillId="0" borderId="106" xfId="0" applyFont="1" applyBorder="1" applyAlignment="1">
      <alignment horizontal="center" vertical="center"/>
    </xf>
    <xf numFmtId="0" fontId="7" fillId="0" borderId="9" xfId="0" applyFont="1" applyBorder="1" applyAlignment="1">
      <alignment horizontal="center" vertical="center" wrapText="1"/>
    </xf>
    <xf numFmtId="164" fontId="4" fillId="0" borderId="9" xfId="0" applyNumberFormat="1" applyFont="1" applyBorder="1" applyAlignment="1">
      <alignment vertical="center"/>
    </xf>
    <xf numFmtId="165" fontId="4" fillId="0" borderId="9" xfId="0" applyNumberFormat="1" applyFont="1" applyBorder="1" applyAlignment="1">
      <alignment vertical="center"/>
    </xf>
    <xf numFmtId="164" fontId="64" fillId="0" borderId="9" xfId="0" applyNumberFormat="1" applyFont="1" applyBorder="1" applyAlignment="1">
      <alignment vertical="center"/>
    </xf>
    <xf numFmtId="165" fontId="64" fillId="0" borderId="9" xfId="0" applyNumberFormat="1" applyFont="1" applyBorder="1" applyAlignment="1">
      <alignment vertical="center"/>
    </xf>
    <xf numFmtId="165" fontId="4" fillId="0" borderId="39" xfId="0" applyNumberFormat="1" applyFont="1" applyBorder="1" applyAlignment="1">
      <alignment vertical="center"/>
    </xf>
    <xf numFmtId="0" fontId="73" fillId="0" borderId="123" xfId="0" applyFont="1" applyBorder="1" applyAlignment="1">
      <alignment horizontal="center" vertical="center"/>
    </xf>
    <xf numFmtId="0" fontId="7" fillId="0" borderId="39" xfId="0" applyFont="1" applyBorder="1" applyAlignment="1">
      <alignment horizontal="center" vertical="center" wrapText="1"/>
    </xf>
    <xf numFmtId="164" fontId="4" fillId="0" borderId="39" xfId="0" applyNumberFormat="1" applyFont="1" applyBorder="1" applyAlignment="1">
      <alignment vertical="center"/>
    </xf>
    <xf numFmtId="0" fontId="7" fillId="0" borderId="46" xfId="0" applyFont="1" applyBorder="1" applyAlignment="1">
      <alignment horizontal="center" vertical="center" wrapText="1"/>
    </xf>
    <xf numFmtId="164" fontId="4" fillId="0" borderId="46" xfId="0" applyNumberFormat="1" applyFont="1" applyBorder="1" applyAlignment="1">
      <alignment vertical="center"/>
    </xf>
    <xf numFmtId="165" fontId="4" fillId="0" borderId="46" xfId="0" applyNumberFormat="1" applyFont="1" applyBorder="1" applyAlignment="1">
      <alignment vertical="center"/>
    </xf>
    <xf numFmtId="0" fontId="80" fillId="0" borderId="33" xfId="0" applyFont="1" applyBorder="1" applyAlignment="1">
      <alignment horizontal="center" vertical="center"/>
    </xf>
    <xf numFmtId="0" fontId="7" fillId="0" borderId="75" xfId="0" applyFont="1" applyBorder="1" applyAlignment="1">
      <alignment horizontal="center" vertical="center" wrapText="1"/>
    </xf>
    <xf numFmtId="164" fontId="4" fillId="0" borderId="39" xfId="0" applyNumberFormat="1" applyFont="1" applyBorder="1" applyAlignment="1">
      <alignment vertical="center"/>
    </xf>
    <xf numFmtId="0" fontId="0" fillId="0" borderId="0" xfId="0" applyBorder="1" applyAlignment="1">
      <alignment vertical="center"/>
    </xf>
    <xf numFmtId="0" fontId="73" fillId="0" borderId="119" xfId="0" applyFont="1" applyBorder="1" applyAlignment="1">
      <alignment vertical="center" wrapText="1"/>
    </xf>
    <xf numFmtId="0" fontId="4" fillId="0" borderId="102" xfId="0" applyFont="1" applyBorder="1" applyAlignment="1">
      <alignment horizontal="center" vertical="center"/>
    </xf>
    <xf numFmtId="164" fontId="5" fillId="0" borderId="12" xfId="0" applyNumberFormat="1" applyFont="1" applyBorder="1" applyAlignment="1">
      <alignment vertical="center"/>
    </xf>
    <xf numFmtId="0" fontId="73" fillId="0" borderId="102" xfId="0" applyFont="1" applyBorder="1" applyAlignment="1">
      <alignment horizontal="left" vertical="center"/>
    </xf>
    <xf numFmtId="0" fontId="81" fillId="0" borderId="102" xfId="0" applyFont="1" applyBorder="1" applyAlignment="1">
      <alignment vertical="center"/>
    </xf>
    <xf numFmtId="0" fontId="73" fillId="0" borderId="103" xfId="0" applyFont="1" applyBorder="1" applyAlignment="1">
      <alignment horizontal="center" vertical="center"/>
    </xf>
    <xf numFmtId="164" fontId="73" fillId="0" borderId="12" xfId="0" applyNumberFormat="1" applyFont="1" applyBorder="1" applyAlignment="1">
      <alignment horizontal="center" vertical="center"/>
    </xf>
    <xf numFmtId="165" fontId="73" fillId="0" borderId="12" xfId="0" applyNumberFormat="1" applyFont="1" applyBorder="1" applyAlignment="1">
      <alignment horizontal="center" vertical="center"/>
    </xf>
    <xf numFmtId="0" fontId="80" fillId="0" borderId="33" xfId="0" applyFont="1" applyBorder="1" applyAlignment="1">
      <alignment horizontal="left" vertical="center" wrapText="1"/>
    </xf>
    <xf numFmtId="0" fontId="73" fillId="0" borderId="56" xfId="0" applyFont="1" applyBorder="1" applyAlignment="1">
      <alignment horizontal="left" vertical="center"/>
    </xf>
    <xf numFmtId="0" fontId="81" fillId="0" borderId="56" xfId="0" applyFont="1" applyBorder="1" applyAlignment="1">
      <alignment vertical="center"/>
    </xf>
    <xf numFmtId="0" fontId="73" fillId="0" borderId="105" xfId="0" applyFont="1" applyBorder="1" applyAlignment="1">
      <alignment horizontal="center" vertical="center"/>
    </xf>
    <xf numFmtId="164" fontId="73" fillId="0" borderId="15" xfId="0" applyNumberFormat="1" applyFont="1" applyBorder="1" applyAlignment="1">
      <alignment horizontal="center" vertical="center"/>
    </xf>
    <xf numFmtId="165" fontId="5" fillId="0" borderId="15" xfId="0" applyNumberFormat="1" applyFont="1" applyBorder="1" applyAlignment="1">
      <alignment horizontal="center" vertical="center"/>
    </xf>
    <xf numFmtId="0" fontId="14" fillId="0" borderId="41" xfId="0" applyFont="1" applyBorder="1" applyAlignment="1">
      <alignment vertical="center" wrapText="1"/>
    </xf>
    <xf numFmtId="165" fontId="5" fillId="0" borderId="12" xfId="0" applyNumberFormat="1" applyFont="1" applyBorder="1" applyAlignment="1">
      <alignment horizontal="center" vertical="center"/>
    </xf>
    <xf numFmtId="0" fontId="82" fillId="0" borderId="102" xfId="0" applyFont="1" applyBorder="1" applyAlignment="1">
      <alignment horizontal="centerContinuous" vertical="center" wrapText="1"/>
    </xf>
    <xf numFmtId="0" fontId="47" fillId="0" borderId="103" xfId="0" applyFont="1" applyBorder="1" applyAlignment="1">
      <alignment horizontal="centerContinuous" vertical="center"/>
    </xf>
    <xf numFmtId="0" fontId="47" fillId="0" borderId="33" xfId="0" applyFont="1" applyBorder="1" applyAlignment="1">
      <alignment horizontal="left" vertical="center" wrapText="1"/>
    </xf>
    <xf numFmtId="0" fontId="83" fillId="0" borderId="0" xfId="0" applyFont="1" applyBorder="1" applyAlignment="1">
      <alignment/>
    </xf>
    <xf numFmtId="0" fontId="7" fillId="0" borderId="0" xfId="0" applyFont="1" applyAlignment="1">
      <alignment horizontal="center" vertical="center" wrapText="1"/>
    </xf>
    <xf numFmtId="0" fontId="39" fillId="0" borderId="0" xfId="0" applyFont="1" applyAlignment="1">
      <alignment horizontal="center"/>
    </xf>
    <xf numFmtId="0" fontId="39" fillId="0" borderId="0" xfId="0" applyFont="1" applyAlignment="1">
      <alignment/>
    </xf>
    <xf numFmtId="0" fontId="15" fillId="0" borderId="0" xfId="0" applyFont="1" applyAlignment="1">
      <alignment horizontal="center" wrapText="1"/>
    </xf>
    <xf numFmtId="0" fontId="39" fillId="0" borderId="0" xfId="0" applyFont="1" applyAlignment="1">
      <alignment horizontal="center" wrapText="1"/>
    </xf>
    <xf numFmtId="0" fontId="37" fillId="0" borderId="0" xfId="0" applyFont="1" applyAlignment="1">
      <alignment/>
    </xf>
    <xf numFmtId="0" fontId="27" fillId="0" borderId="0" xfId="0" applyFont="1" applyAlignment="1">
      <alignment horizontal="centerContinuous" vertical="top"/>
    </xf>
    <xf numFmtId="0" fontId="16" fillId="0" borderId="0" xfId="0" applyFont="1" applyAlignment="1">
      <alignment horizontal="centerContinuous" vertical="top" wrapText="1"/>
    </xf>
    <xf numFmtId="0" fontId="27" fillId="0" borderId="0" xfId="0" applyFont="1" applyAlignment="1">
      <alignment horizontal="centerContinuous" vertical="top" wrapText="1"/>
    </xf>
    <xf numFmtId="0" fontId="38" fillId="0" borderId="0" xfId="0" applyFont="1" applyAlignment="1">
      <alignment/>
    </xf>
    <xf numFmtId="0" fontId="23" fillId="0" borderId="0" xfId="0" applyFont="1" applyAlignment="1">
      <alignment horizontal="centerContinuous" vertical="top"/>
    </xf>
    <xf numFmtId="0" fontId="18" fillId="0" borderId="0" xfId="0" applyFont="1" applyAlignment="1">
      <alignment horizontal="centerContinuous" vertical="top"/>
    </xf>
    <xf numFmtId="0" fontId="18" fillId="0" borderId="0" xfId="0" applyFont="1" applyAlignment="1">
      <alignment horizontal="centerContinuous" vertical="top" wrapText="1"/>
    </xf>
    <xf numFmtId="0" fontId="17" fillId="0" borderId="0" xfId="0" applyFont="1" applyAlignment="1">
      <alignment horizontal="center"/>
    </xf>
    <xf numFmtId="0" fontId="30" fillId="0" borderId="54" xfId="0" applyFont="1" applyBorder="1" applyAlignment="1">
      <alignment horizontal="center" vertical="center"/>
    </xf>
    <xf numFmtId="0" fontId="30" fillId="0" borderId="15" xfId="0" applyFont="1" applyBorder="1" applyAlignment="1">
      <alignment horizontal="center" vertical="center"/>
    </xf>
    <xf numFmtId="0" fontId="16"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5" xfId="0" applyFont="1" applyBorder="1" applyAlignment="1">
      <alignment horizontal="center" vertical="center"/>
    </xf>
    <xf numFmtId="0" fontId="15" fillId="0" borderId="55" xfId="0" applyFont="1" applyBorder="1" applyAlignment="1">
      <alignment horizontal="center" vertical="center" wrapText="1"/>
    </xf>
    <xf numFmtId="0" fontId="30" fillId="0" borderId="0" xfId="0" applyFont="1" applyAlignment="1">
      <alignment/>
    </xf>
    <xf numFmtId="0" fontId="31" fillId="0" borderId="48" xfId="0" applyFont="1" applyBorder="1" applyAlignment="1">
      <alignment horizontal="center" vertical="center"/>
    </xf>
    <xf numFmtId="0" fontId="31" fillId="0" borderId="39" xfId="0" applyFont="1" applyBorder="1" applyAlignment="1">
      <alignment horizontal="center" vertical="center"/>
    </xf>
    <xf numFmtId="0" fontId="15" fillId="0" borderId="39"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36" xfId="0" applyFont="1" applyBorder="1" applyAlignment="1">
      <alignment horizontal="center" vertical="center"/>
    </xf>
    <xf numFmtId="0" fontId="26" fillId="0" borderId="0" xfId="0" applyFont="1" applyAlignment="1">
      <alignment/>
    </xf>
    <xf numFmtId="0" fontId="34" fillId="0" borderId="102" xfId="0" applyFont="1" applyBorder="1" applyAlignment="1">
      <alignment horizontal="center" vertical="center"/>
    </xf>
    <xf numFmtId="0" fontId="34" fillId="0" borderId="103" xfId="0" applyFont="1" applyBorder="1" applyAlignment="1">
      <alignment vertical="center" wrapText="1"/>
    </xf>
    <xf numFmtId="0" fontId="35" fillId="0" borderId="34" xfId="0" applyFont="1" applyBorder="1" applyAlignment="1">
      <alignment horizontal="center" vertical="center" wrapText="1"/>
    </xf>
    <xf numFmtId="164" fontId="34" fillId="0" borderId="34" xfId="0" applyNumberFormat="1" applyFont="1" applyBorder="1" applyAlignment="1">
      <alignment horizontal="right" vertical="center" wrapText="1"/>
    </xf>
    <xf numFmtId="164" fontId="34" fillId="0" borderId="12" xfId="0" applyNumberFormat="1" applyFont="1" applyBorder="1" applyAlignment="1">
      <alignment vertical="center"/>
    </xf>
    <xf numFmtId="164" fontId="34" fillId="0" borderId="33" xfId="0" applyNumberFormat="1" applyFont="1" applyBorder="1" applyAlignment="1">
      <alignment vertical="center"/>
    </xf>
    <xf numFmtId="0" fontId="34" fillId="0" borderId="0" xfId="0" applyFont="1" applyAlignment="1">
      <alignment/>
    </xf>
    <xf numFmtId="0" fontId="15" fillId="0" borderId="60" xfId="0" applyFont="1" applyBorder="1" applyAlignment="1">
      <alignment horizontal="center" vertical="center"/>
    </xf>
    <xf numFmtId="0" fontId="15" fillId="0" borderId="50" xfId="0" applyFont="1" applyBorder="1" applyAlignment="1">
      <alignment vertical="center" wrapText="1"/>
    </xf>
    <xf numFmtId="0" fontId="15" fillId="0" borderId="12" xfId="0" applyFont="1" applyBorder="1" applyAlignment="1">
      <alignment horizontal="center" vertical="center" wrapText="1"/>
    </xf>
    <xf numFmtId="164" fontId="15" fillId="0" borderId="6" xfId="0" applyNumberFormat="1" applyFont="1" applyBorder="1" applyAlignment="1">
      <alignment horizontal="right" vertical="center" wrapText="1"/>
    </xf>
    <xf numFmtId="164" fontId="15" fillId="0" borderId="41" xfId="0" applyNumberFormat="1" applyFont="1" applyBorder="1" applyAlignment="1">
      <alignment vertical="center"/>
    </xf>
    <xf numFmtId="0" fontId="15" fillId="0" borderId="6" xfId="0" applyFont="1" applyBorder="1" applyAlignment="1">
      <alignment horizontal="center" vertical="center" wrapText="1"/>
    </xf>
    <xf numFmtId="0" fontId="39" fillId="0" borderId="114" xfId="0" applyFont="1" applyBorder="1" applyAlignment="1">
      <alignment horizontal="center" vertical="center"/>
    </xf>
    <xf numFmtId="0" fontId="15" fillId="0" borderId="100" xfId="0" applyFont="1" applyBorder="1" applyAlignment="1">
      <alignment vertical="center" wrapText="1"/>
    </xf>
    <xf numFmtId="0" fontId="15" fillId="0" borderId="100" xfId="0" applyFont="1" applyBorder="1" applyAlignment="1">
      <alignment horizontal="center" vertical="center" wrapText="1"/>
    </xf>
    <xf numFmtId="164" fontId="39" fillId="0" borderId="100" xfId="0" applyNumberFormat="1" applyFont="1" applyBorder="1" applyAlignment="1">
      <alignment horizontal="right" vertical="center" wrapText="1"/>
    </xf>
    <xf numFmtId="164" fontId="39" fillId="0" borderId="100" xfId="0" applyNumberFormat="1" applyFont="1" applyBorder="1" applyAlignment="1">
      <alignment vertical="center"/>
    </xf>
    <xf numFmtId="164" fontId="39" fillId="0" borderId="31" xfId="0" applyNumberFormat="1" applyFont="1" applyBorder="1" applyAlignment="1">
      <alignment vertical="center"/>
    </xf>
    <xf numFmtId="0" fontId="15" fillId="0" borderId="114" xfId="0" applyFont="1" applyBorder="1" applyAlignment="1">
      <alignment horizontal="center" vertical="center"/>
    </xf>
    <xf numFmtId="164" fontId="15" fillId="0" borderId="100" xfId="0" applyNumberFormat="1" applyFont="1" applyBorder="1" applyAlignment="1">
      <alignment horizontal="right" vertical="center" wrapText="1"/>
    </xf>
    <xf numFmtId="164" fontId="15" fillId="0" borderId="100" xfId="0" applyNumberFormat="1" applyFont="1" applyBorder="1" applyAlignment="1">
      <alignment vertical="center"/>
    </xf>
    <xf numFmtId="164" fontId="15" fillId="0" borderId="31" xfId="0" applyNumberFormat="1" applyFont="1" applyBorder="1" applyAlignment="1">
      <alignment vertical="center"/>
    </xf>
    <xf numFmtId="0" fontId="15" fillId="0" borderId="107" xfId="0" applyFont="1" applyBorder="1" applyAlignment="1">
      <alignment horizontal="center" vertical="center"/>
    </xf>
    <xf numFmtId="0" fontId="15" fillId="0" borderId="76" xfId="0" applyFont="1" applyBorder="1" applyAlignment="1">
      <alignment horizontal="center" vertical="center" wrapText="1"/>
    </xf>
    <xf numFmtId="164" fontId="15" fillId="0" borderId="76" xfId="0" applyNumberFormat="1" applyFont="1" applyBorder="1" applyAlignment="1">
      <alignment horizontal="right" vertical="center" wrapText="1"/>
    </xf>
    <xf numFmtId="164" fontId="15" fillId="0" borderId="76" xfId="0" applyNumberFormat="1" applyFont="1" applyBorder="1" applyAlignment="1">
      <alignment vertical="center"/>
    </xf>
    <xf numFmtId="164" fontId="15" fillId="0" borderId="27" xfId="0" applyNumberFormat="1" applyFont="1" applyBorder="1" applyAlignment="1">
      <alignment vertical="center"/>
    </xf>
    <xf numFmtId="0" fontId="15" fillId="0" borderId="106" xfId="0" applyFont="1" applyBorder="1" applyAlignment="1">
      <alignment horizontal="center" vertical="center"/>
    </xf>
    <xf numFmtId="0" fontId="15" fillId="0" borderId="9" xfId="0" applyFont="1" applyBorder="1" applyAlignment="1">
      <alignment vertical="center" wrapText="1"/>
    </xf>
    <xf numFmtId="0" fontId="15" fillId="0" borderId="9" xfId="0" applyFont="1" applyBorder="1" applyAlignment="1">
      <alignment horizontal="center" vertical="center" wrapText="1"/>
    </xf>
    <xf numFmtId="164" fontId="15" fillId="0" borderId="9" xfId="0" applyNumberFormat="1" applyFont="1" applyBorder="1" applyAlignment="1">
      <alignment horizontal="right" vertical="center" wrapText="1"/>
    </xf>
    <xf numFmtId="164" fontId="15" fillId="0" borderId="9" xfId="0" applyNumberFormat="1" applyFont="1" applyBorder="1" applyAlignment="1">
      <alignment vertical="center"/>
    </xf>
    <xf numFmtId="164" fontId="15" fillId="0" borderId="77" xfId="0" applyNumberFormat="1" applyFont="1" applyBorder="1" applyAlignment="1">
      <alignment vertical="center"/>
    </xf>
    <xf numFmtId="0" fontId="15" fillId="0" borderId="46" xfId="0" applyFont="1" applyBorder="1" applyAlignment="1">
      <alignment vertical="center" wrapText="1"/>
    </xf>
    <xf numFmtId="0" fontId="15" fillId="0" borderId="46" xfId="0" applyFont="1" applyBorder="1" applyAlignment="1">
      <alignment horizontal="center" vertical="center" wrapText="1"/>
    </xf>
    <xf numFmtId="0" fontId="30" fillId="0" borderId="102" xfId="0" applyFont="1" applyBorder="1" applyAlignment="1">
      <alignment horizontal="center" vertical="center"/>
    </xf>
    <xf numFmtId="0" fontId="30" fillId="0" borderId="103" xfId="0" applyFont="1" applyBorder="1" applyAlignment="1">
      <alignment vertical="center" wrapText="1"/>
    </xf>
    <xf numFmtId="0" fontId="16" fillId="0" borderId="34" xfId="0" applyFont="1" applyBorder="1" applyAlignment="1">
      <alignment horizontal="center" vertical="center" wrapText="1"/>
    </xf>
    <xf numFmtId="164" fontId="30" fillId="0" borderId="12" xfId="0" applyNumberFormat="1" applyFont="1" applyBorder="1" applyAlignment="1">
      <alignment vertical="center"/>
    </xf>
    <xf numFmtId="164" fontId="30" fillId="0" borderId="33" xfId="0" applyNumberFormat="1" applyFont="1" applyBorder="1" applyAlignment="1">
      <alignment vertical="center"/>
    </xf>
    <xf numFmtId="0" fontId="39" fillId="0" borderId="0" xfId="0" applyFont="1" applyAlignment="1">
      <alignment wrapText="1"/>
    </xf>
    <xf numFmtId="164" fontId="39" fillId="0" borderId="0" xfId="0" applyNumberFormat="1" applyFont="1" applyAlignment="1">
      <alignment/>
    </xf>
    <xf numFmtId="0" fontId="1" fillId="0" borderId="0" xfId="17" applyFont="1" applyAlignment="1">
      <alignment vertical="center"/>
      <protection/>
    </xf>
    <xf numFmtId="0" fontId="1" fillId="0" borderId="0" xfId="17" applyFont="1" applyAlignment="1">
      <alignment vertical="center" wrapText="1"/>
      <protection/>
    </xf>
    <xf numFmtId="0" fontId="1" fillId="0" borderId="0" xfId="17" applyFont="1" applyAlignment="1">
      <alignment horizontal="center" vertical="center" wrapText="1"/>
      <protection/>
    </xf>
    <xf numFmtId="0" fontId="14" fillId="0" borderId="0" xfId="17" applyFont="1" applyAlignment="1">
      <alignment horizontal="center" vertical="center"/>
      <protection/>
    </xf>
    <xf numFmtId="0" fontId="4" fillId="0" borderId="0" xfId="17" applyFont="1" applyAlignment="1">
      <alignment vertical="center"/>
      <protection/>
    </xf>
    <xf numFmtId="0" fontId="47" fillId="0" borderId="0" xfId="17" applyFont="1" applyAlignment="1">
      <alignment horizontal="centerContinuous" vertical="center" wrapText="1"/>
      <protection/>
    </xf>
    <xf numFmtId="0" fontId="47" fillId="0" borderId="0" xfId="17" applyFont="1" applyAlignment="1">
      <alignment horizontal="centerContinuous" vertical="center"/>
      <protection/>
    </xf>
    <xf numFmtId="0" fontId="47" fillId="0" borderId="0" xfId="17" applyFont="1" applyAlignment="1">
      <alignment vertical="center"/>
      <protection/>
    </xf>
    <xf numFmtId="0" fontId="1" fillId="0" borderId="0" xfId="17" applyFont="1" applyAlignment="1">
      <alignment horizontal="centerContinuous" vertical="center"/>
      <protection/>
    </xf>
    <xf numFmtId="0" fontId="1" fillId="0" borderId="0" xfId="17" applyFont="1" applyAlignment="1">
      <alignment horizontal="centerContinuous" vertical="center" wrapText="1"/>
      <protection/>
    </xf>
    <xf numFmtId="0" fontId="5" fillId="0" borderId="0" xfId="17" applyFont="1" applyAlignment="1">
      <alignment horizontal="centerContinuous" vertical="center" wrapText="1"/>
      <protection/>
    </xf>
    <xf numFmtId="0" fontId="5" fillId="0" borderId="0" xfId="17" applyFont="1" applyAlignment="1">
      <alignment horizontal="centerContinuous" vertical="center"/>
      <protection/>
    </xf>
    <xf numFmtId="0" fontId="4" fillId="0" borderId="0" xfId="17" applyFont="1" applyAlignment="1">
      <alignment horizontal="centerContinuous" vertical="center"/>
      <protection/>
    </xf>
    <xf numFmtId="0" fontId="5" fillId="0" borderId="0" xfId="17" applyFont="1" applyAlignment="1">
      <alignment vertical="center"/>
      <protection/>
    </xf>
    <xf numFmtId="0" fontId="6" fillId="0" borderId="0" xfId="17" applyFont="1" applyAlignment="1">
      <alignment vertical="center"/>
      <protection/>
    </xf>
    <xf numFmtId="0" fontId="5" fillId="0" borderId="0" xfId="17" applyFont="1" applyAlignment="1">
      <alignment horizontal="center" vertical="center" wrapText="1"/>
      <protection/>
    </xf>
    <xf numFmtId="0" fontId="7" fillId="0" borderId="114" xfId="17" applyFont="1" applyBorder="1" applyAlignment="1">
      <alignment horizontal="center" vertical="center" wrapText="1"/>
      <protection/>
    </xf>
    <xf numFmtId="0" fontId="2" fillId="0" borderId="124" xfId="17" applyFont="1" applyBorder="1" applyAlignment="1">
      <alignment horizontal="center" vertical="center" wrapText="1"/>
      <protection/>
    </xf>
    <xf numFmtId="0" fontId="6" fillId="0" borderId="100" xfId="17" applyFont="1" applyBorder="1" applyAlignment="1">
      <alignment horizontal="center" vertical="center" wrapText="1"/>
      <protection/>
    </xf>
    <xf numFmtId="0" fontId="8" fillId="0" borderId="100" xfId="17" applyFont="1" applyBorder="1" applyAlignment="1">
      <alignment horizontal="center" vertical="center" wrapText="1"/>
      <protection/>
    </xf>
    <xf numFmtId="0" fontId="9" fillId="0" borderId="60" xfId="17" applyFont="1" applyBorder="1" applyAlignment="1">
      <alignment horizontal="center" vertical="center" wrapText="1"/>
      <protection/>
    </xf>
    <xf numFmtId="0" fontId="9" fillId="0" borderId="50" xfId="17" applyFont="1" applyBorder="1" applyAlignment="1">
      <alignment horizontal="center" vertical="center" wrapText="1"/>
      <protection/>
    </xf>
    <xf numFmtId="0" fontId="9" fillId="0" borderId="6" xfId="17" applyFont="1" applyBorder="1" applyAlignment="1">
      <alignment horizontal="center" vertical="center" wrapText="1"/>
      <protection/>
    </xf>
    <xf numFmtId="0" fontId="9" fillId="0" borderId="78" xfId="17" applyFont="1" applyBorder="1" applyAlignment="1">
      <alignment horizontal="center" vertical="center" wrapText="1"/>
      <protection/>
    </xf>
    <xf numFmtId="0" fontId="9" fillId="0" borderId="0" xfId="17" applyFont="1" applyAlignment="1">
      <alignment vertical="center"/>
      <protection/>
    </xf>
    <xf numFmtId="0" fontId="64" fillId="0" borderId="102" xfId="17" applyFont="1" applyBorder="1" applyAlignment="1">
      <alignment horizontal="center" vertical="center"/>
      <protection/>
    </xf>
    <xf numFmtId="0" fontId="64" fillId="0" borderId="103" xfId="17" applyFont="1" applyBorder="1" applyAlignment="1">
      <alignment vertical="center" wrapText="1"/>
      <protection/>
    </xf>
    <xf numFmtId="0" fontId="64" fillId="0" borderId="34" xfId="17" applyFont="1" applyBorder="1" applyAlignment="1">
      <alignment horizontal="center" vertical="center" wrapText="1"/>
      <protection/>
    </xf>
    <xf numFmtId="164" fontId="64" fillId="0" borderId="12" xfId="17" applyNumberFormat="1" applyFont="1" applyBorder="1" applyAlignment="1">
      <alignment horizontal="right" vertical="center"/>
      <protection/>
    </xf>
    <xf numFmtId="164" fontId="64" fillId="0" borderId="110" xfId="17" applyNumberFormat="1" applyFont="1" applyBorder="1" applyAlignment="1">
      <alignment horizontal="right" vertical="center"/>
      <protection/>
    </xf>
    <xf numFmtId="0" fontId="64" fillId="0" borderId="0" xfId="17" applyFont="1" applyAlignment="1">
      <alignment vertical="center"/>
      <protection/>
    </xf>
    <xf numFmtId="0" fontId="4" fillId="0" borderId="60" xfId="17" applyFont="1" applyBorder="1" applyAlignment="1">
      <alignment horizontal="center" vertical="center"/>
      <protection/>
    </xf>
    <xf numFmtId="0" fontId="4" fillId="0" borderId="50" xfId="17" applyFont="1" applyBorder="1" applyAlignment="1">
      <alignment vertical="center" wrapText="1"/>
      <protection/>
    </xf>
    <xf numFmtId="0" fontId="4" fillId="0" borderId="6" xfId="17" applyFont="1" applyBorder="1" applyAlignment="1">
      <alignment horizontal="center" vertical="center" wrapText="1"/>
      <protection/>
    </xf>
    <xf numFmtId="164" fontId="4" fillId="0" borderId="6" xfId="17" applyNumberFormat="1" applyFont="1" applyBorder="1" applyAlignment="1">
      <alignment vertical="center"/>
      <protection/>
    </xf>
    <xf numFmtId="164" fontId="4" fillId="0" borderId="59" xfId="17" applyNumberFormat="1" applyFont="1" applyBorder="1" applyAlignment="1">
      <alignment vertical="center"/>
      <protection/>
    </xf>
    <xf numFmtId="0" fontId="64" fillId="0" borderId="103" xfId="17" applyFont="1" applyBorder="1" applyAlignment="1">
      <alignment horizontal="left" vertical="center" wrapText="1"/>
      <protection/>
    </xf>
    <xf numFmtId="0" fontId="4" fillId="0" borderId="50" xfId="17" applyFont="1" applyBorder="1" applyAlignment="1">
      <alignment horizontal="left" vertical="center" wrapText="1"/>
      <protection/>
    </xf>
    <xf numFmtId="164" fontId="4" fillId="0" borderId="6" xfId="17" applyNumberFormat="1" applyFont="1" applyBorder="1" applyAlignment="1">
      <alignment horizontal="right" vertical="center"/>
      <protection/>
    </xf>
    <xf numFmtId="164" fontId="9" fillId="0" borderId="6" xfId="17" applyNumberFormat="1" applyFont="1" applyBorder="1" applyAlignment="1">
      <alignment horizontal="right" vertical="center"/>
      <protection/>
    </xf>
    <xf numFmtId="164" fontId="9" fillId="0" borderId="59" xfId="17" applyNumberFormat="1" applyFont="1" applyBorder="1" applyAlignment="1">
      <alignment horizontal="right" vertical="center"/>
      <protection/>
    </xf>
    <xf numFmtId="164" fontId="64" fillId="0" borderId="12" xfId="17" applyNumberFormat="1" applyFont="1" applyBorder="1" applyAlignment="1">
      <alignment vertical="center"/>
      <protection/>
    </xf>
    <xf numFmtId="0" fontId="64" fillId="0" borderId="0" xfId="17" applyFont="1" applyBorder="1" applyAlignment="1">
      <alignment vertical="center"/>
      <protection/>
    </xf>
    <xf numFmtId="0" fontId="4" fillId="0" borderId="48" xfId="17" applyFont="1" applyBorder="1" applyAlignment="1">
      <alignment horizontal="center" vertical="center"/>
      <protection/>
    </xf>
    <xf numFmtId="0" fontId="4" fillId="0" borderId="82" xfId="17" applyFont="1" applyBorder="1" applyAlignment="1">
      <alignment vertical="center" wrapText="1"/>
      <protection/>
    </xf>
    <xf numFmtId="0" fontId="4" fillId="0" borderId="39" xfId="17" applyFont="1" applyBorder="1" applyAlignment="1">
      <alignment horizontal="center" vertical="center" wrapText="1"/>
      <protection/>
    </xf>
    <xf numFmtId="164" fontId="4" fillId="0" borderId="39" xfId="17" applyNumberFormat="1" applyFont="1" applyBorder="1" applyAlignment="1">
      <alignment vertical="center"/>
      <protection/>
    </xf>
    <xf numFmtId="0" fontId="4" fillId="0" borderId="0" xfId="17" applyFont="1" applyBorder="1" applyAlignment="1">
      <alignment vertical="center"/>
      <protection/>
    </xf>
    <xf numFmtId="0" fontId="4" fillId="0" borderId="60" xfId="17" applyFont="1" applyBorder="1" applyAlignment="1">
      <alignment horizontal="center" vertical="center"/>
      <protection/>
    </xf>
    <xf numFmtId="0" fontId="4" fillId="0" borderId="85" xfId="17" applyFont="1" applyBorder="1" applyAlignment="1">
      <alignment vertical="center" wrapText="1"/>
      <protection/>
    </xf>
    <xf numFmtId="0" fontId="4" fillId="0" borderId="46" xfId="17" applyFont="1" applyBorder="1" applyAlignment="1">
      <alignment horizontal="center" vertical="center" wrapText="1"/>
      <protection/>
    </xf>
    <xf numFmtId="164" fontId="4" fillId="0" borderId="46" xfId="17" applyNumberFormat="1" applyFont="1" applyBorder="1" applyAlignment="1">
      <alignment vertical="center"/>
      <protection/>
    </xf>
    <xf numFmtId="164" fontId="4" fillId="0" borderId="6" xfId="17" applyNumberFormat="1" applyFont="1" applyBorder="1" applyAlignment="1">
      <alignment vertical="center"/>
      <protection/>
    </xf>
    <xf numFmtId="0" fontId="4" fillId="0" borderId="0" xfId="17" applyFont="1" applyAlignment="1">
      <alignment vertical="center"/>
      <protection/>
    </xf>
    <xf numFmtId="0" fontId="4" fillId="0" borderId="48" xfId="17" applyFont="1" applyBorder="1" applyAlignment="1">
      <alignment horizontal="center" vertical="center"/>
      <protection/>
    </xf>
    <xf numFmtId="164" fontId="4" fillId="0" borderId="15" xfId="17" applyNumberFormat="1" applyFont="1" applyBorder="1" applyAlignment="1">
      <alignment vertical="center"/>
      <protection/>
    </xf>
    <xf numFmtId="164" fontId="64" fillId="0" borderId="12" xfId="17" applyNumberFormat="1" applyFont="1" applyBorder="1" applyAlignment="1">
      <alignment vertical="center"/>
      <protection/>
    </xf>
    <xf numFmtId="0" fontId="85" fillId="0" borderId="0" xfId="0" applyFont="1" applyAlignment="1">
      <alignment vertical="center"/>
    </xf>
    <xf numFmtId="0" fontId="4" fillId="0" borderId="61" xfId="17" applyFont="1" applyBorder="1" applyAlignment="1">
      <alignment horizontal="center" vertical="center"/>
      <protection/>
    </xf>
    <xf numFmtId="0" fontId="4" fillId="0" borderId="43" xfId="17" applyFont="1" applyBorder="1" applyAlignment="1">
      <alignment horizontal="center" vertical="center" wrapText="1"/>
      <protection/>
    </xf>
    <xf numFmtId="0" fontId="0" fillId="0" borderId="0" xfId="0" applyFont="1" applyBorder="1" applyAlignment="1">
      <alignment vertical="center"/>
    </xf>
    <xf numFmtId="0" fontId="4" fillId="0" borderId="48" xfId="17" applyFont="1" applyBorder="1" applyAlignment="1">
      <alignment horizontal="center" vertical="center"/>
      <protection/>
    </xf>
    <xf numFmtId="0" fontId="4" fillId="0" borderId="82" xfId="17" applyFont="1" applyBorder="1" applyAlignment="1">
      <alignment vertical="center" wrapText="1"/>
      <protection/>
    </xf>
    <xf numFmtId="0" fontId="4" fillId="0" borderId="6" xfId="17" applyFont="1" applyBorder="1" applyAlignment="1">
      <alignment horizontal="center" vertical="center" wrapText="1"/>
      <protection/>
    </xf>
    <xf numFmtId="0" fontId="4" fillId="0" borderId="0" xfId="17" applyFont="1" applyBorder="1" applyAlignment="1">
      <alignment vertical="center"/>
      <protection/>
    </xf>
    <xf numFmtId="0" fontId="4" fillId="0" borderId="50" xfId="17" applyFont="1" applyBorder="1" applyAlignment="1">
      <alignment vertical="center" wrapText="1"/>
      <protection/>
    </xf>
    <xf numFmtId="0" fontId="64" fillId="0" borderId="103" xfId="17" applyFont="1" applyBorder="1" applyAlignment="1">
      <alignment horizontal="center" vertical="center" wrapText="1"/>
      <protection/>
    </xf>
    <xf numFmtId="164" fontId="64" fillId="0" borderId="34" xfId="17" applyNumberFormat="1" applyFont="1" applyBorder="1" applyAlignment="1">
      <alignment vertical="center"/>
      <protection/>
    </xf>
    <xf numFmtId="164" fontId="4" fillId="0" borderId="43" xfId="17" applyNumberFormat="1" applyFont="1" applyBorder="1" applyAlignment="1">
      <alignment vertical="center"/>
      <protection/>
    </xf>
    <xf numFmtId="0" fontId="6" fillId="0" borderId="0" xfId="17" applyFont="1" applyBorder="1" applyAlignment="1">
      <alignment vertical="center"/>
      <protection/>
    </xf>
    <xf numFmtId="0" fontId="6" fillId="0" borderId="0" xfId="17" applyFont="1" applyBorder="1" applyAlignment="1">
      <alignment vertical="center"/>
      <protection/>
    </xf>
    <xf numFmtId="0" fontId="4" fillId="0" borderId="98" xfId="17" applyFont="1" applyBorder="1" applyAlignment="1">
      <alignment horizontal="center" vertical="center"/>
      <protection/>
    </xf>
    <xf numFmtId="0" fontId="4" fillId="0" borderId="85" xfId="17" applyFont="1" applyBorder="1" applyAlignment="1">
      <alignment vertical="center" wrapText="1"/>
      <protection/>
    </xf>
    <xf numFmtId="0" fontId="4" fillId="0" borderId="46" xfId="17" applyFont="1" applyBorder="1" applyAlignment="1">
      <alignment horizontal="center" vertical="center" wrapText="1"/>
      <protection/>
    </xf>
    <xf numFmtId="164" fontId="4" fillId="0" borderId="46" xfId="17" applyNumberFormat="1" applyFont="1" applyBorder="1" applyAlignment="1">
      <alignment vertical="center"/>
      <protection/>
    </xf>
    <xf numFmtId="0" fontId="5" fillId="0" borderId="102" xfId="17" applyFont="1" applyBorder="1" applyAlignment="1">
      <alignment horizontal="center" vertical="center"/>
      <protection/>
    </xf>
    <xf numFmtId="0" fontId="5" fillId="0" borderId="103" xfId="17" applyFont="1" applyBorder="1" applyAlignment="1">
      <alignment vertical="center" wrapText="1"/>
      <protection/>
    </xf>
    <xf numFmtId="0" fontId="5" fillId="0" borderId="34" xfId="17" applyFont="1" applyBorder="1" applyAlignment="1">
      <alignment horizontal="center" vertical="center" wrapText="1"/>
      <protection/>
    </xf>
    <xf numFmtId="164" fontId="5" fillId="0" borderId="12" xfId="17" applyNumberFormat="1" applyFont="1" applyBorder="1" applyAlignment="1">
      <alignment vertical="center"/>
      <protection/>
    </xf>
    <xf numFmtId="164" fontId="11" fillId="0" borderId="110" xfId="17" applyNumberFormat="1" applyFont="1" applyBorder="1" applyAlignment="1">
      <alignment horizontal="right" vertical="center"/>
      <protection/>
    </xf>
    <xf numFmtId="0" fontId="5" fillId="0" borderId="0" xfId="17" applyFont="1" applyBorder="1" applyAlignment="1">
      <alignment vertical="center"/>
      <protection/>
    </xf>
    <xf numFmtId="0" fontId="5" fillId="0" borderId="0" xfId="17" applyFont="1" applyAlignment="1">
      <alignment vertical="center"/>
      <protection/>
    </xf>
    <xf numFmtId="0" fontId="15" fillId="0" borderId="0" xfId="0" applyFont="1" applyAlignment="1">
      <alignment/>
    </xf>
    <xf numFmtId="0" fontId="15" fillId="0" borderId="0" xfId="0" applyFont="1" applyAlignment="1">
      <alignment horizontal="center"/>
    </xf>
    <xf numFmtId="0" fontId="39" fillId="0" borderId="5" xfId="0" applyFont="1" applyBorder="1" applyAlignment="1">
      <alignment/>
    </xf>
    <xf numFmtId="0" fontId="15" fillId="0" borderId="5" xfId="0" applyFont="1" applyBorder="1" applyAlignment="1">
      <alignment/>
    </xf>
    <xf numFmtId="1" fontId="10" fillId="0" borderId="0" xfId="0" applyNumberFormat="1" applyFont="1" applyAlignment="1">
      <alignment vertical="center"/>
    </xf>
    <xf numFmtId="3" fontId="4" fillId="0" borderId="0" xfId="0" applyNumberFormat="1" applyFont="1" applyAlignment="1">
      <alignment/>
    </xf>
    <xf numFmtId="3" fontId="4" fillId="0" borderId="0" xfId="0" applyNumberFormat="1" applyFont="1" applyAlignment="1">
      <alignment/>
    </xf>
    <xf numFmtId="164" fontId="13" fillId="0" borderId="0" xfId="0" applyNumberFormat="1" applyFont="1" applyAlignment="1">
      <alignment/>
    </xf>
    <xf numFmtId="164" fontId="10" fillId="0" borderId="0" xfId="0" applyNumberFormat="1" applyFont="1" applyAlignment="1">
      <alignment/>
    </xf>
    <xf numFmtId="3" fontId="6" fillId="0" borderId="0" xfId="0" applyNumberFormat="1" applyFont="1" applyAlignment="1">
      <alignment/>
    </xf>
    <xf numFmtId="164" fontId="4" fillId="0" borderId="0" xfId="0" applyNumberFormat="1" applyFont="1" applyAlignment="1">
      <alignment/>
    </xf>
    <xf numFmtId="1" fontId="10" fillId="0" borderId="0" xfId="0" applyNumberFormat="1" applyFont="1" applyBorder="1" applyAlignment="1">
      <alignment horizontal="center" vertical="center"/>
    </xf>
    <xf numFmtId="1" fontId="10" fillId="0" borderId="0" xfId="0" applyNumberFormat="1" applyFont="1" applyBorder="1" applyAlignment="1">
      <alignment wrapText="1"/>
    </xf>
    <xf numFmtId="3" fontId="4" fillId="0" borderId="0" xfId="0" applyNumberFormat="1" applyFont="1" applyBorder="1" applyAlignment="1">
      <alignment/>
    </xf>
    <xf numFmtId="3" fontId="4" fillId="0" borderId="0" xfId="0" applyNumberFormat="1" applyFont="1" applyBorder="1" applyAlignment="1">
      <alignment/>
    </xf>
    <xf numFmtId="164" fontId="13" fillId="0" borderId="0" xfId="0" applyNumberFormat="1" applyFont="1" applyBorder="1" applyAlignment="1">
      <alignment/>
    </xf>
    <xf numFmtId="164" fontId="10" fillId="0" borderId="0" xfId="0" applyNumberFormat="1" applyFont="1" applyBorder="1" applyAlignment="1">
      <alignment/>
    </xf>
    <xf numFmtId="3" fontId="5" fillId="0" borderId="0" xfId="0" applyNumberFormat="1" applyFont="1" applyBorder="1" applyAlignment="1">
      <alignment horizontal="centerContinuous" vertical="center"/>
    </xf>
    <xf numFmtId="3" fontId="6" fillId="0" borderId="0" xfId="0" applyNumberFormat="1" applyFont="1" applyBorder="1" applyAlignment="1">
      <alignment horizontal="centerContinuous" vertical="center"/>
    </xf>
    <xf numFmtId="164" fontId="4" fillId="0" borderId="0" xfId="0" applyNumberFormat="1" applyFont="1" applyBorder="1" applyAlignment="1">
      <alignment/>
    </xf>
    <xf numFmtId="1" fontId="2" fillId="0" borderId="0" xfId="0" applyNumberFormat="1" applyFont="1" applyFill="1" applyBorder="1" applyAlignment="1" applyProtection="1">
      <alignment horizontal="centerContinuous" vertical="center" wrapText="1"/>
      <protection locked="0"/>
    </xf>
    <xf numFmtId="1" fontId="11" fillId="0" borderId="0" xfId="0" applyNumberFormat="1" applyFont="1" applyFill="1" applyBorder="1" applyAlignment="1" applyProtection="1">
      <alignment horizontal="centerContinuous" vertical="center" wrapText="1"/>
      <protection locked="0"/>
    </xf>
    <xf numFmtId="3" fontId="6" fillId="0" borderId="0" xfId="0" applyNumberFormat="1" applyFont="1" applyFill="1" applyBorder="1" applyAlignment="1" applyProtection="1">
      <alignment horizontal="centerContinuous" vertical="center"/>
      <protection locked="0"/>
    </xf>
    <xf numFmtId="3" fontId="4" fillId="0" borderId="0" xfId="0" applyNumberFormat="1" applyFont="1" applyFill="1" applyBorder="1" applyAlignment="1" applyProtection="1">
      <alignment horizontal="centerContinuous" vertical="center"/>
      <protection locked="0"/>
    </xf>
    <xf numFmtId="164" fontId="13" fillId="0" borderId="0" xfId="0" applyNumberFormat="1" applyFont="1" applyFill="1" applyBorder="1" applyAlignment="1" applyProtection="1">
      <alignment horizontal="centerContinuous" vertical="center"/>
      <protection locked="0"/>
    </xf>
    <xf numFmtId="164" fontId="10" fillId="0" borderId="0" xfId="0" applyNumberFormat="1" applyFont="1" applyFill="1" applyBorder="1" applyAlignment="1" applyProtection="1">
      <alignment horizontal="centerContinuous" vertical="center"/>
      <protection locked="0"/>
    </xf>
    <xf numFmtId="164" fontId="8" fillId="0" borderId="0" xfId="0" applyNumberFormat="1" applyFont="1" applyFill="1" applyBorder="1" applyAlignment="1" applyProtection="1">
      <alignment horizontal="centerContinuous" vertical="center"/>
      <protection locked="0"/>
    </xf>
    <xf numFmtId="164" fontId="4" fillId="0" borderId="0" xfId="0" applyNumberFormat="1" applyFont="1" applyFill="1" applyBorder="1" applyAlignment="1" applyProtection="1">
      <alignment horizontal="centerContinuous" vertical="center"/>
      <protection locked="0"/>
    </xf>
    <xf numFmtId="3" fontId="0" fillId="0" borderId="0" xfId="0" applyNumberFormat="1" applyFont="1" applyAlignment="1">
      <alignment horizontal="centerContinuous"/>
    </xf>
    <xf numFmtId="164" fontId="11" fillId="0" borderId="0" xfId="0" applyNumberFormat="1" applyFont="1" applyBorder="1" applyAlignment="1">
      <alignment vertical="center"/>
    </xf>
    <xf numFmtId="1" fontId="10" fillId="0" borderId="0" xfId="0" applyNumberFormat="1" applyFont="1" applyFill="1" applyBorder="1" applyAlignment="1" applyProtection="1">
      <alignment horizontal="center" vertical="center"/>
      <protection locked="0"/>
    </xf>
    <xf numFmtId="1" fontId="10" fillId="0" borderId="0" xfId="0" applyNumberFormat="1" applyFont="1" applyFill="1" applyBorder="1" applyAlignment="1" applyProtection="1">
      <alignment wrapText="1"/>
      <protection locked="0"/>
    </xf>
    <xf numFmtId="3" fontId="4" fillId="0" borderId="0" xfId="0" applyNumberFormat="1" applyFont="1" applyFill="1" applyBorder="1" applyAlignment="1" applyProtection="1">
      <alignment horizontal="centerContinuous" vertical="center"/>
      <protection locked="0"/>
    </xf>
    <xf numFmtId="3" fontId="4" fillId="0" borderId="0" xfId="0" applyNumberFormat="1" applyFont="1" applyFill="1" applyBorder="1" applyAlignment="1" applyProtection="1">
      <alignment horizontal="left" vertical="center"/>
      <protection locked="0"/>
    </xf>
    <xf numFmtId="164" fontId="4" fillId="0" borderId="0" xfId="0" applyNumberFormat="1" applyFont="1" applyFill="1" applyBorder="1" applyAlignment="1" applyProtection="1">
      <alignment horizontal="left" vertical="center"/>
      <protection locked="0"/>
    </xf>
    <xf numFmtId="3" fontId="4" fillId="0" borderId="0" xfId="0" applyNumberFormat="1" applyFont="1" applyAlignment="1">
      <alignment horizontal="centerContinuous"/>
    </xf>
    <xf numFmtId="164" fontId="10" fillId="0" borderId="112" xfId="0" applyNumberFormat="1" applyFont="1" applyFill="1" applyBorder="1" applyAlignment="1" applyProtection="1">
      <alignment horizontal="centerContinuous" vertical="center" wrapText="1"/>
      <protection locked="0"/>
    </xf>
    <xf numFmtId="3" fontId="11" fillId="0" borderId="56" xfId="0" applyNumberFormat="1" applyFont="1" applyFill="1" applyBorder="1" applyAlignment="1" applyProtection="1">
      <alignment horizontal="centerContinuous" vertical="center"/>
      <protection locked="0"/>
    </xf>
    <xf numFmtId="3" fontId="4" fillId="0" borderId="105" xfId="0" applyNumberFormat="1" applyFont="1" applyFill="1" applyBorder="1" applyAlignment="1" applyProtection="1">
      <alignment horizontal="centerContinuous" vertical="center"/>
      <protection locked="0"/>
    </xf>
    <xf numFmtId="3" fontId="6" fillId="0" borderId="105" xfId="0" applyNumberFormat="1" applyFont="1" applyFill="1" applyBorder="1" applyAlignment="1" applyProtection="1">
      <alignment horizontal="centerContinuous" vertical="center"/>
      <protection locked="0"/>
    </xf>
    <xf numFmtId="164" fontId="13" fillId="0" borderId="52" xfId="0" applyNumberFormat="1" applyFont="1" applyFill="1" applyBorder="1" applyAlignment="1" applyProtection="1">
      <alignment horizontal="centerContinuous" vertical="center"/>
      <protection locked="0"/>
    </xf>
    <xf numFmtId="3" fontId="8" fillId="0" borderId="113" xfId="0" applyNumberFormat="1" applyFont="1" applyFill="1" applyBorder="1" applyAlignment="1" applyProtection="1">
      <alignment horizontal="centerContinuous" vertical="center"/>
      <protection locked="0"/>
    </xf>
    <xf numFmtId="164" fontId="10" fillId="0" borderId="52" xfId="0" applyNumberFormat="1" applyFont="1" applyFill="1" applyBorder="1" applyAlignment="1" applyProtection="1">
      <alignment horizontal="centerContinuous" vertical="center"/>
      <protection locked="0"/>
    </xf>
    <xf numFmtId="3" fontId="6" fillId="0" borderId="105" xfId="0" applyNumberFormat="1" applyFont="1" applyBorder="1" applyAlignment="1">
      <alignment horizontal="centerContinuous" vertical="center"/>
    </xf>
    <xf numFmtId="3" fontId="6" fillId="0" borderId="109" xfId="0" applyNumberFormat="1" applyFont="1" applyFill="1" applyBorder="1" applyAlignment="1" applyProtection="1">
      <alignment horizontal="centerContinuous" vertical="center"/>
      <protection locked="0"/>
    </xf>
    <xf numFmtId="164" fontId="8" fillId="0" borderId="31" xfId="0" applyNumberFormat="1" applyFont="1" applyFill="1" applyBorder="1" applyAlignment="1" applyProtection="1">
      <alignment horizontal="centerContinuous" vertical="center"/>
      <protection locked="0"/>
    </xf>
    <xf numFmtId="3" fontId="8" fillId="0" borderId="99" xfId="0" applyNumberFormat="1" applyFont="1" applyFill="1" applyBorder="1" applyAlignment="1" applyProtection="1">
      <alignment horizontal="centerContinuous" vertical="center"/>
      <protection locked="0"/>
    </xf>
    <xf numFmtId="3" fontId="6" fillId="0" borderId="113" xfId="0" applyNumberFormat="1" applyFont="1" applyFill="1" applyBorder="1" applyAlignment="1" applyProtection="1">
      <alignment horizontal="centerContinuous" vertical="center"/>
      <protection locked="0"/>
    </xf>
    <xf numFmtId="164" fontId="4" fillId="0" borderId="109" xfId="0" applyNumberFormat="1" applyFont="1" applyFill="1" applyBorder="1" applyAlignment="1" applyProtection="1">
      <alignment horizontal="centerContinuous" vertical="center"/>
      <protection locked="0"/>
    </xf>
    <xf numFmtId="164" fontId="4" fillId="0" borderId="31" xfId="0" applyNumberFormat="1" applyFont="1" applyFill="1" applyBorder="1" applyAlignment="1" applyProtection="1">
      <alignment horizontal="centerContinuous" vertical="center"/>
      <protection locked="0"/>
    </xf>
    <xf numFmtId="164" fontId="5" fillId="0" borderId="50" xfId="19" applyNumberFormat="1" applyFont="1" applyFill="1" applyBorder="1" applyAlignment="1" applyProtection="1">
      <alignment horizontal="center" vertical="center" wrapText="1"/>
      <protection locked="0"/>
    </xf>
    <xf numFmtId="3" fontId="6" fillId="0" borderId="48" xfId="0" applyNumberFormat="1" applyFont="1" applyFill="1" applyBorder="1" applyAlignment="1" applyProtection="1">
      <alignment horizontal="center" vertical="center" wrapText="1"/>
      <protection locked="0"/>
    </xf>
    <xf numFmtId="3" fontId="6" fillId="0" borderId="39" xfId="0" applyNumberFormat="1" applyFont="1" applyFill="1" applyBorder="1" applyAlignment="1" applyProtection="1">
      <alignment horizontal="center" vertical="center" wrapText="1"/>
      <protection locked="0"/>
    </xf>
    <xf numFmtId="164" fontId="13" fillId="0" borderId="81" xfId="0" applyNumberFormat="1" applyFont="1" applyFill="1" applyBorder="1" applyAlignment="1" applyProtection="1">
      <alignment horizontal="center" vertical="center" wrapText="1"/>
      <protection locked="0"/>
    </xf>
    <xf numFmtId="3" fontId="6" fillId="0" borderId="76" xfId="0" applyNumberFormat="1" applyFont="1" applyFill="1" applyBorder="1" applyAlignment="1" applyProtection="1">
      <alignment horizontal="center" vertical="center" wrapText="1"/>
      <protection locked="0"/>
    </xf>
    <xf numFmtId="3" fontId="6" fillId="0" borderId="82" xfId="0" applyNumberFormat="1" applyFont="1" applyFill="1" applyBorder="1" applyAlignment="1" applyProtection="1">
      <alignment horizontal="center" vertical="center" wrapText="1"/>
      <protection locked="0"/>
    </xf>
    <xf numFmtId="164" fontId="13" fillId="0" borderId="36" xfId="0" applyNumberFormat="1" applyFont="1" applyFill="1" applyBorder="1" applyAlignment="1" applyProtection="1">
      <alignment horizontal="center" vertical="center" wrapText="1"/>
      <protection locked="0"/>
    </xf>
    <xf numFmtId="164" fontId="13" fillId="0" borderId="41" xfId="0" applyNumberFormat="1" applyFont="1" applyFill="1" applyBorder="1" applyAlignment="1" applyProtection="1">
      <alignment horizontal="center" vertical="center" wrapText="1"/>
      <protection locked="0"/>
    </xf>
    <xf numFmtId="3" fontId="8" fillId="0" borderId="6" xfId="0" applyNumberFormat="1" applyFont="1" applyFill="1" applyBorder="1" applyAlignment="1" applyProtection="1">
      <alignment horizontal="center" vertical="center" wrapText="1"/>
      <protection locked="0"/>
    </xf>
    <xf numFmtId="164" fontId="14" fillId="0" borderId="41"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protection locked="0"/>
    </xf>
    <xf numFmtId="1" fontId="9" fillId="0" borderId="101" xfId="0" applyNumberFormat="1" applyFont="1" applyFill="1" applyBorder="1" applyAlignment="1" applyProtection="1">
      <alignment horizontal="centerContinuous" vertical="center"/>
      <protection locked="0"/>
    </xf>
    <xf numFmtId="1" fontId="9" fillId="0" borderId="80" xfId="0" applyNumberFormat="1" applyFont="1" applyFill="1" applyBorder="1" applyAlignment="1" applyProtection="1">
      <alignment horizontal="center" vertical="center" wrapText="1"/>
      <protection locked="0"/>
    </xf>
    <xf numFmtId="3" fontId="9" fillId="0" borderId="101" xfId="0" applyNumberFormat="1" applyFont="1" applyFill="1" applyBorder="1" applyAlignment="1" applyProtection="1">
      <alignment horizontal="center" vertical="center"/>
      <protection locked="0"/>
    </xf>
    <xf numFmtId="3" fontId="9" fillId="0" borderId="12" xfId="0" applyNumberFormat="1" applyFont="1" applyFill="1" applyBorder="1" applyAlignment="1" applyProtection="1">
      <alignment horizontal="center" vertical="center"/>
      <protection locked="0"/>
    </xf>
    <xf numFmtId="3" fontId="9" fillId="0" borderId="110" xfId="0" applyNumberFormat="1" applyFont="1" applyFill="1" applyBorder="1" applyAlignment="1" applyProtection="1">
      <alignment horizontal="center" vertical="center"/>
      <protection locked="0"/>
    </xf>
    <xf numFmtId="3" fontId="9" fillId="0" borderId="34" xfId="0" applyNumberFormat="1" applyFont="1" applyFill="1" applyBorder="1" applyAlignment="1" applyProtection="1">
      <alignment horizontal="center" vertical="center"/>
      <protection locked="0"/>
    </xf>
    <xf numFmtId="3" fontId="9" fillId="0" borderId="33" xfId="0" applyNumberFormat="1" applyFont="1" applyFill="1" applyBorder="1" applyAlignment="1" applyProtection="1">
      <alignment horizontal="center" vertical="center"/>
      <protection locked="0"/>
    </xf>
    <xf numFmtId="1" fontId="9" fillId="0" borderId="0" xfId="0" applyNumberFormat="1" applyFont="1" applyBorder="1" applyAlignment="1">
      <alignment/>
    </xf>
    <xf numFmtId="49" fontId="8" fillId="0" borderId="101" xfId="0" applyNumberFormat="1" applyFont="1" applyFill="1" applyBorder="1" applyAlignment="1" applyProtection="1">
      <alignment horizontal="centerContinuous" vertical="center"/>
      <protection locked="0"/>
    </xf>
    <xf numFmtId="1" fontId="8" fillId="0" borderId="80" xfId="0" applyNumberFormat="1" applyFont="1" applyFill="1" applyBorder="1" applyAlignment="1" applyProtection="1">
      <alignment horizontal="left" vertical="center" wrapText="1"/>
      <protection locked="0"/>
    </xf>
    <xf numFmtId="3" fontId="6" fillId="0" borderId="101" xfId="0" applyNumberFormat="1" applyFont="1" applyFill="1" applyBorder="1" applyAlignment="1" applyProtection="1">
      <alignment horizontal="right" vertical="center"/>
      <protection locked="0"/>
    </xf>
    <xf numFmtId="164" fontId="13" fillId="0" borderId="110" xfId="0" applyNumberFormat="1" applyFont="1" applyFill="1" applyBorder="1" applyAlignment="1" applyProtection="1">
      <alignment horizontal="right" vertical="center"/>
      <protection locked="0"/>
    </xf>
    <xf numFmtId="3" fontId="6" fillId="0" borderId="12" xfId="0" applyNumberFormat="1" applyFont="1" applyFill="1" applyBorder="1" applyAlignment="1" applyProtection="1">
      <alignment horizontal="right" vertical="center"/>
      <protection locked="0"/>
    </xf>
    <xf numFmtId="164" fontId="13" fillId="0" borderId="33" xfId="0" applyNumberFormat="1" applyFont="1" applyFill="1" applyBorder="1" applyAlignment="1" applyProtection="1">
      <alignment horizontal="right" vertical="center"/>
      <protection locked="0"/>
    </xf>
    <xf numFmtId="3" fontId="6" fillId="0" borderId="34" xfId="0" applyNumberFormat="1" applyFont="1" applyFill="1" applyBorder="1" applyAlignment="1" applyProtection="1">
      <alignment horizontal="center" vertical="center"/>
      <protection locked="0"/>
    </xf>
    <xf numFmtId="3" fontId="6" fillId="0" borderId="12" xfId="0" applyNumberFormat="1" applyFont="1" applyFill="1" applyBorder="1" applyAlignment="1" applyProtection="1">
      <alignment horizontal="center" vertical="center"/>
      <protection locked="0"/>
    </xf>
    <xf numFmtId="164" fontId="8" fillId="0" borderId="33" xfId="0" applyNumberFormat="1" applyFont="1" applyFill="1" applyBorder="1" applyAlignment="1" applyProtection="1">
      <alignment horizontal="center" vertical="center"/>
      <protection locked="0"/>
    </xf>
    <xf numFmtId="164" fontId="4" fillId="0" borderId="33" xfId="0" applyNumberFormat="1" applyFont="1" applyFill="1" applyBorder="1" applyAlignment="1" applyProtection="1">
      <alignment horizontal="center" vertical="center"/>
      <protection locked="0"/>
    </xf>
    <xf numFmtId="164" fontId="14" fillId="0" borderId="33" xfId="0" applyNumberFormat="1" applyFont="1" applyFill="1" applyBorder="1" applyAlignment="1" applyProtection="1">
      <alignment horizontal="right" vertical="center"/>
      <protection locked="0"/>
    </xf>
    <xf numFmtId="1" fontId="8" fillId="0" borderId="0" xfId="0" applyNumberFormat="1" applyFont="1" applyBorder="1" applyAlignment="1">
      <alignment/>
    </xf>
    <xf numFmtId="49" fontId="8" fillId="0" borderId="114" xfId="0" applyNumberFormat="1" applyFont="1" applyFill="1" applyBorder="1" applyAlignment="1" applyProtection="1">
      <alignment horizontal="centerContinuous" vertical="center"/>
      <protection locked="0"/>
    </xf>
    <xf numFmtId="1" fontId="8" fillId="0" borderId="124" xfId="0" applyNumberFormat="1" applyFont="1" applyFill="1" applyBorder="1" applyAlignment="1" applyProtection="1">
      <alignment horizontal="left" vertical="center" wrapText="1"/>
      <protection locked="0"/>
    </xf>
    <xf numFmtId="3" fontId="6" fillId="0" borderId="114" xfId="0" applyNumberFormat="1" applyFont="1" applyFill="1" applyBorder="1" applyAlignment="1" applyProtection="1">
      <alignment horizontal="right" vertical="center"/>
      <protection locked="0"/>
    </xf>
    <xf numFmtId="164" fontId="13" fillId="0" borderId="109" xfId="0" applyNumberFormat="1" applyFont="1" applyFill="1" applyBorder="1" applyAlignment="1" applyProtection="1">
      <alignment horizontal="right" vertical="center"/>
      <protection locked="0"/>
    </xf>
    <xf numFmtId="3" fontId="6" fillId="0" borderId="100" xfId="0" applyNumberFormat="1" applyFont="1" applyFill="1" applyBorder="1" applyAlignment="1" applyProtection="1">
      <alignment horizontal="right" vertical="center"/>
      <protection locked="0"/>
    </xf>
    <xf numFmtId="3" fontId="6" fillId="0" borderId="29" xfId="0" applyNumberFormat="1" applyFont="1" applyFill="1" applyBorder="1" applyAlignment="1" applyProtection="1">
      <alignment horizontal="right" vertical="center"/>
      <protection locked="0"/>
    </xf>
    <xf numFmtId="164" fontId="13" fillId="0" borderId="31" xfId="0" applyNumberFormat="1" applyFont="1" applyFill="1" applyBorder="1" applyAlignment="1" applyProtection="1">
      <alignment horizontal="right" vertical="center"/>
      <protection locked="0"/>
    </xf>
    <xf numFmtId="3" fontId="6" fillId="0" borderId="29" xfId="0" applyNumberFormat="1" applyFont="1" applyFill="1" applyBorder="1" applyAlignment="1" applyProtection="1">
      <alignment horizontal="center" vertical="center"/>
      <protection locked="0"/>
    </xf>
    <xf numFmtId="3" fontId="6" fillId="0" borderId="100" xfId="0" applyNumberFormat="1" applyFont="1" applyFill="1" applyBorder="1" applyAlignment="1" applyProtection="1">
      <alignment horizontal="center" vertical="center"/>
      <protection locked="0"/>
    </xf>
    <xf numFmtId="164" fontId="8" fillId="0" borderId="31" xfId="0" applyNumberFormat="1" applyFont="1" applyFill="1" applyBorder="1" applyAlignment="1" applyProtection="1">
      <alignment horizontal="center" vertical="center"/>
      <protection locked="0"/>
    </xf>
    <xf numFmtId="164" fontId="4" fillId="0" borderId="31" xfId="0" applyNumberFormat="1" applyFont="1" applyFill="1" applyBorder="1" applyAlignment="1" applyProtection="1">
      <alignment horizontal="center" vertical="center"/>
      <protection locked="0"/>
    </xf>
    <xf numFmtId="164" fontId="14" fillId="0" borderId="31" xfId="0" applyNumberFormat="1" applyFont="1" applyFill="1" applyBorder="1" applyAlignment="1" applyProtection="1">
      <alignment horizontal="right" vertical="center"/>
      <protection locked="0"/>
    </xf>
    <xf numFmtId="49" fontId="10" fillId="0" borderId="60" xfId="0" applyNumberFormat="1" applyFont="1" applyFill="1" applyBorder="1" applyAlignment="1" applyProtection="1">
      <alignment horizontal="centerContinuous" vertical="center"/>
      <protection locked="0"/>
    </xf>
    <xf numFmtId="1" fontId="10" fillId="0" borderId="50" xfId="0" applyNumberFormat="1" applyFont="1" applyFill="1" applyBorder="1" applyAlignment="1" applyProtection="1">
      <alignment horizontal="left" vertical="center" wrapText="1"/>
      <protection locked="0"/>
    </xf>
    <xf numFmtId="3" fontId="4" fillId="0" borderId="60" xfId="0" applyNumberFormat="1" applyFont="1" applyFill="1" applyBorder="1" applyAlignment="1" applyProtection="1">
      <alignment horizontal="right" vertical="center"/>
      <protection locked="0"/>
    </xf>
    <xf numFmtId="164" fontId="13" fillId="0" borderId="59" xfId="0" applyNumberFormat="1" applyFont="1" applyFill="1" applyBorder="1" applyAlignment="1" applyProtection="1">
      <alignment horizontal="right" vertical="center"/>
      <protection locked="0"/>
    </xf>
    <xf numFmtId="3" fontId="4" fillId="0" borderId="6" xfId="0" applyNumberFormat="1" applyFont="1" applyFill="1" applyBorder="1" applyAlignment="1" applyProtection="1">
      <alignment horizontal="right" vertical="center"/>
      <protection locked="0"/>
    </xf>
    <xf numFmtId="3" fontId="4" fillId="0" borderId="43" xfId="0" applyNumberFormat="1" applyFont="1" applyFill="1" applyBorder="1" applyAlignment="1" applyProtection="1">
      <alignment horizontal="right" vertical="center"/>
      <protection locked="0"/>
    </xf>
    <xf numFmtId="164" fontId="13" fillId="0" borderId="41" xfId="0" applyNumberFormat="1" applyFont="1" applyFill="1" applyBorder="1" applyAlignment="1" applyProtection="1">
      <alignment horizontal="right" vertical="center"/>
      <protection locked="0"/>
    </xf>
    <xf numFmtId="3" fontId="4" fillId="0" borderId="43" xfId="0" applyNumberFormat="1" applyFont="1" applyFill="1" applyBorder="1" applyAlignment="1" applyProtection="1">
      <alignment horizontal="center" vertical="center"/>
      <protection locked="0"/>
    </xf>
    <xf numFmtId="3" fontId="4" fillId="0" borderId="6" xfId="0" applyNumberFormat="1" applyFont="1" applyFill="1" applyBorder="1" applyAlignment="1" applyProtection="1">
      <alignment horizontal="center" vertical="center"/>
      <protection locked="0"/>
    </xf>
    <xf numFmtId="164" fontId="10" fillId="0" borderId="41" xfId="0" applyNumberFormat="1" applyFont="1" applyFill="1" applyBorder="1" applyAlignment="1" applyProtection="1">
      <alignment horizontal="center" vertical="center"/>
      <protection locked="0"/>
    </xf>
    <xf numFmtId="164" fontId="4" fillId="0" borderId="41" xfId="0" applyNumberFormat="1" applyFont="1" applyFill="1" applyBorder="1" applyAlignment="1" applyProtection="1">
      <alignment horizontal="center" vertical="center"/>
      <protection locked="0"/>
    </xf>
    <xf numFmtId="164" fontId="14" fillId="0" borderId="36" xfId="0" applyNumberFormat="1" applyFont="1" applyFill="1" applyBorder="1" applyAlignment="1" applyProtection="1">
      <alignment horizontal="right" vertical="center"/>
      <protection locked="0"/>
    </xf>
    <xf numFmtId="1" fontId="10" fillId="0" borderId="0" xfId="0" applyNumberFormat="1" applyFont="1" applyBorder="1" applyAlignment="1">
      <alignment/>
    </xf>
    <xf numFmtId="49" fontId="8" fillId="0" borderId="106" xfId="0" applyNumberFormat="1" applyFont="1" applyFill="1" applyBorder="1" applyAlignment="1" applyProtection="1">
      <alignment horizontal="centerContinuous" vertical="center"/>
      <protection locked="0"/>
    </xf>
    <xf numFmtId="1" fontId="8" fillId="0" borderId="115" xfId="0" applyNumberFormat="1" applyFont="1" applyFill="1" applyBorder="1" applyAlignment="1" applyProtection="1">
      <alignment horizontal="left" vertical="center" wrapText="1"/>
      <protection locked="0"/>
    </xf>
    <xf numFmtId="3" fontId="6" fillId="0" borderId="106" xfId="0" applyNumberFormat="1" applyFont="1" applyFill="1" applyBorder="1" applyAlignment="1" applyProtection="1">
      <alignment horizontal="right" vertical="center"/>
      <protection locked="0"/>
    </xf>
    <xf numFmtId="3" fontId="6" fillId="0" borderId="9" xfId="0" applyNumberFormat="1" applyFont="1" applyFill="1" applyBorder="1" applyAlignment="1" applyProtection="1">
      <alignment horizontal="right" vertical="center"/>
      <protection locked="0"/>
    </xf>
    <xf numFmtId="3" fontId="6" fillId="0" borderId="9" xfId="0" applyNumberFormat="1" applyFont="1" applyFill="1" applyBorder="1" applyAlignment="1" applyProtection="1">
      <alignment vertical="center"/>
      <protection locked="0"/>
    </xf>
    <xf numFmtId="164" fontId="13" fillId="0" borderId="116" xfId="0" applyNumberFormat="1" applyFont="1" applyFill="1" applyBorder="1" applyAlignment="1" applyProtection="1">
      <alignment horizontal="right" vertical="center"/>
      <protection locked="0"/>
    </xf>
    <xf numFmtId="3" fontId="6" fillId="0" borderId="9" xfId="0" applyNumberFormat="1" applyFont="1" applyFill="1" applyBorder="1" applyAlignment="1" applyProtection="1">
      <alignment horizontal="center" vertical="center"/>
      <protection locked="0"/>
    </xf>
    <xf numFmtId="3" fontId="6" fillId="0" borderId="75" xfId="0" applyNumberFormat="1" applyFont="1" applyFill="1" applyBorder="1" applyAlignment="1" applyProtection="1">
      <alignment horizontal="center" vertical="center"/>
      <protection locked="0"/>
    </xf>
    <xf numFmtId="164" fontId="10" fillId="0" borderId="77" xfId="0" applyNumberFormat="1" applyFont="1" applyFill="1" applyBorder="1" applyAlignment="1" applyProtection="1">
      <alignment horizontal="center" vertical="center"/>
      <protection locked="0"/>
    </xf>
    <xf numFmtId="164" fontId="8" fillId="0" borderId="77" xfId="0" applyNumberFormat="1" applyFont="1" applyFill="1" applyBorder="1" applyAlignment="1" applyProtection="1">
      <alignment horizontal="center" vertical="center"/>
      <protection locked="0"/>
    </xf>
    <xf numFmtId="164" fontId="4" fillId="0" borderId="77" xfId="0" applyNumberFormat="1" applyFont="1" applyFill="1" applyBorder="1" applyAlignment="1" applyProtection="1">
      <alignment horizontal="center" vertical="center"/>
      <protection locked="0"/>
    </xf>
    <xf numFmtId="3" fontId="6" fillId="0" borderId="9" xfId="0" applyNumberFormat="1" applyFont="1" applyFill="1" applyBorder="1" applyAlignment="1" applyProtection="1">
      <alignment horizontal="right" vertical="center"/>
      <protection locked="0"/>
    </xf>
    <xf numFmtId="164" fontId="14" fillId="0" borderId="77" xfId="0" applyNumberFormat="1" applyFont="1" applyFill="1" applyBorder="1" applyAlignment="1" applyProtection="1">
      <alignment horizontal="right" vertical="center"/>
      <protection locked="0"/>
    </xf>
    <xf numFmtId="3" fontId="4" fillId="0" borderId="60" xfId="0" applyNumberFormat="1" applyFont="1" applyFill="1" applyBorder="1" applyAlignment="1" applyProtection="1">
      <alignment vertical="center"/>
      <protection locked="0"/>
    </xf>
    <xf numFmtId="3" fontId="4" fillId="0" borderId="6" xfId="0" applyNumberFormat="1" applyFont="1" applyFill="1" applyBorder="1" applyAlignment="1" applyProtection="1">
      <alignment vertical="center"/>
      <protection locked="0"/>
    </xf>
    <xf numFmtId="164" fontId="13" fillId="0" borderId="81" xfId="0" applyNumberFormat="1" applyFont="1" applyFill="1" applyBorder="1" applyAlignment="1" applyProtection="1">
      <alignment horizontal="right" vertical="center"/>
      <protection locked="0"/>
    </xf>
    <xf numFmtId="164" fontId="4" fillId="0" borderId="41" xfId="0" applyNumberFormat="1" applyFont="1" applyFill="1" applyBorder="1" applyAlignment="1" applyProtection="1">
      <alignment horizontal="center" vertical="center"/>
      <protection locked="0"/>
    </xf>
    <xf numFmtId="3" fontId="4" fillId="0" borderId="48" xfId="0" applyNumberFormat="1" applyFont="1" applyFill="1" applyBorder="1" applyAlignment="1" applyProtection="1">
      <alignment vertical="center"/>
      <protection locked="0"/>
    </xf>
    <xf numFmtId="3" fontId="4" fillId="0" borderId="39" xfId="0" applyNumberFormat="1" applyFont="1" applyFill="1" applyBorder="1" applyAlignment="1" applyProtection="1">
      <alignment horizontal="right" vertical="center"/>
      <protection locked="0"/>
    </xf>
    <xf numFmtId="164" fontId="14" fillId="0" borderId="41" xfId="0" applyNumberFormat="1" applyFont="1" applyFill="1" applyBorder="1" applyAlignment="1" applyProtection="1">
      <alignment horizontal="right" vertical="center"/>
      <protection locked="0"/>
    </xf>
    <xf numFmtId="49" fontId="8" fillId="0" borderId="106" xfId="0" applyNumberFormat="1" applyFont="1" applyFill="1" applyBorder="1" applyAlignment="1" applyProtection="1">
      <alignment horizontal="centerContinuous" vertical="center"/>
      <protection locked="0"/>
    </xf>
    <xf numFmtId="1" fontId="8" fillId="0" borderId="115" xfId="0" applyNumberFormat="1" applyFont="1" applyFill="1" applyBorder="1" applyAlignment="1" applyProtection="1">
      <alignment horizontal="left" vertical="center" wrapText="1"/>
      <protection locked="0"/>
    </xf>
    <xf numFmtId="164" fontId="77" fillId="0" borderId="116" xfId="0" applyNumberFormat="1" applyFont="1" applyFill="1" applyBorder="1" applyAlignment="1" applyProtection="1">
      <alignment horizontal="right" vertical="center"/>
      <protection locked="0"/>
    </xf>
    <xf numFmtId="3" fontId="6" fillId="0" borderId="115" xfId="0" applyNumberFormat="1" applyFont="1" applyFill="1" applyBorder="1" applyAlignment="1" applyProtection="1">
      <alignment horizontal="right" vertical="center"/>
      <protection locked="0"/>
    </xf>
    <xf numFmtId="164" fontId="77" fillId="0" borderId="77" xfId="0" applyNumberFormat="1" applyFont="1" applyFill="1" applyBorder="1" applyAlignment="1" applyProtection="1">
      <alignment horizontal="right" vertical="center"/>
      <protection locked="0"/>
    </xf>
    <xf numFmtId="3" fontId="6" fillId="0" borderId="75" xfId="0" applyNumberFormat="1" applyFont="1" applyFill="1" applyBorder="1" applyAlignment="1" applyProtection="1">
      <alignment horizontal="center" vertical="center"/>
      <protection locked="0"/>
    </xf>
    <xf numFmtId="3" fontId="6" fillId="0" borderId="9" xfId="0" applyNumberFormat="1" applyFont="1" applyFill="1" applyBorder="1" applyAlignment="1" applyProtection="1">
      <alignment horizontal="center" vertical="center"/>
      <protection locked="0"/>
    </xf>
    <xf numFmtId="164" fontId="6" fillId="0" borderId="77" xfId="0" applyNumberFormat="1" applyFont="1" applyFill="1" applyBorder="1" applyAlignment="1" applyProtection="1">
      <alignment horizontal="center" vertical="center"/>
      <protection locked="0"/>
    </xf>
    <xf numFmtId="1" fontId="8" fillId="0" borderId="0" xfId="0" applyNumberFormat="1" applyFont="1" applyBorder="1" applyAlignment="1">
      <alignment/>
    </xf>
    <xf numFmtId="49" fontId="10" fillId="0" borderId="48" xfId="0" applyNumberFormat="1" applyFont="1" applyFill="1" applyBorder="1" applyAlignment="1" applyProtection="1">
      <alignment horizontal="centerContinuous" vertical="center"/>
      <protection locked="0"/>
    </xf>
    <xf numFmtId="1" fontId="10" fillId="0" borderId="82" xfId="0" applyNumberFormat="1" applyFont="1" applyFill="1" applyBorder="1" applyAlignment="1" applyProtection="1">
      <alignment horizontal="left" vertical="center" wrapText="1"/>
      <protection locked="0"/>
    </xf>
    <xf numFmtId="3" fontId="4" fillId="0" borderId="39" xfId="0" applyNumberFormat="1" applyFont="1" applyFill="1" applyBorder="1" applyAlignment="1" applyProtection="1">
      <alignment vertical="center"/>
      <protection locked="0"/>
    </xf>
    <xf numFmtId="164" fontId="77" fillId="0" borderId="81" xfId="0" applyNumberFormat="1" applyFont="1" applyFill="1" applyBorder="1" applyAlignment="1" applyProtection="1">
      <alignment horizontal="right" vertical="center"/>
      <protection locked="0"/>
    </xf>
    <xf numFmtId="3" fontId="4" fillId="0" borderId="82" xfId="0" applyNumberFormat="1" applyFont="1" applyFill="1" applyBorder="1" applyAlignment="1" applyProtection="1">
      <alignment horizontal="right" vertical="center"/>
      <protection locked="0"/>
    </xf>
    <xf numFmtId="164" fontId="13" fillId="0" borderId="36" xfId="0" applyNumberFormat="1" applyFont="1" applyFill="1" applyBorder="1" applyAlignment="1" applyProtection="1">
      <alignment horizontal="right" vertical="center"/>
      <protection locked="0"/>
    </xf>
    <xf numFmtId="3" fontId="4" fillId="0" borderId="38" xfId="0" applyNumberFormat="1" applyFont="1" applyFill="1" applyBorder="1" applyAlignment="1" applyProtection="1">
      <alignment horizontal="center" vertical="center"/>
      <protection locked="0"/>
    </xf>
    <xf numFmtId="3" fontId="4" fillId="0" borderId="39" xfId="0" applyNumberFormat="1" applyFont="1" applyFill="1" applyBorder="1" applyAlignment="1" applyProtection="1">
      <alignment horizontal="center" vertical="center"/>
      <protection locked="0"/>
    </xf>
    <xf numFmtId="164" fontId="10" fillId="0" borderId="36" xfId="0" applyNumberFormat="1" applyFont="1" applyFill="1" applyBorder="1" applyAlignment="1" applyProtection="1">
      <alignment horizontal="center" vertical="center"/>
      <protection locked="0"/>
    </xf>
    <xf numFmtId="164" fontId="4" fillId="0" borderId="36" xfId="0" applyNumberFormat="1" applyFont="1" applyFill="1" applyBorder="1" applyAlignment="1" applyProtection="1">
      <alignment horizontal="center" vertical="center"/>
      <protection locked="0"/>
    </xf>
    <xf numFmtId="3" fontId="4" fillId="0" borderId="48" xfId="0" applyNumberFormat="1" applyFont="1" applyFill="1" applyBorder="1" applyAlignment="1" applyProtection="1">
      <alignment horizontal="right" vertical="center"/>
      <protection locked="0"/>
    </xf>
    <xf numFmtId="3" fontId="6" fillId="0" borderId="12" xfId="0" applyNumberFormat="1" applyFont="1" applyFill="1" applyBorder="1" applyAlignment="1" applyProtection="1">
      <alignment vertical="center"/>
      <protection locked="0"/>
    </xf>
    <xf numFmtId="164" fontId="10" fillId="0" borderId="33" xfId="0" applyNumberFormat="1" applyFont="1" applyFill="1" applyBorder="1" applyAlignment="1" applyProtection="1">
      <alignment horizontal="center" vertical="center"/>
      <protection locked="0"/>
    </xf>
    <xf numFmtId="164" fontId="4" fillId="0" borderId="110" xfId="0" applyNumberFormat="1" applyFont="1" applyFill="1" applyBorder="1" applyAlignment="1" applyProtection="1">
      <alignment horizontal="right" vertical="center"/>
      <protection locked="0"/>
    </xf>
    <xf numFmtId="164" fontId="13" fillId="0" borderId="84" xfId="0" applyNumberFormat="1" applyFont="1" applyFill="1" applyBorder="1" applyAlignment="1" applyProtection="1">
      <alignment horizontal="right" vertical="center"/>
      <protection locked="0"/>
    </xf>
    <xf numFmtId="164" fontId="14" fillId="0" borderId="27" xfId="0" applyNumberFormat="1" applyFont="1" applyFill="1" applyBorder="1" applyAlignment="1" applyProtection="1">
      <alignment horizontal="right" vertical="center"/>
      <protection locked="0"/>
    </xf>
    <xf numFmtId="164" fontId="4" fillId="0" borderId="116" xfId="0" applyNumberFormat="1" applyFont="1" applyFill="1" applyBorder="1" applyAlignment="1" applyProtection="1">
      <alignment horizontal="right" vertical="center"/>
      <protection locked="0"/>
    </xf>
    <xf numFmtId="1" fontId="10" fillId="0" borderId="48" xfId="0" applyNumberFormat="1" applyFont="1" applyFill="1" applyBorder="1" applyAlignment="1" applyProtection="1">
      <alignment horizontal="centerContinuous" vertical="center"/>
      <protection locked="0"/>
    </xf>
    <xf numFmtId="1" fontId="10" fillId="0" borderId="82" xfId="0" applyNumberFormat="1" applyFont="1" applyFill="1" applyBorder="1" applyAlignment="1" applyProtection="1">
      <alignment horizontal="left" vertical="center" wrapText="1"/>
      <protection locked="0"/>
    </xf>
    <xf numFmtId="3" fontId="4" fillId="0" borderId="39" xfId="0" applyNumberFormat="1" applyFont="1" applyFill="1" applyBorder="1" applyAlignment="1" applyProtection="1">
      <alignment horizontal="center" vertical="center"/>
      <protection locked="0"/>
    </xf>
    <xf numFmtId="3" fontId="4" fillId="0" borderId="38" xfId="0" applyNumberFormat="1" applyFont="1" applyFill="1" applyBorder="1" applyAlignment="1" applyProtection="1">
      <alignment horizontal="center" vertical="center"/>
      <protection locked="0"/>
    </xf>
    <xf numFmtId="3" fontId="4" fillId="0" borderId="39" xfId="0" applyNumberFormat="1" applyFont="1" applyFill="1" applyBorder="1" applyAlignment="1" applyProtection="1">
      <alignment horizontal="right" vertical="center"/>
      <protection locked="0"/>
    </xf>
    <xf numFmtId="3" fontId="4" fillId="0" borderId="48" xfId="0" applyNumberFormat="1" applyFont="1" applyFill="1" applyBorder="1" applyAlignment="1" applyProtection="1">
      <alignment horizontal="right" vertical="center"/>
      <protection locked="0"/>
    </xf>
    <xf numFmtId="164" fontId="4" fillId="0" borderId="81" xfId="0" applyNumberFormat="1" applyFont="1" applyFill="1" applyBorder="1" applyAlignment="1" applyProtection="1">
      <alignment horizontal="right" vertical="center"/>
      <protection locked="0"/>
    </xf>
    <xf numFmtId="1" fontId="8" fillId="0" borderId="101" xfId="0" applyNumberFormat="1" applyFont="1" applyFill="1" applyBorder="1" applyAlignment="1" applyProtection="1">
      <alignment horizontal="centerContinuous" vertical="center"/>
      <protection locked="0"/>
    </xf>
    <xf numFmtId="164" fontId="8" fillId="0" borderId="80" xfId="19" applyNumberFormat="1" applyFont="1" applyFill="1" applyBorder="1" applyAlignment="1" applyProtection="1">
      <alignment vertical="center" wrapText="1"/>
      <protection locked="0"/>
    </xf>
    <xf numFmtId="3" fontId="6" fillId="0" borderId="101" xfId="0" applyNumberFormat="1" applyFont="1" applyFill="1" applyBorder="1" applyAlignment="1" applyProtection="1">
      <alignment vertical="center"/>
      <protection locked="0"/>
    </xf>
    <xf numFmtId="3" fontId="6" fillId="0" borderId="34" xfId="0" applyNumberFormat="1" applyFont="1" applyFill="1" applyBorder="1" applyAlignment="1" applyProtection="1">
      <alignment vertical="center"/>
      <protection locked="0"/>
    </xf>
    <xf numFmtId="164" fontId="8" fillId="0" borderId="33" xfId="0" applyNumberFormat="1" applyFont="1" applyFill="1" applyBorder="1" applyAlignment="1" applyProtection="1">
      <alignment vertical="center"/>
      <protection locked="0"/>
    </xf>
    <xf numFmtId="164" fontId="4" fillId="0" borderId="33" xfId="0" applyNumberFormat="1" applyFont="1" applyFill="1" applyBorder="1" applyAlignment="1" applyProtection="1">
      <alignment vertical="center"/>
      <protection locked="0"/>
    </xf>
    <xf numFmtId="164" fontId="8" fillId="0" borderId="0" xfId="0" applyNumberFormat="1" applyFont="1" applyBorder="1" applyAlignment="1">
      <alignment/>
    </xf>
    <xf numFmtId="1" fontId="8" fillId="0" borderId="106" xfId="0" applyNumberFormat="1" applyFont="1" applyFill="1" applyBorder="1" applyAlignment="1" applyProtection="1">
      <alignment horizontal="centerContinuous" vertical="center"/>
      <protection locked="0"/>
    </xf>
    <xf numFmtId="164" fontId="8" fillId="0" borderId="115" xfId="19" applyNumberFormat="1" applyFont="1" applyFill="1" applyBorder="1" applyAlignment="1" applyProtection="1">
      <alignment horizontal="left" vertical="center" wrapText="1"/>
      <protection locked="0"/>
    </xf>
    <xf numFmtId="3" fontId="6" fillId="0" borderId="106" xfId="0" applyNumberFormat="1" applyFont="1" applyFill="1" applyBorder="1" applyAlignment="1" applyProtection="1">
      <alignment vertical="center"/>
      <protection locked="0"/>
    </xf>
    <xf numFmtId="164" fontId="13" fillId="0" borderId="27" xfId="0" applyNumberFormat="1" applyFont="1" applyFill="1" applyBorder="1" applyAlignment="1" applyProtection="1">
      <alignment horizontal="right" vertical="center"/>
      <protection locked="0"/>
    </xf>
    <xf numFmtId="3" fontId="6" fillId="0" borderId="75" xfId="0" applyNumberFormat="1" applyFont="1" applyFill="1" applyBorder="1" applyAlignment="1" applyProtection="1">
      <alignment vertical="center"/>
      <protection locked="0"/>
    </xf>
    <xf numFmtId="164" fontId="8" fillId="0" borderId="77" xfId="0" applyNumberFormat="1" applyFont="1" applyFill="1" applyBorder="1" applyAlignment="1" applyProtection="1">
      <alignment vertical="center"/>
      <protection locked="0"/>
    </xf>
    <xf numFmtId="164" fontId="4" fillId="0" borderId="77" xfId="0" applyNumberFormat="1" applyFont="1" applyFill="1" applyBorder="1" applyAlignment="1" applyProtection="1">
      <alignment vertical="center"/>
      <protection locked="0"/>
    </xf>
    <xf numFmtId="1" fontId="10" fillId="0" borderId="60" xfId="0" applyNumberFormat="1" applyFont="1" applyFill="1" applyBorder="1" applyAlignment="1" applyProtection="1">
      <alignment horizontal="centerContinuous" vertical="center"/>
      <protection locked="0"/>
    </xf>
    <xf numFmtId="164" fontId="10" fillId="0" borderId="50" xfId="19" applyNumberFormat="1" applyFont="1" applyFill="1" applyBorder="1" applyAlignment="1" applyProtection="1">
      <alignment horizontal="left" vertical="center" wrapText="1"/>
      <protection locked="0"/>
    </xf>
    <xf numFmtId="3" fontId="4" fillId="0" borderId="43" xfId="0" applyNumberFormat="1" applyFont="1" applyFill="1" applyBorder="1" applyAlignment="1" applyProtection="1">
      <alignment vertical="center"/>
      <protection locked="0"/>
    </xf>
    <xf numFmtId="164" fontId="10" fillId="0" borderId="41" xfId="0" applyNumberFormat="1" applyFont="1" applyFill="1" applyBorder="1" applyAlignment="1" applyProtection="1">
      <alignment vertical="center"/>
      <protection locked="0"/>
    </xf>
    <xf numFmtId="164" fontId="4" fillId="0" borderId="41" xfId="0" applyNumberFormat="1" applyFont="1" applyFill="1" applyBorder="1" applyAlignment="1" applyProtection="1">
      <alignment vertical="center"/>
      <protection locked="0"/>
    </xf>
    <xf numFmtId="3" fontId="4" fillId="0" borderId="60" xfId="0" applyNumberFormat="1" applyFont="1" applyFill="1" applyBorder="1" applyAlignment="1" applyProtection="1">
      <alignment horizontal="right" vertical="center"/>
      <protection locked="0"/>
    </xf>
    <xf numFmtId="3" fontId="4" fillId="0" borderId="6" xfId="0" applyNumberFormat="1" applyFont="1" applyFill="1" applyBorder="1" applyAlignment="1" applyProtection="1">
      <alignment horizontal="right" vertical="center"/>
      <protection locked="0"/>
    </xf>
    <xf numFmtId="164" fontId="4" fillId="0" borderId="59" xfId="0" applyNumberFormat="1" applyFont="1" applyFill="1" applyBorder="1" applyAlignment="1" applyProtection="1">
      <alignment horizontal="right" vertical="center"/>
      <protection locked="0"/>
    </xf>
    <xf numFmtId="164" fontId="10" fillId="0" borderId="50" xfId="19" applyNumberFormat="1" applyFont="1" applyFill="1" applyBorder="1" applyAlignment="1" applyProtection="1">
      <alignment vertical="center" wrapText="1"/>
      <protection locked="0"/>
    </xf>
    <xf numFmtId="3" fontId="4" fillId="0" borderId="96" xfId="0" applyNumberFormat="1" applyFont="1" applyFill="1" applyBorder="1" applyAlignment="1" applyProtection="1">
      <alignment vertical="center"/>
      <protection locked="0"/>
    </xf>
    <xf numFmtId="3" fontId="4" fillId="0" borderId="18" xfId="0" applyNumberFormat="1" applyFont="1" applyFill="1" applyBorder="1" applyAlignment="1" applyProtection="1">
      <alignment vertical="center"/>
      <protection locked="0"/>
    </xf>
    <xf numFmtId="164" fontId="4" fillId="0" borderId="59" xfId="0" applyNumberFormat="1" applyFont="1" applyFill="1" applyBorder="1" applyAlignment="1" applyProtection="1">
      <alignment vertical="center"/>
      <protection locked="0"/>
    </xf>
    <xf numFmtId="1" fontId="8" fillId="0" borderId="101" xfId="0" applyNumberFormat="1" applyFont="1" applyFill="1" applyBorder="1" applyAlignment="1" applyProtection="1">
      <alignment horizontal="centerContinuous" vertical="center"/>
      <protection locked="0"/>
    </xf>
    <xf numFmtId="164" fontId="8" fillId="0" borderId="80" xfId="19" applyNumberFormat="1" applyFont="1" applyFill="1" applyBorder="1" applyAlignment="1" applyProtection="1">
      <alignment vertical="center" wrapText="1"/>
      <protection locked="0"/>
    </xf>
    <xf numFmtId="164" fontId="77" fillId="0" borderId="110" xfId="0" applyNumberFormat="1" applyFont="1" applyFill="1" applyBorder="1" applyAlignment="1" applyProtection="1">
      <alignment horizontal="right" vertical="center"/>
      <protection locked="0"/>
    </xf>
    <xf numFmtId="164" fontId="77" fillId="0" borderId="33" xfId="0" applyNumberFormat="1" applyFont="1" applyFill="1" applyBorder="1" applyAlignment="1" applyProtection="1">
      <alignment horizontal="right" vertical="center"/>
      <protection locked="0"/>
    </xf>
    <xf numFmtId="3" fontId="6" fillId="0" borderId="34" xfId="0" applyNumberFormat="1" applyFont="1" applyFill="1" applyBorder="1" applyAlignment="1" applyProtection="1">
      <alignment vertical="center"/>
      <protection locked="0"/>
    </xf>
    <xf numFmtId="164" fontId="49" fillId="0" borderId="33" xfId="0" applyNumberFormat="1" applyFont="1" applyFill="1" applyBorder="1" applyAlignment="1" applyProtection="1">
      <alignment horizontal="right" vertical="center"/>
      <protection locked="0"/>
    </xf>
    <xf numFmtId="1" fontId="8" fillId="0" borderId="60" xfId="0" applyNumberFormat="1" applyFont="1" applyFill="1" applyBorder="1" applyAlignment="1" applyProtection="1">
      <alignment horizontal="centerContinuous" vertical="center"/>
      <protection locked="0"/>
    </xf>
    <xf numFmtId="164" fontId="8" fillId="0" borderId="50" xfId="19" applyNumberFormat="1" applyFont="1" applyFill="1" applyBorder="1" applyAlignment="1" applyProtection="1">
      <alignment vertical="center" wrapText="1"/>
      <protection locked="0"/>
    </xf>
    <xf numFmtId="3" fontId="6" fillId="0" borderId="60"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vertical="center"/>
      <protection locked="0"/>
    </xf>
    <xf numFmtId="3" fontId="6" fillId="0" borderId="43"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horizontal="right" vertical="center"/>
      <protection locked="0"/>
    </xf>
    <xf numFmtId="164" fontId="8" fillId="0" borderId="41" xfId="0" applyNumberFormat="1" applyFont="1" applyFill="1" applyBorder="1" applyAlignment="1" applyProtection="1">
      <alignment horizontal="right" vertical="center"/>
      <protection locked="0"/>
    </xf>
    <xf numFmtId="3" fontId="6" fillId="0" borderId="50" xfId="0" applyNumberFormat="1" applyFont="1" applyFill="1" applyBorder="1" applyAlignment="1" applyProtection="1">
      <alignment vertical="center"/>
      <protection locked="0"/>
    </xf>
    <xf numFmtId="164" fontId="6" fillId="0" borderId="41" xfId="0" applyNumberFormat="1" applyFont="1" applyFill="1" applyBorder="1" applyAlignment="1" applyProtection="1">
      <alignment vertical="center"/>
      <protection locked="0"/>
    </xf>
    <xf numFmtId="164" fontId="8" fillId="0" borderId="0" xfId="0" applyNumberFormat="1" applyFont="1" applyBorder="1" applyAlignment="1">
      <alignment/>
    </xf>
    <xf numFmtId="1" fontId="10" fillId="0" borderId="106" xfId="0" applyNumberFormat="1" applyFont="1" applyFill="1" applyBorder="1" applyAlignment="1" applyProtection="1">
      <alignment horizontal="centerContinuous" vertical="center"/>
      <protection locked="0"/>
    </xf>
    <xf numFmtId="164" fontId="10" fillId="0" borderId="115" xfId="19" applyNumberFormat="1" applyFont="1" applyFill="1" applyBorder="1" applyAlignment="1" applyProtection="1">
      <alignment vertical="center" wrapText="1"/>
      <protection locked="0"/>
    </xf>
    <xf numFmtId="3" fontId="4" fillId="0" borderId="106" xfId="0" applyNumberFormat="1" applyFont="1" applyFill="1" applyBorder="1" applyAlignment="1" applyProtection="1">
      <alignment vertical="center"/>
      <protection locked="0"/>
    </xf>
    <xf numFmtId="164" fontId="13" fillId="0" borderId="77" xfId="0" applyNumberFormat="1" applyFont="1" applyFill="1" applyBorder="1" applyAlignment="1" applyProtection="1">
      <alignment horizontal="right" vertical="center"/>
      <protection locked="0"/>
    </xf>
    <xf numFmtId="3" fontId="4" fillId="0" borderId="75" xfId="0" applyNumberFormat="1" applyFont="1" applyFill="1" applyBorder="1" applyAlignment="1" applyProtection="1">
      <alignment vertical="center"/>
      <protection locked="0"/>
    </xf>
    <xf numFmtId="3" fontId="4" fillId="0" borderId="9" xfId="0" applyNumberFormat="1" applyFont="1" applyFill="1" applyBorder="1" applyAlignment="1" applyProtection="1">
      <alignment vertical="center"/>
      <protection locked="0"/>
    </xf>
    <xf numFmtId="164" fontId="4" fillId="0" borderId="116" xfId="0" applyNumberFormat="1" applyFont="1" applyFill="1" applyBorder="1" applyAlignment="1" applyProtection="1">
      <alignment vertical="center"/>
      <protection locked="0"/>
    </xf>
    <xf numFmtId="1" fontId="8" fillId="0" borderId="106" xfId="0" applyNumberFormat="1" applyFont="1" applyFill="1" applyBorder="1" applyAlignment="1" applyProtection="1">
      <alignment horizontal="centerContinuous" vertical="center"/>
      <protection locked="0"/>
    </xf>
    <xf numFmtId="164" fontId="8" fillId="0" borderId="115" xfId="19" applyNumberFormat="1" applyFont="1" applyFill="1" applyBorder="1" applyAlignment="1" applyProtection="1">
      <alignment horizontal="left" vertical="center" wrapText="1"/>
      <protection locked="0"/>
    </xf>
    <xf numFmtId="3" fontId="6" fillId="0" borderId="75" xfId="0" applyNumberFormat="1" applyFont="1" applyFill="1" applyBorder="1" applyAlignment="1" applyProtection="1">
      <alignment horizontal="right" vertical="center"/>
      <protection locked="0"/>
    </xf>
    <xf numFmtId="164" fontId="8" fillId="0" borderId="77" xfId="0" applyNumberFormat="1" applyFont="1" applyFill="1" applyBorder="1" applyAlignment="1" applyProtection="1">
      <alignment horizontal="right" vertical="center"/>
      <protection locked="0"/>
    </xf>
    <xf numFmtId="164" fontId="49" fillId="0" borderId="77" xfId="0" applyNumberFormat="1" applyFont="1" applyFill="1" applyBorder="1" applyAlignment="1" applyProtection="1">
      <alignment horizontal="right" vertical="center"/>
      <protection locked="0"/>
    </xf>
    <xf numFmtId="3" fontId="4" fillId="0" borderId="43" xfId="0" applyNumberFormat="1" applyFont="1" applyFill="1" applyBorder="1" applyAlignment="1" applyProtection="1">
      <alignment horizontal="right" vertical="center"/>
      <protection locked="0"/>
    </xf>
    <xf numFmtId="164" fontId="10" fillId="0" borderId="41" xfId="0" applyNumberFormat="1" applyFont="1" applyFill="1" applyBorder="1" applyAlignment="1" applyProtection="1">
      <alignment horizontal="right" vertical="center"/>
      <protection locked="0"/>
    </xf>
    <xf numFmtId="3" fontId="4" fillId="0" borderId="61" xfId="0" applyNumberFormat="1" applyFont="1" applyFill="1" applyBorder="1" applyAlignment="1" applyProtection="1">
      <alignment vertical="center"/>
      <protection locked="0"/>
    </xf>
    <xf numFmtId="3" fontId="4" fillId="0" borderId="46" xfId="0" applyNumberFormat="1" applyFont="1" applyFill="1" applyBorder="1" applyAlignment="1" applyProtection="1">
      <alignment vertical="center"/>
      <protection locked="0"/>
    </xf>
    <xf numFmtId="3" fontId="6" fillId="0" borderId="75" xfId="0" applyNumberFormat="1" applyFont="1" applyFill="1" applyBorder="1" applyAlignment="1" applyProtection="1">
      <alignment horizontal="right" vertical="center"/>
      <protection locked="0"/>
    </xf>
    <xf numFmtId="164" fontId="4" fillId="0" borderId="77" xfId="0" applyNumberFormat="1" applyFont="1" applyFill="1" applyBorder="1" applyAlignment="1" applyProtection="1">
      <alignment horizontal="right" vertical="center"/>
      <protection locked="0"/>
    </xf>
    <xf numFmtId="164" fontId="10" fillId="0" borderId="82" xfId="19" applyNumberFormat="1" applyFont="1" applyFill="1" applyBorder="1" applyAlignment="1" applyProtection="1">
      <alignment horizontal="left" vertical="center" wrapText="1"/>
      <protection locked="0"/>
    </xf>
    <xf numFmtId="164" fontId="10" fillId="0" borderId="36" xfId="0" applyNumberFormat="1" applyFont="1" applyFill="1" applyBorder="1" applyAlignment="1" applyProtection="1">
      <alignment horizontal="right" vertical="center"/>
      <protection locked="0"/>
    </xf>
    <xf numFmtId="1" fontId="10" fillId="0" borderId="98" xfId="0" applyNumberFormat="1" applyFont="1" applyFill="1" applyBorder="1" applyAlignment="1" applyProtection="1">
      <alignment horizontal="centerContinuous" vertical="center"/>
      <protection locked="0"/>
    </xf>
    <xf numFmtId="164" fontId="10" fillId="0" borderId="85" xfId="19" applyNumberFormat="1" applyFont="1" applyFill="1" applyBorder="1" applyAlignment="1" applyProtection="1">
      <alignment vertical="center" wrapText="1"/>
      <protection locked="0"/>
    </xf>
    <xf numFmtId="3" fontId="4" fillId="0" borderId="98" xfId="0" applyNumberFormat="1" applyFont="1" applyFill="1" applyBorder="1" applyAlignment="1" applyProtection="1">
      <alignment vertical="center"/>
      <protection locked="0"/>
    </xf>
    <xf numFmtId="3" fontId="4" fillId="0" borderId="45" xfId="0" applyNumberFormat="1" applyFont="1" applyFill="1" applyBorder="1" applyAlignment="1" applyProtection="1">
      <alignment vertical="center"/>
      <protection locked="0"/>
    </xf>
    <xf numFmtId="3" fontId="4" fillId="0" borderId="46" xfId="0" applyNumberFormat="1" applyFont="1" applyFill="1" applyBorder="1" applyAlignment="1" applyProtection="1">
      <alignment horizontal="right" vertical="center"/>
      <protection locked="0"/>
    </xf>
    <xf numFmtId="164" fontId="10" fillId="0" borderId="27" xfId="0" applyNumberFormat="1" applyFont="1" applyFill="1" applyBorder="1" applyAlignment="1" applyProtection="1">
      <alignment horizontal="right" vertical="center"/>
      <protection locked="0"/>
    </xf>
    <xf numFmtId="164" fontId="4" fillId="0" borderId="27" xfId="0" applyNumberFormat="1" applyFont="1" applyFill="1" applyBorder="1" applyAlignment="1" applyProtection="1">
      <alignment vertical="center"/>
      <protection locked="0"/>
    </xf>
    <xf numFmtId="1" fontId="13" fillId="0" borderId="60" xfId="0" applyNumberFormat="1" applyFont="1" applyFill="1" applyBorder="1" applyAlignment="1" applyProtection="1">
      <alignment horizontal="centerContinuous" vertical="center"/>
      <protection locked="0"/>
    </xf>
    <xf numFmtId="0" fontId="13" fillId="0" borderId="50" xfId="0" applyFont="1" applyBorder="1" applyAlignment="1">
      <alignment horizontal="left" vertical="center" wrapText="1"/>
    </xf>
    <xf numFmtId="3" fontId="14" fillId="0" borderId="60" xfId="0" applyNumberFormat="1" applyFont="1" applyFill="1" applyBorder="1" applyAlignment="1" applyProtection="1">
      <alignment vertical="center"/>
      <protection locked="0"/>
    </xf>
    <xf numFmtId="3" fontId="14" fillId="0" borderId="6" xfId="0" applyNumberFormat="1" applyFont="1" applyFill="1" applyBorder="1" applyAlignment="1" applyProtection="1">
      <alignment vertical="center"/>
      <protection locked="0"/>
    </xf>
    <xf numFmtId="164" fontId="13" fillId="0" borderId="41" xfId="0" applyNumberFormat="1" applyFont="1" applyFill="1" applyBorder="1" applyAlignment="1" applyProtection="1">
      <alignment vertical="center"/>
      <protection locked="0"/>
    </xf>
    <xf numFmtId="3" fontId="14" fillId="0" borderId="43" xfId="0" applyNumberFormat="1" applyFont="1" applyFill="1" applyBorder="1" applyAlignment="1" applyProtection="1">
      <alignment vertical="center"/>
      <protection locked="0"/>
    </xf>
    <xf numFmtId="3" fontId="14" fillId="0" borderId="6" xfId="0" applyNumberFormat="1" applyFont="1" applyFill="1" applyBorder="1" applyAlignment="1" applyProtection="1">
      <alignment horizontal="right" vertical="center"/>
      <protection locked="0"/>
    </xf>
    <xf numFmtId="164" fontId="14" fillId="0" borderId="41" xfId="0" applyNumberFormat="1" applyFont="1" applyFill="1" applyBorder="1" applyAlignment="1" applyProtection="1">
      <alignment vertical="center"/>
      <protection locked="0"/>
    </xf>
    <xf numFmtId="164" fontId="14" fillId="0" borderId="59" xfId="0" applyNumberFormat="1" applyFont="1" applyFill="1" applyBorder="1" applyAlignment="1" applyProtection="1">
      <alignment vertical="center"/>
      <protection locked="0"/>
    </xf>
    <xf numFmtId="0" fontId="13" fillId="0" borderId="0" xfId="0" applyFont="1" applyBorder="1" applyAlignment="1">
      <alignment horizontal="left" vertical="center" wrapText="1"/>
    </xf>
    <xf numFmtId="0" fontId="8" fillId="0" borderId="119" xfId="0" applyFont="1" applyBorder="1" applyAlignment="1">
      <alignment horizontal="left" vertical="center" wrapText="1"/>
    </xf>
    <xf numFmtId="3" fontId="6" fillId="0" borderId="75" xfId="0" applyNumberFormat="1" applyFont="1" applyFill="1" applyBorder="1" applyAlignment="1" applyProtection="1">
      <alignment vertical="center"/>
      <protection locked="0"/>
    </xf>
    <xf numFmtId="164" fontId="6" fillId="0" borderId="77" xfId="0" applyNumberFormat="1" applyFont="1" applyFill="1" applyBorder="1" applyAlignment="1" applyProtection="1">
      <alignment vertical="center"/>
      <protection locked="0"/>
    </xf>
    <xf numFmtId="1" fontId="10" fillId="0" borderId="60" xfId="0" applyNumberFormat="1" applyFont="1" applyFill="1" applyBorder="1" applyAlignment="1" applyProtection="1">
      <alignment horizontal="centerContinuous" vertical="center"/>
      <protection locked="0"/>
    </xf>
    <xf numFmtId="0" fontId="10" fillId="0" borderId="0" xfId="0" applyFont="1" applyBorder="1" applyAlignment="1">
      <alignment horizontal="left" vertical="center" wrapText="1"/>
    </xf>
    <xf numFmtId="3" fontId="4" fillId="0" borderId="43" xfId="0" applyNumberFormat="1" applyFont="1" applyFill="1" applyBorder="1" applyAlignment="1" applyProtection="1">
      <alignment vertical="center"/>
      <protection locked="0"/>
    </xf>
    <xf numFmtId="164" fontId="4" fillId="0" borderId="41" xfId="0" applyNumberFormat="1" applyFont="1" applyFill="1" applyBorder="1" applyAlignment="1" applyProtection="1">
      <alignment vertical="center"/>
      <protection locked="0"/>
    </xf>
    <xf numFmtId="3" fontId="4" fillId="0" borderId="45" xfId="0" applyNumberFormat="1" applyFont="1" applyFill="1" applyBorder="1" applyAlignment="1" applyProtection="1">
      <alignment vertical="center"/>
      <protection locked="0"/>
    </xf>
    <xf numFmtId="3" fontId="4" fillId="0" borderId="46" xfId="0" applyNumberFormat="1" applyFont="1" applyFill="1" applyBorder="1" applyAlignment="1" applyProtection="1">
      <alignment horizontal="right" vertical="center"/>
      <protection locked="0"/>
    </xf>
    <xf numFmtId="164" fontId="4" fillId="0" borderId="27" xfId="0" applyNumberFormat="1" applyFont="1" applyFill="1" applyBorder="1" applyAlignment="1" applyProtection="1">
      <alignment vertical="center"/>
      <protection locked="0"/>
    </xf>
    <xf numFmtId="164" fontId="4" fillId="0" borderId="84" xfId="0" applyNumberFormat="1" applyFont="1" applyFill="1" applyBorder="1" applyAlignment="1" applyProtection="1">
      <alignment vertical="center"/>
      <protection locked="0"/>
    </xf>
    <xf numFmtId="3" fontId="8" fillId="0" borderId="115" xfId="19" applyNumberFormat="1" applyFont="1" applyFill="1" applyBorder="1" applyAlignment="1" applyProtection="1">
      <alignment vertical="center" wrapText="1"/>
      <protection locked="0"/>
    </xf>
    <xf numFmtId="1" fontId="8" fillId="0" borderId="60" xfId="0" applyNumberFormat="1" applyFont="1" applyFill="1" applyBorder="1" applyAlignment="1" applyProtection="1">
      <alignment horizontal="centerContinuous" vertical="center"/>
      <protection locked="0"/>
    </xf>
    <xf numFmtId="164" fontId="8" fillId="0" borderId="50" xfId="19" applyNumberFormat="1" applyFont="1" applyFill="1" applyBorder="1" applyAlignment="1" applyProtection="1">
      <alignment vertical="center" wrapText="1"/>
      <protection locked="0"/>
    </xf>
    <xf numFmtId="3" fontId="6" fillId="0" borderId="60"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vertical="center"/>
      <protection locked="0"/>
    </xf>
    <xf numFmtId="3" fontId="6" fillId="0" borderId="43" xfId="0" applyNumberFormat="1" applyFont="1" applyFill="1" applyBorder="1" applyAlignment="1" applyProtection="1">
      <alignment vertical="center"/>
      <protection locked="0"/>
    </xf>
    <xf numFmtId="164" fontId="8" fillId="0" borderId="41" xfId="0" applyNumberFormat="1" applyFont="1" applyFill="1" applyBorder="1" applyAlignment="1" applyProtection="1">
      <alignment vertical="center"/>
      <protection locked="0"/>
    </xf>
    <xf numFmtId="1" fontId="10" fillId="0" borderId="60" xfId="0" applyNumberFormat="1" applyFont="1" applyFill="1" applyBorder="1" applyAlignment="1" applyProtection="1">
      <alignment horizontal="center" vertical="center"/>
      <protection locked="0"/>
    </xf>
    <xf numFmtId="164" fontId="4" fillId="0" borderId="110" xfId="0" applyNumberFormat="1" applyFont="1" applyFill="1" applyBorder="1" applyAlignment="1" applyProtection="1">
      <alignment vertical="center"/>
      <protection locked="0"/>
    </xf>
    <xf numFmtId="164" fontId="8" fillId="0" borderId="115" xfId="19" applyNumberFormat="1" applyFont="1" applyFill="1" applyBorder="1" applyAlignment="1" applyProtection="1">
      <alignment vertical="center" wrapText="1"/>
      <protection locked="0"/>
    </xf>
    <xf numFmtId="3" fontId="6" fillId="0" borderId="100" xfId="0" applyNumberFormat="1" applyFont="1" applyFill="1" applyBorder="1" applyAlignment="1" applyProtection="1">
      <alignment vertical="center"/>
      <protection locked="0"/>
    </xf>
    <xf numFmtId="1" fontId="8" fillId="0" borderId="98" xfId="0" applyNumberFormat="1" applyFont="1" applyFill="1" applyBorder="1" applyAlignment="1" applyProtection="1">
      <alignment horizontal="centerContinuous" vertical="center"/>
      <protection locked="0"/>
    </xf>
    <xf numFmtId="164" fontId="8" fillId="0" borderId="85" xfId="19" applyNumberFormat="1" applyFont="1" applyFill="1" applyBorder="1" applyAlignment="1" applyProtection="1">
      <alignment vertical="center" wrapText="1"/>
      <protection locked="0"/>
    </xf>
    <xf numFmtId="3" fontId="6" fillId="0" borderId="98" xfId="0" applyNumberFormat="1" applyFont="1" applyFill="1" applyBorder="1" applyAlignment="1" applyProtection="1">
      <alignment vertical="center"/>
      <protection locked="0"/>
    </xf>
    <xf numFmtId="3" fontId="6" fillId="0" borderId="39" xfId="0" applyNumberFormat="1" applyFont="1" applyFill="1" applyBorder="1" applyAlignment="1" applyProtection="1">
      <alignment vertical="center"/>
      <protection locked="0"/>
    </xf>
    <xf numFmtId="3" fontId="6" fillId="0" borderId="104" xfId="0" applyNumberFormat="1" applyFont="1" applyFill="1" applyBorder="1" applyAlignment="1" applyProtection="1">
      <alignment vertical="center"/>
      <protection locked="0"/>
    </xf>
    <xf numFmtId="3" fontId="6" fillId="0" borderId="46" xfId="0" applyNumberFormat="1" applyFont="1" applyFill="1" applyBorder="1" applyAlignment="1" applyProtection="1">
      <alignment vertical="center"/>
      <protection locked="0"/>
    </xf>
    <xf numFmtId="3" fontId="6" fillId="0" borderId="45" xfId="0" applyNumberFormat="1" applyFont="1" applyFill="1" applyBorder="1" applyAlignment="1" applyProtection="1">
      <alignment vertical="center"/>
      <protection locked="0"/>
    </xf>
    <xf numFmtId="164" fontId="8" fillId="0" borderId="27" xfId="0" applyNumberFormat="1" applyFont="1" applyFill="1" applyBorder="1" applyAlignment="1" applyProtection="1">
      <alignment vertical="center"/>
      <protection locked="0"/>
    </xf>
    <xf numFmtId="164" fontId="4" fillId="0" borderId="84" xfId="0" applyNumberFormat="1" applyFont="1" applyFill="1" applyBorder="1" applyAlignment="1" applyProtection="1">
      <alignment vertical="center"/>
      <protection locked="0"/>
    </xf>
    <xf numFmtId="1" fontId="10" fillId="0" borderId="48" xfId="0" applyNumberFormat="1" applyFont="1" applyFill="1" applyBorder="1" applyAlignment="1" applyProtection="1">
      <alignment horizontal="centerContinuous" vertical="center"/>
      <protection locked="0"/>
    </xf>
    <xf numFmtId="164" fontId="10" fillId="0" borderId="82" xfId="19" applyNumberFormat="1" applyFont="1" applyFill="1" applyBorder="1" applyAlignment="1" applyProtection="1">
      <alignment vertical="center" wrapText="1"/>
      <protection locked="0"/>
    </xf>
    <xf numFmtId="3" fontId="4" fillId="0" borderId="38" xfId="0" applyNumberFormat="1" applyFont="1" applyFill="1" applyBorder="1" applyAlignment="1" applyProtection="1">
      <alignment vertical="center"/>
      <protection locked="0"/>
    </xf>
    <xf numFmtId="164" fontId="10" fillId="0" borderId="36" xfId="0" applyNumberFormat="1" applyFont="1" applyFill="1" applyBorder="1" applyAlignment="1" applyProtection="1">
      <alignment vertical="center"/>
      <protection locked="0"/>
    </xf>
    <xf numFmtId="164" fontId="4" fillId="0" borderId="36" xfId="0" applyNumberFormat="1" applyFont="1" applyFill="1" applyBorder="1" applyAlignment="1" applyProtection="1">
      <alignment vertical="center"/>
      <protection locked="0"/>
    </xf>
    <xf numFmtId="1" fontId="10" fillId="0" borderId="98" xfId="0" applyNumberFormat="1" applyFont="1" applyFill="1" applyBorder="1" applyAlignment="1" applyProtection="1">
      <alignment horizontal="centerContinuous" vertical="center"/>
      <protection locked="0"/>
    </xf>
    <xf numFmtId="164" fontId="10" fillId="0" borderId="27" xfId="19" applyNumberFormat="1" applyFont="1" applyFill="1" applyBorder="1" applyAlignment="1" applyProtection="1">
      <alignment vertical="center" wrapText="1"/>
      <protection locked="0"/>
    </xf>
    <xf numFmtId="164" fontId="10" fillId="0" borderId="82" xfId="19" applyNumberFormat="1" applyFont="1" applyFill="1" applyBorder="1" applyAlignment="1" applyProtection="1">
      <alignment vertical="center" wrapText="1"/>
      <protection locked="0"/>
    </xf>
    <xf numFmtId="3" fontId="4" fillId="0" borderId="38" xfId="0" applyNumberFormat="1" applyFont="1" applyFill="1" applyBorder="1" applyAlignment="1" applyProtection="1">
      <alignment vertical="center"/>
      <protection locked="0"/>
    </xf>
    <xf numFmtId="164" fontId="4" fillId="0" borderId="36" xfId="0" applyNumberFormat="1" applyFont="1" applyFill="1" applyBorder="1" applyAlignment="1" applyProtection="1">
      <alignment vertical="center"/>
      <protection locked="0"/>
    </xf>
    <xf numFmtId="164" fontId="4" fillId="0" borderId="81" xfId="0" applyNumberFormat="1" applyFont="1" applyFill="1" applyBorder="1" applyAlignment="1" applyProtection="1">
      <alignment vertical="center"/>
      <protection locked="0"/>
    </xf>
    <xf numFmtId="164" fontId="10" fillId="0" borderId="27" xfId="0" applyNumberFormat="1" applyFont="1" applyFill="1" applyBorder="1" applyAlignment="1" applyProtection="1">
      <alignment vertical="center"/>
      <protection locked="0"/>
    </xf>
    <xf numFmtId="1" fontId="8" fillId="0" borderId="98" xfId="0" applyNumberFormat="1" applyFont="1" applyFill="1" applyBorder="1" applyAlignment="1" applyProtection="1">
      <alignment horizontal="centerContinuous" vertical="center"/>
      <protection locked="0"/>
    </xf>
    <xf numFmtId="164" fontId="8" fillId="0" borderId="85" xfId="19" applyNumberFormat="1" applyFont="1" applyFill="1" applyBorder="1" applyAlignment="1" applyProtection="1">
      <alignment vertical="center" wrapText="1"/>
      <protection locked="0"/>
    </xf>
    <xf numFmtId="3" fontId="6" fillId="0" borderId="45" xfId="0" applyNumberFormat="1" applyFont="1" applyFill="1" applyBorder="1" applyAlignment="1" applyProtection="1">
      <alignment vertical="center"/>
      <protection locked="0"/>
    </xf>
    <xf numFmtId="164" fontId="6" fillId="0" borderId="27" xfId="0" applyNumberFormat="1" applyFont="1" applyFill="1" applyBorder="1" applyAlignment="1" applyProtection="1">
      <alignment vertical="center"/>
      <protection locked="0"/>
    </xf>
    <xf numFmtId="164" fontId="6" fillId="0" borderId="84" xfId="0" applyNumberFormat="1" applyFont="1" applyFill="1" applyBorder="1" applyAlignment="1" applyProtection="1">
      <alignment vertical="center"/>
      <protection locked="0"/>
    </xf>
    <xf numFmtId="1" fontId="13" fillId="0" borderId="60" xfId="0" applyNumberFormat="1" applyFont="1" applyFill="1" applyBorder="1" applyAlignment="1" applyProtection="1">
      <alignment horizontal="centerContinuous" vertical="center"/>
      <protection locked="0"/>
    </xf>
    <xf numFmtId="164" fontId="13" fillId="0" borderId="50" xfId="19" applyNumberFormat="1" applyFont="1" applyFill="1" applyBorder="1" applyAlignment="1" applyProtection="1">
      <alignment vertical="center" wrapText="1"/>
      <protection locked="0"/>
    </xf>
    <xf numFmtId="3" fontId="14" fillId="0" borderId="60" xfId="0" applyNumberFormat="1" applyFont="1" applyFill="1" applyBorder="1" applyAlignment="1" applyProtection="1">
      <alignment vertical="center"/>
      <protection locked="0"/>
    </xf>
    <xf numFmtId="3" fontId="14" fillId="0" borderId="6" xfId="0" applyNumberFormat="1" applyFont="1" applyFill="1" applyBorder="1" applyAlignment="1" applyProtection="1">
      <alignment vertical="center"/>
      <protection locked="0"/>
    </xf>
    <xf numFmtId="3" fontId="14" fillId="0" borderId="43" xfId="0" applyNumberFormat="1" applyFont="1" applyFill="1" applyBorder="1" applyAlignment="1" applyProtection="1">
      <alignment vertical="center"/>
      <protection locked="0"/>
    </xf>
    <xf numFmtId="164" fontId="14" fillId="0" borderId="41" xfId="0" applyNumberFormat="1" applyFont="1" applyFill="1" applyBorder="1" applyAlignment="1" applyProtection="1">
      <alignment vertical="center"/>
      <protection locked="0"/>
    </xf>
    <xf numFmtId="164" fontId="14" fillId="0" borderId="59" xfId="0" applyNumberFormat="1" applyFont="1" applyFill="1" applyBorder="1" applyAlignment="1" applyProtection="1">
      <alignment vertical="center"/>
      <protection locked="0"/>
    </xf>
    <xf numFmtId="164" fontId="13" fillId="0" borderId="0" xfId="0" applyNumberFormat="1" applyFont="1" applyBorder="1" applyAlignment="1">
      <alignment/>
    </xf>
    <xf numFmtId="1" fontId="8" fillId="0" borderId="114" xfId="0" applyNumberFormat="1" applyFont="1" applyFill="1" applyBorder="1" applyAlignment="1" applyProtection="1">
      <alignment horizontal="centerContinuous" vertical="center"/>
      <protection locked="0"/>
    </xf>
    <xf numFmtId="164" fontId="8" fillId="0" borderId="124" xfId="19" applyNumberFormat="1" applyFont="1" applyFill="1" applyBorder="1" applyAlignment="1" applyProtection="1">
      <alignment vertical="center" wrapText="1"/>
      <protection locked="0"/>
    </xf>
    <xf numFmtId="164" fontId="77" fillId="0" borderId="31" xfId="0" applyNumberFormat="1" applyFont="1" applyFill="1" applyBorder="1" applyAlignment="1" applyProtection="1">
      <alignment horizontal="right" vertical="center"/>
      <protection locked="0"/>
    </xf>
    <xf numFmtId="3" fontId="6" fillId="0" borderId="29" xfId="0" applyNumberFormat="1" applyFont="1" applyFill="1" applyBorder="1" applyAlignment="1" applyProtection="1">
      <alignment vertical="center"/>
      <protection locked="0"/>
    </xf>
    <xf numFmtId="164" fontId="8" fillId="0" borderId="31" xfId="0" applyNumberFormat="1" applyFont="1" applyFill="1" applyBorder="1" applyAlignment="1" applyProtection="1">
      <alignment vertical="center"/>
      <protection locked="0"/>
    </xf>
    <xf numFmtId="164" fontId="49" fillId="0" borderId="31" xfId="0" applyNumberFormat="1" applyFont="1" applyFill="1" applyBorder="1" applyAlignment="1" applyProtection="1">
      <alignment horizontal="right" vertical="center"/>
      <protection locked="0"/>
    </xf>
    <xf numFmtId="1" fontId="10" fillId="0" borderId="50" xfId="0" applyNumberFormat="1" applyFont="1" applyFill="1" applyBorder="1" applyAlignment="1" applyProtection="1">
      <alignment horizontal="left" vertical="center" wrapText="1"/>
      <protection locked="0"/>
    </xf>
    <xf numFmtId="3" fontId="4" fillId="0" borderId="61" xfId="0" applyNumberFormat="1" applyFont="1" applyFill="1" applyBorder="1" applyAlignment="1" applyProtection="1">
      <alignment vertical="center"/>
      <protection locked="0"/>
    </xf>
    <xf numFmtId="164" fontId="14" fillId="0" borderId="41" xfId="0" applyNumberFormat="1" applyFont="1" applyFill="1" applyBorder="1" applyAlignment="1" applyProtection="1">
      <alignment horizontal="right" vertical="center"/>
      <protection locked="0"/>
    </xf>
    <xf numFmtId="164" fontId="10" fillId="0" borderId="50" xfId="19" applyNumberFormat="1" applyFont="1" applyFill="1" applyBorder="1" applyAlignment="1" applyProtection="1">
      <alignment vertical="center" wrapText="1"/>
      <protection locked="0"/>
    </xf>
    <xf numFmtId="164" fontId="10" fillId="0" borderId="77" xfId="0" applyNumberFormat="1" applyFont="1" applyFill="1" applyBorder="1" applyAlignment="1" applyProtection="1">
      <alignment vertical="center"/>
      <protection locked="0"/>
    </xf>
    <xf numFmtId="164" fontId="8" fillId="0" borderId="115" xfId="19" applyNumberFormat="1" applyFont="1" applyFill="1" applyBorder="1" applyAlignment="1" applyProtection="1">
      <alignment vertical="center" wrapText="1"/>
      <protection locked="0"/>
    </xf>
    <xf numFmtId="3" fontId="6" fillId="0" borderId="119" xfId="0" applyNumberFormat="1" applyFont="1" applyFill="1" applyBorder="1" applyAlignment="1" applyProtection="1">
      <alignment vertical="center"/>
      <protection locked="0"/>
    </xf>
    <xf numFmtId="3" fontId="4" fillId="0" borderId="0" xfId="0" applyNumberFormat="1" applyFont="1" applyFill="1" applyBorder="1" applyAlignment="1" applyProtection="1">
      <alignment vertical="center"/>
      <protection locked="0"/>
    </xf>
    <xf numFmtId="3" fontId="4" fillId="0" borderId="18" xfId="0" applyNumberFormat="1" applyFont="1" applyFill="1" applyBorder="1" applyAlignment="1" applyProtection="1">
      <alignment vertical="center"/>
      <protection locked="0"/>
    </xf>
    <xf numFmtId="3" fontId="6" fillId="0" borderId="102" xfId="0" applyNumberFormat="1" applyFont="1" applyFill="1" applyBorder="1" applyAlignment="1" applyProtection="1">
      <alignment vertical="center"/>
      <protection locked="0"/>
    </xf>
    <xf numFmtId="164" fontId="77" fillId="0" borderId="27" xfId="0" applyNumberFormat="1" applyFont="1" applyFill="1" applyBorder="1" applyAlignment="1" applyProtection="1">
      <alignment horizontal="right" vertical="center"/>
      <protection locked="0"/>
    </xf>
    <xf numFmtId="164" fontId="14" fillId="0" borderId="59"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vertical="center"/>
      <protection locked="0"/>
    </xf>
    <xf numFmtId="164" fontId="87" fillId="0" borderId="41" xfId="0" applyNumberFormat="1" applyFont="1" applyFill="1" applyBorder="1" applyAlignment="1" applyProtection="1">
      <alignment horizontal="right" vertical="center"/>
      <protection locked="0"/>
    </xf>
    <xf numFmtId="1" fontId="77" fillId="0" borderId="60" xfId="0" applyNumberFormat="1" applyFont="1" applyFill="1" applyBorder="1" applyAlignment="1" applyProtection="1">
      <alignment horizontal="centerContinuous" vertical="center"/>
      <protection locked="0"/>
    </xf>
    <xf numFmtId="164" fontId="77" fillId="0" borderId="50" xfId="19" applyNumberFormat="1" applyFont="1" applyFill="1" applyBorder="1" applyAlignment="1" applyProtection="1">
      <alignment vertical="center" wrapText="1"/>
      <protection locked="0"/>
    </xf>
    <xf numFmtId="3" fontId="49" fillId="0" borderId="60" xfId="0" applyNumberFormat="1" applyFont="1" applyFill="1" applyBorder="1" applyAlignment="1" applyProtection="1">
      <alignment vertical="center"/>
      <protection locked="0"/>
    </xf>
    <xf numFmtId="3" fontId="49" fillId="0" borderId="6" xfId="0" applyNumberFormat="1" applyFont="1" applyFill="1" applyBorder="1" applyAlignment="1" applyProtection="1">
      <alignment vertical="center"/>
      <protection locked="0"/>
    </xf>
    <xf numFmtId="3" fontId="49" fillId="0" borderId="43" xfId="0" applyNumberFormat="1" applyFont="1" applyFill="1" applyBorder="1" applyAlignment="1" applyProtection="1">
      <alignment vertical="center"/>
      <protection locked="0"/>
    </xf>
    <xf numFmtId="164" fontId="77" fillId="0" borderId="41" xfId="0" applyNumberFormat="1" applyFont="1" applyFill="1" applyBorder="1" applyAlignment="1" applyProtection="1">
      <alignment vertical="center"/>
      <protection locked="0"/>
    </xf>
    <xf numFmtId="3" fontId="4" fillId="0" borderId="46" xfId="0" applyNumberFormat="1" applyFont="1" applyBorder="1" applyAlignment="1">
      <alignment/>
    </xf>
    <xf numFmtId="3" fontId="4" fillId="0" borderId="45" xfId="0" applyNumberFormat="1" applyFont="1" applyBorder="1" applyAlignment="1">
      <alignment/>
    </xf>
    <xf numFmtId="164" fontId="4" fillId="0" borderId="27" xfId="0" applyNumberFormat="1" applyFont="1" applyBorder="1" applyAlignment="1">
      <alignment/>
    </xf>
    <xf numFmtId="3" fontId="4" fillId="0" borderId="98" xfId="0" applyNumberFormat="1" applyFont="1" applyBorder="1" applyAlignment="1">
      <alignment/>
    </xf>
    <xf numFmtId="164" fontId="4" fillId="0" borderId="84" xfId="0" applyNumberFormat="1" applyFont="1" applyBorder="1" applyAlignment="1">
      <alignment/>
    </xf>
    <xf numFmtId="164" fontId="8" fillId="0" borderId="115" xfId="0" applyNumberFormat="1" applyFont="1" applyBorder="1" applyAlignment="1">
      <alignment vertical="center" wrapText="1"/>
    </xf>
    <xf numFmtId="164" fontId="13" fillId="0" borderId="50" xfId="19" applyNumberFormat="1" applyFont="1" applyFill="1" applyBorder="1" applyAlignment="1" applyProtection="1">
      <alignment vertical="center" wrapText="1"/>
      <protection locked="0"/>
    </xf>
    <xf numFmtId="3" fontId="13" fillId="0" borderId="60" xfId="0" applyNumberFormat="1" applyFont="1" applyFill="1" applyBorder="1" applyAlignment="1" applyProtection="1">
      <alignment vertical="center"/>
      <protection locked="0"/>
    </xf>
    <xf numFmtId="3" fontId="10" fillId="0" borderId="6" xfId="0" applyNumberFormat="1" applyFont="1" applyFill="1" applyBorder="1" applyAlignment="1" applyProtection="1">
      <alignment vertical="center"/>
      <protection locked="0"/>
    </xf>
    <xf numFmtId="3" fontId="13" fillId="0" borderId="6" xfId="0" applyNumberFormat="1" applyFont="1" applyFill="1" applyBorder="1" applyAlignment="1" applyProtection="1">
      <alignment vertical="center"/>
      <protection locked="0"/>
    </xf>
    <xf numFmtId="3" fontId="13" fillId="0" borderId="43" xfId="0" applyNumberFormat="1" applyFont="1" applyFill="1" applyBorder="1" applyAlignment="1" applyProtection="1">
      <alignment vertical="center"/>
      <protection locked="0"/>
    </xf>
    <xf numFmtId="164" fontId="13" fillId="0" borderId="59" xfId="0" applyNumberFormat="1" applyFont="1" applyFill="1" applyBorder="1" applyAlignment="1" applyProtection="1">
      <alignment vertical="center"/>
      <protection locked="0"/>
    </xf>
    <xf numFmtId="3" fontId="10" fillId="0" borderId="60" xfId="0" applyNumberFormat="1" applyFont="1" applyFill="1" applyBorder="1" applyAlignment="1" applyProtection="1">
      <alignment vertical="center"/>
      <protection locked="0"/>
    </xf>
    <xf numFmtId="3" fontId="10" fillId="0" borderId="43" xfId="0" applyNumberFormat="1" applyFont="1" applyFill="1" applyBorder="1" applyAlignment="1" applyProtection="1">
      <alignment vertical="center"/>
      <protection locked="0"/>
    </xf>
    <xf numFmtId="164" fontId="10" fillId="0" borderId="59" xfId="0" applyNumberFormat="1" applyFont="1" applyFill="1" applyBorder="1" applyAlignment="1" applyProtection="1">
      <alignment vertical="center"/>
      <protection locked="0"/>
    </xf>
    <xf numFmtId="1" fontId="8" fillId="0" borderId="106" xfId="0" applyNumberFormat="1" applyFont="1" applyBorder="1" applyAlignment="1">
      <alignment horizontal="centerContinuous" vertical="center"/>
    </xf>
    <xf numFmtId="164" fontId="14" fillId="0" borderId="77" xfId="0" applyNumberFormat="1" applyFont="1" applyFill="1" applyBorder="1" applyAlignment="1" applyProtection="1">
      <alignment vertical="center"/>
      <protection locked="0"/>
    </xf>
    <xf numFmtId="164" fontId="8" fillId="0" borderId="0" xfId="0" applyNumberFormat="1" applyFont="1" applyBorder="1" applyAlignment="1">
      <alignment vertical="center"/>
    </xf>
    <xf numFmtId="1" fontId="10" fillId="0" borderId="60" xfId="0" applyNumberFormat="1" applyFont="1" applyBorder="1" applyAlignment="1">
      <alignment horizontal="centerContinuous" vertical="center"/>
    </xf>
    <xf numFmtId="1" fontId="10" fillId="0" borderId="98" xfId="0" applyNumberFormat="1" applyFont="1" applyBorder="1" applyAlignment="1">
      <alignment horizontal="centerContinuous" vertical="center"/>
    </xf>
    <xf numFmtId="3" fontId="4" fillId="0" borderId="87" xfId="0" applyNumberFormat="1" applyFont="1" applyFill="1" applyBorder="1" applyAlignment="1" applyProtection="1">
      <alignment vertical="center"/>
      <protection locked="0"/>
    </xf>
    <xf numFmtId="1" fontId="8" fillId="0" borderId="106" xfId="0" applyNumberFormat="1" applyFont="1" applyBorder="1" applyAlignment="1">
      <alignment horizontal="centerContinuous" vertical="center"/>
    </xf>
    <xf numFmtId="1" fontId="10" fillId="0" borderId="48" xfId="0" applyNumberFormat="1" applyFont="1" applyBorder="1" applyAlignment="1">
      <alignment horizontal="centerContinuous" vertical="center"/>
    </xf>
    <xf numFmtId="164" fontId="14" fillId="0" borderId="36" xfId="0" applyNumberFormat="1" applyFont="1" applyFill="1" applyBorder="1" applyAlignment="1" applyProtection="1">
      <alignment horizontal="right" vertical="center"/>
      <protection locked="0"/>
    </xf>
    <xf numFmtId="164" fontId="10" fillId="0" borderId="0" xfId="0" applyNumberFormat="1" applyFont="1" applyBorder="1" applyAlignment="1">
      <alignment vertical="center"/>
    </xf>
    <xf numFmtId="1" fontId="8" fillId="0" borderId="98" xfId="0" applyNumberFormat="1" applyFont="1" applyBorder="1" applyAlignment="1">
      <alignment horizontal="centerContinuous" vertical="center"/>
    </xf>
    <xf numFmtId="1" fontId="10" fillId="0" borderId="48" xfId="0" applyNumberFormat="1" applyFont="1" applyFill="1" applyBorder="1" applyAlignment="1" applyProtection="1">
      <alignment horizontal="center" vertical="center"/>
      <protection locked="0"/>
    </xf>
    <xf numFmtId="164" fontId="10" fillId="0" borderId="33" xfId="0" applyNumberFormat="1" applyFont="1" applyFill="1" applyBorder="1" applyAlignment="1" applyProtection="1">
      <alignment vertical="center"/>
      <protection locked="0"/>
    </xf>
    <xf numFmtId="164" fontId="6" fillId="0" borderId="33" xfId="0" applyNumberFormat="1" applyFont="1" applyFill="1" applyBorder="1" applyAlignment="1" applyProtection="1">
      <alignment vertical="center"/>
      <protection locked="0"/>
    </xf>
    <xf numFmtId="164" fontId="77" fillId="0" borderId="109" xfId="0" applyNumberFormat="1" applyFont="1" applyFill="1" applyBorder="1" applyAlignment="1" applyProtection="1">
      <alignment horizontal="right" vertical="center"/>
      <protection locked="0"/>
    </xf>
    <xf numFmtId="164" fontId="6" fillId="0" borderId="31" xfId="0" applyNumberFormat="1" applyFont="1" applyFill="1" applyBorder="1" applyAlignment="1" applyProtection="1">
      <alignment vertical="center"/>
      <protection locked="0"/>
    </xf>
    <xf numFmtId="164" fontId="6" fillId="0" borderId="109" xfId="0" applyNumberFormat="1" applyFont="1" applyFill="1" applyBorder="1" applyAlignment="1" applyProtection="1">
      <alignment vertical="center"/>
      <protection locked="0"/>
    </xf>
    <xf numFmtId="1" fontId="8" fillId="0" borderId="114" xfId="0" applyNumberFormat="1" applyFont="1" applyFill="1" applyBorder="1" applyAlignment="1" applyProtection="1">
      <alignment horizontal="centerContinuous" vertical="center"/>
      <protection locked="0"/>
    </xf>
    <xf numFmtId="164" fontId="8" fillId="0" borderId="124" xfId="19" applyNumberFormat="1" applyFont="1" applyFill="1" applyBorder="1" applyAlignment="1" applyProtection="1">
      <alignment vertical="center" wrapText="1"/>
      <protection locked="0"/>
    </xf>
    <xf numFmtId="3" fontId="6" fillId="0" borderId="114"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164" fontId="10" fillId="0" borderId="85" xfId="19" applyNumberFormat="1" applyFont="1" applyFill="1" applyBorder="1" applyAlignment="1" applyProtection="1">
      <alignment vertical="center" wrapText="1"/>
      <protection locked="0"/>
    </xf>
    <xf numFmtId="3" fontId="0" fillId="0" borderId="0" xfId="0" applyNumberFormat="1" applyFont="1" applyAlignment="1">
      <alignment/>
    </xf>
    <xf numFmtId="3" fontId="0" fillId="0" borderId="0" xfId="0" applyNumberFormat="1" applyFont="1" applyBorder="1" applyAlignment="1">
      <alignment/>
    </xf>
    <xf numFmtId="3" fontId="4" fillId="0" borderId="6" xfId="0" applyNumberFormat="1" applyFont="1" applyBorder="1" applyAlignment="1">
      <alignment vertical="center"/>
    </xf>
    <xf numFmtId="3" fontId="0" fillId="0" borderId="87" xfId="0" applyNumberFormat="1" applyFont="1" applyBorder="1" applyAlignment="1">
      <alignment/>
    </xf>
    <xf numFmtId="3" fontId="4" fillId="0" borderId="98" xfId="0" applyNumberFormat="1" applyFont="1" applyFill="1" applyBorder="1" applyAlignment="1" applyProtection="1">
      <alignment horizontal="right" vertical="center"/>
      <protection locked="0"/>
    </xf>
    <xf numFmtId="3" fontId="4" fillId="0" borderId="45" xfId="0" applyNumberFormat="1" applyFont="1" applyFill="1" applyBorder="1" applyAlignment="1" applyProtection="1">
      <alignment horizontal="right" vertical="center"/>
      <protection locked="0"/>
    </xf>
    <xf numFmtId="164" fontId="4" fillId="0" borderId="27" xfId="0" applyNumberFormat="1" applyFont="1" applyFill="1" applyBorder="1" applyAlignment="1" applyProtection="1">
      <alignment horizontal="right" vertical="center"/>
      <protection locked="0"/>
    </xf>
    <xf numFmtId="164" fontId="4" fillId="0" borderId="84" xfId="0" applyNumberFormat="1" applyFont="1" applyFill="1" applyBorder="1" applyAlignment="1" applyProtection="1">
      <alignment horizontal="right" vertical="center"/>
      <protection locked="0"/>
    </xf>
    <xf numFmtId="164" fontId="4" fillId="0" borderId="41" xfId="0" applyNumberFormat="1" applyFont="1" applyFill="1" applyBorder="1" applyAlignment="1" applyProtection="1">
      <alignment horizontal="right" vertical="center"/>
      <protection locked="0"/>
    </xf>
    <xf numFmtId="164" fontId="6" fillId="0" borderId="77" xfId="0" applyNumberFormat="1" applyFont="1" applyFill="1" applyBorder="1" applyAlignment="1" applyProtection="1">
      <alignment horizontal="right" vertical="center"/>
      <protection locked="0"/>
    </xf>
    <xf numFmtId="164" fontId="8" fillId="0" borderId="80" xfId="19" applyNumberFormat="1" applyFont="1" applyFill="1" applyBorder="1" applyAlignment="1" applyProtection="1">
      <alignment horizontal="left" vertical="center" wrapText="1"/>
      <protection locked="0"/>
    </xf>
    <xf numFmtId="3" fontId="6" fillId="0" borderId="12" xfId="0" applyNumberFormat="1" applyFont="1" applyFill="1" applyBorder="1" applyAlignment="1" applyProtection="1">
      <alignment horizontal="right" vertical="center"/>
      <protection locked="0"/>
    </xf>
    <xf numFmtId="3" fontId="6" fillId="0" borderId="34" xfId="0" applyNumberFormat="1" applyFont="1" applyFill="1" applyBorder="1" applyAlignment="1" applyProtection="1">
      <alignment horizontal="right" vertical="center"/>
      <protection locked="0"/>
    </xf>
    <xf numFmtId="164" fontId="6" fillId="0" borderId="33" xfId="0" applyNumberFormat="1" applyFont="1" applyFill="1" applyBorder="1" applyAlignment="1" applyProtection="1">
      <alignment horizontal="right" vertical="center"/>
      <protection locked="0"/>
    </xf>
    <xf numFmtId="3" fontId="6" fillId="0" borderId="101" xfId="0" applyNumberFormat="1" applyFont="1" applyFill="1" applyBorder="1" applyAlignment="1" applyProtection="1">
      <alignment horizontal="right" vertical="center"/>
      <protection locked="0"/>
    </xf>
    <xf numFmtId="164" fontId="6" fillId="0" borderId="110" xfId="0" applyNumberFormat="1" applyFont="1" applyFill="1" applyBorder="1" applyAlignment="1" applyProtection="1">
      <alignment horizontal="right" vertical="center"/>
      <protection locked="0"/>
    </xf>
    <xf numFmtId="164" fontId="77" fillId="0" borderId="84" xfId="0" applyNumberFormat="1" applyFont="1" applyFill="1" applyBorder="1" applyAlignment="1" applyProtection="1">
      <alignment horizontal="right" vertical="center"/>
      <protection locked="0"/>
    </xf>
    <xf numFmtId="164" fontId="49" fillId="0" borderId="27" xfId="0" applyNumberFormat="1" applyFont="1" applyFill="1" applyBorder="1" applyAlignment="1" applyProtection="1">
      <alignment horizontal="right" vertical="center"/>
      <protection locked="0"/>
    </xf>
    <xf numFmtId="3" fontId="10" fillId="0" borderId="6" xfId="0" applyNumberFormat="1" applyFont="1" applyFill="1" applyBorder="1" applyAlignment="1" applyProtection="1">
      <alignment horizontal="right" vertical="center"/>
      <protection locked="0"/>
    </xf>
    <xf numFmtId="164" fontId="4" fillId="0" borderId="33" xfId="0" applyNumberFormat="1" applyFont="1" applyFill="1" applyBorder="1" applyAlignment="1" applyProtection="1">
      <alignment vertical="center"/>
      <protection locked="0"/>
    </xf>
    <xf numFmtId="3" fontId="6" fillId="0" borderId="29" xfId="0" applyNumberFormat="1" applyFont="1" applyFill="1" applyBorder="1" applyAlignment="1" applyProtection="1">
      <alignment vertical="center"/>
      <protection locked="0"/>
    </xf>
    <xf numFmtId="164" fontId="4" fillId="0" borderId="31" xfId="0" applyNumberFormat="1" applyFont="1" applyFill="1" applyBorder="1" applyAlignment="1" applyProtection="1">
      <alignment vertical="center"/>
      <protection locked="0"/>
    </xf>
    <xf numFmtId="164" fontId="4" fillId="0" borderId="109" xfId="0" applyNumberFormat="1" applyFont="1" applyFill="1" applyBorder="1" applyAlignment="1" applyProtection="1">
      <alignment vertical="center"/>
      <protection locked="0"/>
    </xf>
    <xf numFmtId="0" fontId="10" fillId="0" borderId="98" xfId="0" applyNumberFormat="1" applyFont="1" applyFill="1" applyBorder="1" applyAlignment="1" applyProtection="1">
      <alignment horizontal="centerContinuous" vertical="center"/>
      <protection locked="0"/>
    </xf>
    <xf numFmtId="0" fontId="87" fillId="0" borderId="60" xfId="0" applyNumberFormat="1" applyFont="1" applyFill="1" applyBorder="1" applyAlignment="1" applyProtection="1">
      <alignment horizontal="centerContinuous" vertical="center"/>
      <protection locked="0"/>
    </xf>
    <xf numFmtId="164" fontId="87" fillId="0" borderId="50" xfId="19" applyNumberFormat="1" applyFont="1" applyFill="1" applyBorder="1" applyAlignment="1" applyProtection="1">
      <alignment vertical="center" wrapText="1"/>
      <protection locked="0"/>
    </xf>
    <xf numFmtId="164" fontId="74" fillId="0" borderId="0" xfId="0" applyNumberFormat="1" applyFont="1" applyBorder="1" applyAlignment="1">
      <alignment/>
    </xf>
    <xf numFmtId="0" fontId="87" fillId="0" borderId="98" xfId="0" applyNumberFormat="1" applyFont="1" applyFill="1" applyBorder="1" applyAlignment="1" applyProtection="1">
      <alignment horizontal="centerContinuous" vertical="center"/>
      <protection locked="0"/>
    </xf>
    <xf numFmtId="164" fontId="87" fillId="0" borderId="85" xfId="19" applyNumberFormat="1" applyFont="1" applyFill="1" applyBorder="1" applyAlignment="1" applyProtection="1">
      <alignment vertical="center" wrapText="1"/>
      <protection locked="0"/>
    </xf>
    <xf numFmtId="3" fontId="14" fillId="0" borderId="98" xfId="0" applyNumberFormat="1" applyFont="1" applyFill="1" applyBorder="1" applyAlignment="1" applyProtection="1">
      <alignment vertical="center"/>
      <protection locked="0"/>
    </xf>
    <xf numFmtId="3" fontId="14" fillId="0" borderId="46" xfId="0" applyNumberFormat="1" applyFont="1" applyFill="1" applyBorder="1" applyAlignment="1" applyProtection="1">
      <alignment vertical="center"/>
      <protection locked="0"/>
    </xf>
    <xf numFmtId="3" fontId="14" fillId="0" borderId="45" xfId="0" applyNumberFormat="1" applyFont="1" applyFill="1" applyBorder="1" applyAlignment="1" applyProtection="1">
      <alignment vertical="center"/>
      <protection locked="0"/>
    </xf>
    <xf numFmtId="164" fontId="13" fillId="0" borderId="27" xfId="0" applyNumberFormat="1" applyFont="1" applyFill="1" applyBorder="1" applyAlignment="1" applyProtection="1">
      <alignment vertical="center"/>
      <protection locked="0"/>
    </xf>
    <xf numFmtId="164" fontId="14" fillId="0" borderId="27" xfId="0" applyNumberFormat="1" applyFont="1" applyFill="1" applyBorder="1" applyAlignment="1" applyProtection="1">
      <alignment vertical="center"/>
      <protection locked="0"/>
    </xf>
    <xf numFmtId="164" fontId="14" fillId="0" borderId="84" xfId="0" applyNumberFormat="1" applyFont="1" applyFill="1" applyBorder="1" applyAlignment="1" applyProtection="1">
      <alignment vertical="center"/>
      <protection locked="0"/>
    </xf>
    <xf numFmtId="164" fontId="74" fillId="0" borderId="77" xfId="0" applyNumberFormat="1" applyFont="1" applyFill="1" applyBorder="1" applyAlignment="1" applyProtection="1">
      <alignment horizontal="right" vertical="center"/>
      <protection locked="0"/>
    </xf>
    <xf numFmtId="0" fontId="10" fillId="0" borderId="60" xfId="0" applyNumberFormat="1" applyFont="1" applyFill="1" applyBorder="1" applyAlignment="1" applyProtection="1">
      <alignment horizontal="centerContinuous" vertical="center"/>
      <protection locked="0"/>
    </xf>
    <xf numFmtId="3" fontId="4" fillId="0" borderId="87" xfId="0" applyNumberFormat="1" applyFont="1" applyFill="1" applyBorder="1" applyAlignment="1" applyProtection="1">
      <alignment vertical="center"/>
      <protection locked="0"/>
    </xf>
    <xf numFmtId="164" fontId="87" fillId="0" borderId="27" xfId="0" applyNumberFormat="1" applyFont="1" applyFill="1" applyBorder="1" applyAlignment="1" applyProtection="1">
      <alignment horizontal="right" vertical="center"/>
      <protection locked="0"/>
    </xf>
    <xf numFmtId="1" fontId="8" fillId="0" borderId="106" xfId="0" applyNumberFormat="1" applyFont="1" applyFill="1" applyBorder="1" applyAlignment="1" applyProtection="1">
      <alignment horizontal="center" vertical="center"/>
      <protection locked="0"/>
    </xf>
    <xf numFmtId="164" fontId="8" fillId="0" borderId="9" xfId="19" applyNumberFormat="1" applyFont="1" applyFill="1" applyBorder="1" applyAlignment="1" applyProtection="1">
      <alignment vertical="center" wrapText="1"/>
      <protection locked="0"/>
    </xf>
    <xf numFmtId="164" fontId="10" fillId="0" borderId="6" xfId="19" applyNumberFormat="1" applyFont="1" applyFill="1" applyBorder="1" applyAlignment="1" applyProtection="1">
      <alignment vertical="center" wrapText="1"/>
      <protection locked="0"/>
    </xf>
    <xf numFmtId="164" fontId="10" fillId="0" borderId="46" xfId="19" applyNumberFormat="1" applyFont="1" applyFill="1" applyBorder="1" applyAlignment="1" applyProtection="1">
      <alignment vertical="center" wrapText="1"/>
      <protection locked="0"/>
    </xf>
    <xf numFmtId="164" fontId="13" fillId="0" borderId="119" xfId="0" applyNumberFormat="1" applyFont="1" applyFill="1" applyBorder="1" applyAlignment="1" applyProtection="1">
      <alignment horizontal="right" vertical="center"/>
      <protection locked="0"/>
    </xf>
    <xf numFmtId="164" fontId="77" fillId="0" borderId="0" xfId="0" applyNumberFormat="1" applyFont="1" applyBorder="1" applyAlignment="1">
      <alignment/>
    </xf>
    <xf numFmtId="164" fontId="14" fillId="0" borderId="81" xfId="0" applyNumberFormat="1" applyFont="1" applyFill="1" applyBorder="1" applyAlignment="1" applyProtection="1">
      <alignment horizontal="right" vertical="center"/>
      <protection locked="0"/>
    </xf>
    <xf numFmtId="164" fontId="87" fillId="0" borderId="59" xfId="0" applyNumberFormat="1" applyFont="1" applyFill="1" applyBorder="1" applyAlignment="1" applyProtection="1">
      <alignment horizontal="right" vertical="center"/>
      <protection locked="0"/>
    </xf>
    <xf numFmtId="3" fontId="6" fillId="0" borderId="123" xfId="0" applyNumberFormat="1" applyFont="1" applyFill="1" applyBorder="1" applyAlignment="1" applyProtection="1">
      <alignment vertical="center"/>
      <protection locked="0"/>
    </xf>
    <xf numFmtId="3" fontId="6" fillId="0" borderId="123" xfId="0" applyNumberFormat="1" applyFont="1" applyFill="1" applyBorder="1" applyAlignment="1" applyProtection="1">
      <alignment vertical="center"/>
      <protection locked="0"/>
    </xf>
    <xf numFmtId="164" fontId="8" fillId="0" borderId="36" xfId="0" applyNumberFormat="1" applyFont="1" applyFill="1" applyBorder="1" applyAlignment="1" applyProtection="1">
      <alignment vertical="center"/>
      <protection locked="0"/>
    </xf>
    <xf numFmtId="3" fontId="6" fillId="0" borderId="39" xfId="0" applyNumberFormat="1" applyFont="1" applyFill="1" applyBorder="1" applyAlignment="1" applyProtection="1">
      <alignment vertical="center"/>
      <protection locked="0"/>
    </xf>
    <xf numFmtId="3" fontId="6" fillId="0" borderId="119"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locked="0"/>
    </xf>
    <xf numFmtId="3" fontId="6" fillId="0" borderId="87" xfId="0" applyNumberFormat="1" applyFont="1" applyFill="1" applyBorder="1" applyAlignment="1" applyProtection="1">
      <alignment vertical="center"/>
      <protection locked="0"/>
    </xf>
    <xf numFmtId="164" fontId="13" fillId="0" borderId="0" xfId="0" applyNumberFormat="1" applyFont="1" applyFill="1" applyBorder="1" applyAlignment="1" applyProtection="1">
      <alignment horizontal="right" vertical="center"/>
      <protection locked="0"/>
    </xf>
    <xf numFmtId="164" fontId="13" fillId="0" borderId="103" xfId="0" applyNumberFormat="1" applyFont="1" applyFill="1" applyBorder="1" applyAlignment="1" applyProtection="1">
      <alignment horizontal="right" vertical="center"/>
      <protection locked="0"/>
    </xf>
    <xf numFmtId="164" fontId="13" fillId="0" borderId="113" xfId="0" applyNumberFormat="1" applyFont="1" applyFill="1" applyBorder="1" applyAlignment="1" applyProtection="1">
      <alignment horizontal="right" vertical="center"/>
      <protection locked="0"/>
    </xf>
    <xf numFmtId="164" fontId="4" fillId="0" borderId="31" xfId="0" applyNumberFormat="1" applyFont="1" applyFill="1" applyBorder="1" applyAlignment="1" applyProtection="1">
      <alignment vertical="center"/>
      <protection locked="0"/>
    </xf>
    <xf numFmtId="164" fontId="13" fillId="0" borderId="117" xfId="0" applyNumberFormat="1" applyFont="1" applyFill="1" applyBorder="1" applyAlignment="1" applyProtection="1">
      <alignment horizontal="right" vertical="center"/>
      <protection locked="0"/>
    </xf>
    <xf numFmtId="164" fontId="9" fillId="0" borderId="50" xfId="19" applyNumberFormat="1" applyFont="1" applyFill="1" applyBorder="1" applyAlignment="1" applyProtection="1">
      <alignment vertical="center" wrapText="1"/>
      <protection locked="0"/>
    </xf>
    <xf numFmtId="164" fontId="14" fillId="0" borderId="109" xfId="0" applyNumberFormat="1" applyFont="1" applyFill="1" applyBorder="1" applyAlignment="1" applyProtection="1">
      <alignment horizontal="right" vertical="center"/>
      <protection locked="0"/>
    </xf>
    <xf numFmtId="164" fontId="10" fillId="0" borderId="39" xfId="19" applyNumberFormat="1" applyFont="1" applyFill="1" applyBorder="1" applyAlignment="1" applyProtection="1">
      <alignment vertical="center" wrapText="1"/>
      <protection locked="0"/>
    </xf>
    <xf numFmtId="164" fontId="13" fillId="0" borderId="50" xfId="0" applyNumberFormat="1" applyFont="1" applyFill="1" applyBorder="1" applyAlignment="1" applyProtection="1">
      <alignment horizontal="right" vertical="center"/>
      <protection locked="0"/>
    </xf>
    <xf numFmtId="164" fontId="13" fillId="0" borderId="87" xfId="0" applyNumberFormat="1" applyFont="1" applyFill="1" applyBorder="1" applyAlignment="1" applyProtection="1">
      <alignment horizontal="right" vertical="center"/>
      <protection locked="0"/>
    </xf>
    <xf numFmtId="164" fontId="10" fillId="0" borderId="116" xfId="0" applyNumberFormat="1" applyFont="1" applyFill="1" applyBorder="1" applyAlignment="1" applyProtection="1">
      <alignment vertical="center"/>
      <protection locked="0"/>
    </xf>
    <xf numFmtId="3" fontId="6" fillId="0" borderId="38" xfId="0" applyNumberFormat="1" applyFont="1" applyFill="1" applyBorder="1" applyAlignment="1" applyProtection="1">
      <alignment vertical="center"/>
      <protection locked="0"/>
    </xf>
    <xf numFmtId="3" fontId="6" fillId="0" borderId="48" xfId="0" applyNumberFormat="1" applyFont="1" applyFill="1" applyBorder="1" applyAlignment="1" applyProtection="1">
      <alignment vertical="center"/>
      <protection locked="0"/>
    </xf>
    <xf numFmtId="164" fontId="77" fillId="0" borderId="0" xfId="0" applyNumberFormat="1" applyFont="1" applyBorder="1" applyAlignment="1">
      <alignment/>
    </xf>
    <xf numFmtId="164" fontId="9" fillId="0" borderId="39" xfId="19" applyNumberFormat="1" applyFont="1" applyFill="1" applyBorder="1" applyAlignment="1" applyProtection="1">
      <alignment vertical="center" wrapText="1"/>
      <protection locked="0"/>
    </xf>
    <xf numFmtId="164" fontId="10" fillId="0" borderId="41" xfId="19" applyNumberFormat="1" applyFont="1" applyFill="1" applyBorder="1" applyAlignment="1" applyProtection="1">
      <alignment vertical="center" wrapText="1"/>
      <protection locked="0"/>
    </xf>
    <xf numFmtId="164" fontId="10" fillId="0" borderId="6" xfId="19" applyNumberFormat="1" applyFont="1" applyFill="1" applyBorder="1" applyAlignment="1" applyProtection="1">
      <alignment vertical="center" wrapText="1"/>
      <protection locked="0"/>
    </xf>
    <xf numFmtId="164" fontId="14" fillId="0" borderId="103" xfId="0" applyNumberFormat="1" applyFont="1" applyFill="1" applyBorder="1" applyAlignment="1" applyProtection="1">
      <alignment horizontal="right" vertical="center"/>
      <protection locked="0"/>
    </xf>
    <xf numFmtId="164" fontId="14" fillId="0" borderId="110" xfId="0" applyNumberFormat="1" applyFont="1" applyFill="1" applyBorder="1" applyAlignment="1" applyProtection="1">
      <alignment horizontal="right" vertical="center"/>
      <protection locked="0"/>
    </xf>
    <xf numFmtId="164" fontId="14" fillId="0" borderId="33" xfId="0" applyNumberFormat="1" applyFont="1" applyFill="1" applyBorder="1" applyAlignment="1" applyProtection="1">
      <alignment horizontal="right" vertical="center"/>
      <protection locked="0"/>
    </xf>
    <xf numFmtId="164" fontId="8" fillId="0" borderId="100" xfId="19" applyNumberFormat="1" applyFont="1" applyFill="1" applyBorder="1" applyAlignment="1" applyProtection="1">
      <alignment vertical="center" wrapText="1"/>
      <protection locked="0"/>
    </xf>
    <xf numFmtId="164" fontId="10" fillId="0" borderId="109" xfId="0" applyNumberFormat="1" applyFont="1" applyFill="1" applyBorder="1" applyAlignment="1" applyProtection="1">
      <alignment vertical="center"/>
      <protection locked="0"/>
    </xf>
    <xf numFmtId="164" fontId="4" fillId="0" borderId="109" xfId="0" applyNumberFormat="1" applyFont="1" applyFill="1" applyBorder="1" applyAlignment="1" applyProtection="1">
      <alignment horizontal="right" vertical="center"/>
      <protection locked="0"/>
    </xf>
    <xf numFmtId="164" fontId="10" fillId="0" borderId="84" xfId="0" applyNumberFormat="1" applyFont="1" applyFill="1" applyBorder="1" applyAlignment="1" applyProtection="1">
      <alignment vertical="center"/>
      <protection locked="0"/>
    </xf>
    <xf numFmtId="164" fontId="8" fillId="0" borderId="46" xfId="19" applyNumberFormat="1" applyFont="1" applyFill="1" applyBorder="1" applyAlignment="1" applyProtection="1">
      <alignment vertical="center" wrapText="1"/>
      <protection locked="0"/>
    </xf>
    <xf numFmtId="164" fontId="13" fillId="0" borderId="84" xfId="0" applyNumberFormat="1" applyFont="1" applyFill="1" applyBorder="1" applyAlignment="1" applyProtection="1">
      <alignment vertical="center"/>
      <protection locked="0"/>
    </xf>
    <xf numFmtId="164" fontId="74" fillId="0" borderId="27" xfId="0" applyNumberFormat="1" applyFont="1" applyFill="1" applyBorder="1" applyAlignment="1" applyProtection="1">
      <alignment horizontal="right" vertical="center"/>
      <protection locked="0"/>
    </xf>
    <xf numFmtId="164" fontId="10" fillId="0" borderId="46" xfId="19" applyNumberFormat="1" applyFont="1" applyFill="1" applyBorder="1" applyAlignment="1" applyProtection="1">
      <alignment vertical="center" wrapText="1"/>
      <protection locked="0"/>
    </xf>
    <xf numFmtId="164" fontId="8" fillId="0" borderId="9" xfId="19" applyNumberFormat="1" applyFont="1" applyFill="1" applyBorder="1" applyAlignment="1" applyProtection="1">
      <alignment vertical="center" wrapText="1"/>
      <protection locked="0"/>
    </xf>
    <xf numFmtId="164" fontId="14" fillId="0" borderId="77" xfId="0" applyNumberFormat="1" applyFont="1" applyFill="1" applyBorder="1" applyAlignment="1" applyProtection="1">
      <alignment horizontal="right" vertical="center"/>
      <protection locked="0"/>
    </xf>
    <xf numFmtId="164" fontId="8" fillId="0" borderId="6" xfId="19" applyNumberFormat="1" applyFont="1" applyFill="1" applyBorder="1" applyAlignment="1" applyProtection="1">
      <alignment vertical="center" wrapText="1"/>
      <protection locked="0"/>
    </xf>
    <xf numFmtId="164" fontId="8" fillId="0" borderId="46" xfId="19" applyNumberFormat="1" applyFont="1" applyFill="1" applyBorder="1" applyAlignment="1" applyProtection="1">
      <alignment vertical="center" wrapText="1"/>
      <protection locked="0"/>
    </xf>
    <xf numFmtId="164" fontId="13" fillId="0" borderId="85" xfId="0" applyNumberFormat="1" applyFont="1" applyFill="1" applyBorder="1" applyAlignment="1" applyProtection="1">
      <alignment horizontal="right" vertical="center"/>
      <protection locked="0"/>
    </xf>
    <xf numFmtId="164" fontId="77" fillId="0" borderId="85" xfId="0" applyNumberFormat="1" applyFont="1" applyFill="1" applyBorder="1" applyAlignment="1" applyProtection="1">
      <alignment horizontal="right" vertical="center"/>
      <protection locked="0"/>
    </xf>
    <xf numFmtId="164" fontId="13" fillId="0" borderId="115" xfId="0" applyNumberFormat="1" applyFont="1" applyFill="1" applyBorder="1" applyAlignment="1" applyProtection="1">
      <alignment horizontal="right" vertical="center"/>
      <protection locked="0"/>
    </xf>
    <xf numFmtId="164" fontId="13" fillId="0" borderId="82" xfId="0" applyNumberFormat="1" applyFont="1" applyFill="1" applyBorder="1" applyAlignment="1" applyProtection="1">
      <alignment horizontal="right" vertical="center"/>
      <protection locked="0"/>
    </xf>
    <xf numFmtId="164" fontId="10" fillId="0" borderId="39" xfId="19" applyNumberFormat="1" applyFont="1" applyFill="1" applyBorder="1" applyAlignment="1" applyProtection="1">
      <alignment vertical="center" wrapText="1"/>
      <protection locked="0"/>
    </xf>
    <xf numFmtId="164" fontId="10" fillId="0" borderId="9" xfId="19" applyNumberFormat="1" applyFont="1" applyFill="1" applyBorder="1" applyAlignment="1" applyProtection="1">
      <alignment vertical="center" wrapText="1"/>
      <protection locked="0"/>
    </xf>
    <xf numFmtId="164" fontId="10" fillId="0" borderId="81" xfId="0" applyNumberFormat="1" applyFont="1" applyFill="1" applyBorder="1" applyAlignment="1" applyProtection="1">
      <alignment vertical="center"/>
      <protection locked="0"/>
    </xf>
    <xf numFmtId="3" fontId="4" fillId="0" borderId="117" xfId="0" applyNumberFormat="1" applyFont="1" applyFill="1" applyBorder="1" applyAlignment="1" applyProtection="1">
      <alignment vertical="center"/>
      <protection locked="0"/>
    </xf>
    <xf numFmtId="164" fontId="87" fillId="0" borderId="36" xfId="0" applyNumberFormat="1" applyFont="1" applyFill="1" applyBorder="1" applyAlignment="1" applyProtection="1">
      <alignment horizontal="right" vertical="center"/>
      <protection locked="0"/>
    </xf>
    <xf numFmtId="164" fontId="77" fillId="0" borderId="115" xfId="0" applyNumberFormat="1" applyFont="1" applyFill="1" applyBorder="1" applyAlignment="1" applyProtection="1">
      <alignment horizontal="right" vertical="center"/>
      <protection locked="0"/>
    </xf>
    <xf numFmtId="164" fontId="88" fillId="0" borderId="77" xfId="0" applyNumberFormat="1" applyFont="1" applyFill="1" applyBorder="1" applyAlignment="1" applyProtection="1">
      <alignment horizontal="right" vertical="center"/>
      <protection locked="0"/>
    </xf>
    <xf numFmtId="164" fontId="86" fillId="0" borderId="77" xfId="0" applyNumberFormat="1" applyFont="1" applyFill="1" applyBorder="1" applyAlignment="1" applyProtection="1">
      <alignment horizontal="right" vertical="center"/>
      <protection locked="0"/>
    </xf>
    <xf numFmtId="164" fontId="13" fillId="0" borderId="77" xfId="0" applyNumberFormat="1" applyFont="1" applyFill="1" applyBorder="1" applyAlignment="1" applyProtection="1">
      <alignment vertical="center"/>
      <protection locked="0"/>
    </xf>
    <xf numFmtId="3" fontId="6" fillId="0" borderId="123" xfId="0" applyNumberFormat="1" applyFont="1" applyFill="1" applyBorder="1" applyAlignment="1" applyProtection="1">
      <alignment horizontal="right" vertical="center"/>
      <protection locked="0"/>
    </xf>
    <xf numFmtId="164" fontId="10" fillId="0" borderId="36" xfId="19" applyNumberFormat="1" applyFont="1" applyFill="1" applyBorder="1" applyAlignment="1" applyProtection="1">
      <alignment vertical="center" wrapText="1"/>
      <protection locked="0"/>
    </xf>
    <xf numFmtId="164" fontId="77" fillId="0" borderId="59" xfId="0" applyNumberFormat="1" applyFont="1" applyFill="1" applyBorder="1" applyAlignment="1" applyProtection="1">
      <alignment horizontal="right" vertical="center"/>
      <protection locked="0"/>
    </xf>
    <xf numFmtId="164" fontId="8" fillId="0" borderId="12" xfId="19" applyNumberFormat="1" applyFont="1" applyFill="1" applyBorder="1" applyAlignment="1" applyProtection="1">
      <alignment vertical="center" wrapText="1"/>
      <protection locked="0"/>
    </xf>
    <xf numFmtId="164" fontId="77" fillId="0" borderId="103" xfId="0" applyNumberFormat="1" applyFont="1" applyFill="1" applyBorder="1" applyAlignment="1" applyProtection="1">
      <alignment horizontal="right" vertical="center"/>
      <protection locked="0"/>
    </xf>
    <xf numFmtId="164" fontId="77" fillId="0" borderId="41" xfId="0" applyNumberFormat="1" applyFont="1" applyFill="1" applyBorder="1" applyAlignment="1" applyProtection="1">
      <alignment horizontal="right" vertical="center"/>
      <protection locked="0"/>
    </xf>
    <xf numFmtId="164" fontId="49" fillId="0" borderId="41" xfId="0" applyNumberFormat="1" applyFont="1" applyFill="1" applyBorder="1" applyAlignment="1" applyProtection="1">
      <alignment horizontal="right" vertical="center"/>
      <protection locked="0"/>
    </xf>
    <xf numFmtId="164" fontId="77" fillId="0" borderId="77" xfId="0" applyNumberFormat="1" applyFont="1" applyFill="1" applyBorder="1" applyAlignment="1" applyProtection="1">
      <alignment vertical="center"/>
      <protection locked="0"/>
    </xf>
    <xf numFmtId="3" fontId="6" fillId="0" borderId="87" xfId="0" applyNumberFormat="1" applyFont="1" applyFill="1" applyBorder="1" applyAlignment="1" applyProtection="1">
      <alignment vertical="center"/>
      <protection locked="0"/>
    </xf>
    <xf numFmtId="3" fontId="6" fillId="0" borderId="115" xfId="0" applyNumberFormat="1" applyFont="1" applyFill="1" applyBorder="1" applyAlignment="1" applyProtection="1">
      <alignment vertical="center"/>
      <protection locked="0"/>
    </xf>
    <xf numFmtId="0" fontId="13" fillId="0" borderId="60" xfId="0" applyNumberFormat="1" applyFont="1" applyFill="1" applyBorder="1" applyAlignment="1" applyProtection="1">
      <alignment horizontal="centerContinuous" vertical="center"/>
      <protection locked="0"/>
    </xf>
    <xf numFmtId="0" fontId="13" fillId="0" borderId="50" xfId="0" applyFont="1" applyBorder="1" applyAlignment="1">
      <alignment horizontal="left" vertical="center" wrapText="1"/>
    </xf>
    <xf numFmtId="3" fontId="14" fillId="0" borderId="6" xfId="0" applyNumberFormat="1" applyFont="1" applyBorder="1" applyAlignment="1">
      <alignment horizontal="right" vertical="center"/>
    </xf>
    <xf numFmtId="3" fontId="14" fillId="0" borderId="46" xfId="0" applyNumberFormat="1" applyFont="1" applyFill="1" applyBorder="1" applyAlignment="1" applyProtection="1">
      <alignment vertical="center"/>
      <protection locked="0"/>
    </xf>
    <xf numFmtId="164" fontId="87" fillId="0" borderId="77" xfId="0" applyNumberFormat="1" applyFont="1" applyFill="1" applyBorder="1" applyAlignment="1" applyProtection="1">
      <alignment horizontal="right" vertical="center"/>
      <protection locked="0"/>
    </xf>
    <xf numFmtId="3" fontId="10" fillId="0" borderId="60" xfId="0" applyNumberFormat="1" applyFont="1" applyFill="1" applyBorder="1" applyAlignment="1" applyProtection="1">
      <alignment horizontal="right" vertical="center"/>
      <protection locked="0"/>
    </xf>
    <xf numFmtId="3" fontId="10" fillId="0" borderId="60" xfId="0" applyNumberFormat="1" applyFont="1" applyFill="1" applyBorder="1" applyAlignment="1" applyProtection="1">
      <alignment vertical="center"/>
      <protection locked="0"/>
    </xf>
    <xf numFmtId="3" fontId="13" fillId="0" borderId="60" xfId="0" applyNumberFormat="1" applyFont="1" applyFill="1" applyBorder="1" applyAlignment="1" applyProtection="1">
      <alignment horizontal="right" vertical="center"/>
      <protection locked="0"/>
    </xf>
    <xf numFmtId="164" fontId="13" fillId="0" borderId="60" xfId="19" applyNumberFormat="1" applyFont="1" applyFill="1" applyBorder="1" applyAlignment="1" applyProtection="1">
      <alignment vertical="center" wrapText="1"/>
      <protection locked="0"/>
    </xf>
    <xf numFmtId="3" fontId="14" fillId="0" borderId="43" xfId="0" applyNumberFormat="1" applyFont="1" applyFill="1" applyBorder="1" applyAlignment="1" applyProtection="1">
      <alignment horizontal="right" vertical="center"/>
      <protection locked="0"/>
    </xf>
    <xf numFmtId="3" fontId="14" fillId="0" borderId="6" xfId="0" applyNumberFormat="1" applyFont="1" applyFill="1" applyBorder="1" applyAlignment="1" applyProtection="1">
      <alignment horizontal="right" vertical="center"/>
      <protection locked="0"/>
    </xf>
    <xf numFmtId="164" fontId="4" fillId="0" borderId="41" xfId="0" applyNumberFormat="1" applyFont="1" applyFill="1" applyBorder="1" applyAlignment="1" applyProtection="1">
      <alignment horizontal="right" vertical="center"/>
      <protection locked="0"/>
    </xf>
    <xf numFmtId="3" fontId="14" fillId="0" borderId="43" xfId="0" applyNumberFormat="1" applyFont="1" applyBorder="1" applyAlignment="1">
      <alignment horizontal="right" vertical="center"/>
    </xf>
    <xf numFmtId="3" fontId="4" fillId="0" borderId="43" xfId="0" applyNumberFormat="1" applyFont="1" applyBorder="1" applyAlignment="1">
      <alignment horizontal="right" vertical="center"/>
    </xf>
    <xf numFmtId="0" fontId="13" fillId="0" borderId="50" xfId="0" applyFont="1" applyBorder="1" applyAlignment="1">
      <alignment horizontal="left" vertical="center"/>
    </xf>
    <xf numFmtId="0" fontId="13" fillId="0" borderId="50" xfId="0" applyFont="1" applyBorder="1" applyAlignment="1">
      <alignment/>
    </xf>
    <xf numFmtId="0" fontId="13" fillId="0" borderId="50" xfId="0" applyFont="1" applyBorder="1" applyAlignment="1">
      <alignment vertical="center"/>
    </xf>
    <xf numFmtId="164" fontId="14" fillId="0" borderId="110" xfId="0" applyNumberFormat="1" applyFont="1" applyFill="1" applyBorder="1" applyAlignment="1" applyProtection="1">
      <alignment horizontal="right" vertical="center"/>
      <protection locked="0"/>
    </xf>
    <xf numFmtId="3" fontId="6" fillId="0" borderId="113" xfId="0" applyNumberFormat="1" applyFont="1" applyFill="1" applyBorder="1" applyAlignment="1" applyProtection="1">
      <alignment vertical="center"/>
      <protection locked="0"/>
    </xf>
    <xf numFmtId="1" fontId="77" fillId="0" borderId="106" xfId="0" applyNumberFormat="1" applyFont="1" applyFill="1" applyBorder="1" applyAlignment="1" applyProtection="1">
      <alignment horizontal="centerContinuous" vertical="center"/>
      <protection locked="0"/>
    </xf>
    <xf numFmtId="164" fontId="77" fillId="0" borderId="115" xfId="19" applyNumberFormat="1" applyFont="1" applyFill="1" applyBorder="1" applyAlignment="1" applyProtection="1">
      <alignment vertical="center" wrapText="1"/>
      <protection locked="0"/>
    </xf>
    <xf numFmtId="3" fontId="49" fillId="0" borderId="106" xfId="0" applyNumberFormat="1" applyFont="1" applyFill="1" applyBorder="1" applyAlignment="1" applyProtection="1">
      <alignment vertical="center"/>
      <protection locked="0"/>
    </xf>
    <xf numFmtId="3" fontId="49" fillId="0" borderId="9" xfId="0" applyNumberFormat="1" applyFont="1" applyFill="1" applyBorder="1" applyAlignment="1" applyProtection="1">
      <alignment vertical="center"/>
      <protection locked="0"/>
    </xf>
    <xf numFmtId="3" fontId="49" fillId="0" borderId="75" xfId="0" applyNumberFormat="1" applyFont="1" applyFill="1" applyBorder="1" applyAlignment="1" applyProtection="1">
      <alignment vertical="center"/>
      <protection locked="0"/>
    </xf>
    <xf numFmtId="164" fontId="14" fillId="0" borderId="116" xfId="0" applyNumberFormat="1" applyFont="1" applyFill="1" applyBorder="1" applyAlignment="1" applyProtection="1">
      <alignment vertical="center"/>
      <protection locked="0"/>
    </xf>
    <xf numFmtId="3" fontId="10" fillId="0" borderId="98" xfId="0" applyNumberFormat="1" applyFont="1" applyFill="1" applyBorder="1" applyAlignment="1" applyProtection="1">
      <alignment vertical="center"/>
      <protection locked="0"/>
    </xf>
    <xf numFmtId="3" fontId="10" fillId="0" borderId="46" xfId="0" applyNumberFormat="1" applyFont="1" applyFill="1" applyBorder="1" applyAlignment="1" applyProtection="1">
      <alignment vertical="center"/>
      <protection locked="0"/>
    </xf>
    <xf numFmtId="164" fontId="87" fillId="0" borderId="84" xfId="0" applyNumberFormat="1" applyFont="1" applyFill="1" applyBorder="1" applyAlignment="1" applyProtection="1">
      <alignment horizontal="right" vertical="center"/>
      <protection locked="0"/>
    </xf>
    <xf numFmtId="3" fontId="14" fillId="0" borderId="61" xfId="0" applyNumberFormat="1" applyFont="1" applyFill="1" applyBorder="1" applyAlignment="1" applyProtection="1">
      <alignment vertical="center"/>
      <protection locked="0"/>
    </xf>
    <xf numFmtId="3" fontId="4" fillId="0" borderId="104" xfId="0" applyNumberFormat="1" applyFont="1" applyFill="1" applyBorder="1" applyAlignment="1" applyProtection="1">
      <alignment vertical="center"/>
      <protection locked="0"/>
    </xf>
    <xf numFmtId="3" fontId="6" fillId="0" borderId="80" xfId="0" applyNumberFormat="1" applyFont="1" applyFill="1" applyBorder="1" applyAlignment="1" applyProtection="1">
      <alignment vertical="center"/>
      <protection locked="0"/>
    </xf>
    <xf numFmtId="164" fontId="4" fillId="0" borderId="110" xfId="0" applyNumberFormat="1" applyFont="1" applyFill="1" applyBorder="1" applyAlignment="1" applyProtection="1">
      <alignment vertical="center"/>
      <protection locked="0"/>
    </xf>
    <xf numFmtId="1" fontId="6" fillId="0" borderId="99" xfId="0" applyNumberFormat="1" applyFont="1" applyFill="1" applyBorder="1" applyAlignment="1" applyProtection="1">
      <alignment horizontal="centerContinuous" vertical="center"/>
      <protection locked="0"/>
    </xf>
    <xf numFmtId="1" fontId="6" fillId="0" borderId="113" xfId="0" applyNumberFormat="1" applyFont="1" applyFill="1" applyBorder="1" applyAlignment="1" applyProtection="1">
      <alignment horizontal="left" vertical="center" wrapText="1"/>
      <protection locked="0"/>
    </xf>
    <xf numFmtId="3" fontId="8" fillId="0" borderId="100" xfId="0" applyNumberFormat="1" applyFont="1" applyFill="1" applyBorder="1" applyAlignment="1" applyProtection="1">
      <alignment vertical="center"/>
      <protection locked="0"/>
    </xf>
    <xf numFmtId="1" fontId="49" fillId="0" borderId="61" xfId="0" applyNumberFormat="1" applyFont="1" applyFill="1" applyBorder="1" applyAlignment="1" applyProtection="1">
      <alignment horizontal="centerContinuous" vertical="center"/>
      <protection locked="0"/>
    </xf>
    <xf numFmtId="1" fontId="49" fillId="0" borderId="0" xfId="0" applyNumberFormat="1" applyFont="1" applyFill="1" applyBorder="1" applyAlignment="1" applyProtection="1">
      <alignment horizontal="left" vertical="center" wrapText="1"/>
      <protection locked="0"/>
    </xf>
    <xf numFmtId="3" fontId="49" fillId="0" borderId="61" xfId="0" applyNumberFormat="1" applyFont="1" applyFill="1" applyBorder="1" applyAlignment="1" applyProtection="1">
      <alignment vertical="center"/>
      <protection locked="0"/>
    </xf>
    <xf numFmtId="164" fontId="77" fillId="0" borderId="0" xfId="0" applyNumberFormat="1" applyFont="1" applyFill="1" applyBorder="1" applyAlignment="1" applyProtection="1">
      <alignment horizontal="right" vertical="center"/>
      <protection locked="0"/>
    </xf>
    <xf numFmtId="3" fontId="49" fillId="0" borderId="18" xfId="0" applyNumberFormat="1" applyFont="1" applyFill="1" applyBorder="1" applyAlignment="1" applyProtection="1">
      <alignment vertical="center"/>
      <protection locked="0"/>
    </xf>
    <xf numFmtId="0" fontId="12" fillId="0" borderId="0" xfId="0" applyFont="1" applyAlignment="1">
      <alignment horizontal="center"/>
    </xf>
    <xf numFmtId="0" fontId="2" fillId="0" borderId="103" xfId="0" applyFont="1" applyBorder="1" applyAlignment="1">
      <alignment horizontal="left" vertical="center"/>
    </xf>
    <xf numFmtId="164" fontId="26" fillId="0" borderId="101" xfId="0" applyFont="1" applyBorder="1" applyAlignment="1">
      <alignment horizontal="center" vertical="center"/>
    </xf>
    <xf numFmtId="164" fontId="24" fillId="0" borderId="33" xfId="0" applyFont="1" applyBorder="1" applyAlignment="1">
      <alignment vertical="center" wrapText="1"/>
    </xf>
    <xf numFmtId="3" fontId="40" fillId="0" borderId="12" xfId="0" applyNumberFormat="1" applyFont="1" applyBorder="1" applyAlignment="1">
      <alignment vertical="center"/>
    </xf>
    <xf numFmtId="3" fontId="26" fillId="0" borderId="12" xfId="0" applyNumberFormat="1" applyFont="1" applyBorder="1" applyAlignment="1">
      <alignment vertical="center"/>
    </xf>
    <xf numFmtId="164" fontId="26" fillId="0" borderId="12" xfId="0" applyFont="1" applyBorder="1" applyAlignment="1">
      <alignment vertical="center"/>
    </xf>
    <xf numFmtId="164" fontId="26" fillId="0" borderId="33" xfId="0" applyNumberFormat="1" applyFont="1" applyBorder="1" applyAlignment="1">
      <alignment vertical="center"/>
    </xf>
    <xf numFmtId="164" fontId="26" fillId="0" borderId="33" xfId="0" applyFont="1" applyBorder="1" applyAlignment="1">
      <alignment vertical="center"/>
    </xf>
    <xf numFmtId="3" fontId="26" fillId="0" borderId="34" xfId="0" applyNumberFormat="1" applyFont="1" applyBorder="1" applyAlignment="1">
      <alignment vertical="center"/>
    </xf>
    <xf numFmtId="164" fontId="26" fillId="0" borderId="33"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3" fontId="26" fillId="0" borderId="114" xfId="0" applyNumberFormat="1" applyFont="1" applyBorder="1" applyAlignment="1">
      <alignment horizontal="center" vertical="center"/>
    </xf>
    <xf numFmtId="164" fontId="24" fillId="0" borderId="31" xfId="0" applyFont="1" applyBorder="1" applyAlignment="1">
      <alignment vertical="center" wrapText="1"/>
    </xf>
    <xf numFmtId="3" fontId="26" fillId="0" borderId="99" xfId="0" applyNumberFormat="1" applyFont="1" applyBorder="1" applyAlignment="1">
      <alignment vertical="center"/>
    </xf>
    <xf numFmtId="3" fontId="40" fillId="0" borderId="100" xfId="0" applyNumberFormat="1" applyFont="1" applyBorder="1" applyAlignment="1">
      <alignment vertical="center"/>
    </xf>
    <xf numFmtId="3" fontId="26" fillId="0" borderId="100" xfId="0" applyNumberFormat="1" applyFont="1" applyBorder="1" applyAlignment="1">
      <alignment vertical="center"/>
    </xf>
    <xf numFmtId="164" fontId="26" fillId="0" borderId="100" xfId="0" applyFont="1" applyBorder="1" applyAlignment="1">
      <alignment vertical="center"/>
    </xf>
    <xf numFmtId="164" fontId="26" fillId="0" borderId="31" xfId="0" applyNumberFormat="1" applyFont="1" applyBorder="1" applyAlignment="1">
      <alignment vertical="center"/>
    </xf>
    <xf numFmtId="164" fontId="26" fillId="0" borderId="31" xfId="0" applyFont="1" applyBorder="1" applyAlignment="1">
      <alignment vertical="center"/>
    </xf>
    <xf numFmtId="164" fontId="26" fillId="0" borderId="31" xfId="0" applyFont="1" applyBorder="1" applyAlignment="1">
      <alignment vertical="center"/>
    </xf>
    <xf numFmtId="3" fontId="31" fillId="0" borderId="48" xfId="0" applyNumberFormat="1" applyFont="1" applyBorder="1" applyAlignment="1">
      <alignment horizontal="center" vertical="center"/>
    </xf>
    <xf numFmtId="164" fontId="31" fillId="0" borderId="36" xfId="0" applyFont="1" applyBorder="1" applyAlignment="1">
      <alignment vertical="center" wrapText="1"/>
    </xf>
    <xf numFmtId="3" fontId="31" fillId="0" borderId="122" xfId="0" applyNumberFormat="1" applyFont="1" applyBorder="1" applyAlignment="1">
      <alignment vertical="center"/>
    </xf>
    <xf numFmtId="3" fontId="31" fillId="0" borderId="39" xfId="0" applyNumberFormat="1" applyFont="1" applyBorder="1" applyAlignment="1">
      <alignment vertical="center"/>
    </xf>
    <xf numFmtId="3" fontId="31" fillId="0" borderId="39" xfId="0" applyNumberFormat="1" applyFont="1" applyBorder="1" applyAlignment="1">
      <alignment vertical="center"/>
    </xf>
    <xf numFmtId="164" fontId="31" fillId="0" borderId="39" xfId="0" applyFont="1" applyBorder="1" applyAlignment="1">
      <alignment vertical="center"/>
    </xf>
    <xf numFmtId="164" fontId="31" fillId="0" borderId="36" xfId="0" applyNumberFormat="1" applyFont="1" applyBorder="1" applyAlignment="1">
      <alignment vertical="center"/>
    </xf>
    <xf numFmtId="164" fontId="31" fillId="0" borderId="36" xfId="0" applyFont="1" applyBorder="1" applyAlignment="1">
      <alignment vertical="center"/>
    </xf>
    <xf numFmtId="164" fontId="31" fillId="0" borderId="38" xfId="0" applyNumberFormat="1" applyFont="1" applyBorder="1" applyAlignment="1">
      <alignment vertical="center"/>
    </xf>
    <xf numFmtId="164" fontId="31" fillId="0" borderId="36" xfId="0" applyFont="1" applyBorder="1" applyAlignment="1">
      <alignment vertical="center"/>
    </xf>
    <xf numFmtId="3" fontId="40" fillId="0" borderId="46" xfId="0" applyNumberFormat="1" applyFont="1" applyBorder="1" applyAlignment="1">
      <alignment vertical="center"/>
    </xf>
    <xf numFmtId="164" fontId="31" fillId="0" borderId="45" xfId="0" applyNumberFormat="1" applyFont="1" applyBorder="1" applyAlignment="1">
      <alignment vertical="center"/>
    </xf>
    <xf numFmtId="3" fontId="31" fillId="0" borderId="38" xfId="0" applyNumberFormat="1" applyFont="1" applyBorder="1" applyAlignment="1">
      <alignment vertical="center"/>
    </xf>
    <xf numFmtId="164" fontId="26" fillId="0" borderId="33" xfId="0" applyNumberFormat="1" applyFont="1" applyBorder="1" applyAlignment="1">
      <alignment vertical="center"/>
    </xf>
    <xf numFmtId="3" fontId="40" fillId="0" borderId="6" xfId="0" applyNumberFormat="1" applyFont="1" applyBorder="1" applyAlignment="1">
      <alignment vertical="center"/>
    </xf>
    <xf numFmtId="3" fontId="26" fillId="0" borderId="60" xfId="0" applyFont="1" applyBorder="1" applyAlignment="1">
      <alignment horizontal="center" vertical="center"/>
    </xf>
    <xf numFmtId="164" fontId="26" fillId="0" borderId="41" xfId="0" applyFont="1" applyBorder="1" applyAlignment="1">
      <alignment vertical="center" wrapText="1"/>
    </xf>
    <xf numFmtId="3" fontId="26" fillId="0" borderId="61" xfId="0" applyNumberFormat="1" applyFont="1" applyBorder="1" applyAlignment="1">
      <alignment vertical="center"/>
    </xf>
    <xf numFmtId="3" fontId="26" fillId="0" borderId="6" xfId="0" applyNumberFormat="1" applyFont="1" applyBorder="1" applyAlignment="1">
      <alignment vertical="center"/>
    </xf>
    <xf numFmtId="3" fontId="26" fillId="0" borderId="6" xfId="0" applyNumberFormat="1" applyFont="1" applyBorder="1" applyAlignment="1">
      <alignment vertical="center"/>
    </xf>
    <xf numFmtId="164" fontId="26" fillId="0" borderId="6" xfId="0" applyFont="1" applyBorder="1" applyAlignment="1">
      <alignment vertical="center"/>
    </xf>
    <xf numFmtId="2" fontId="26" fillId="0" borderId="41" xfId="0" applyNumberFormat="1" applyFont="1" applyBorder="1" applyAlignment="1">
      <alignment vertical="center"/>
    </xf>
    <xf numFmtId="164" fontId="26" fillId="0" borderId="41" xfId="0" applyFont="1" applyBorder="1" applyAlignment="1">
      <alignment vertical="center"/>
    </xf>
    <xf numFmtId="3" fontId="26" fillId="0" borderId="43" xfId="0" applyNumberFormat="1" applyFont="1" applyBorder="1" applyAlignment="1">
      <alignment vertical="center"/>
    </xf>
    <xf numFmtId="164" fontId="26" fillId="0" borderId="41" xfId="0" applyFont="1" applyBorder="1" applyAlignment="1">
      <alignment vertical="center"/>
    </xf>
    <xf numFmtId="3" fontId="40" fillId="0" borderId="60" xfId="0" applyFont="1" applyBorder="1" applyAlignment="1">
      <alignment horizontal="center" vertical="center"/>
    </xf>
    <xf numFmtId="164" fontId="40" fillId="0" borderId="41" xfId="0" applyFont="1" applyBorder="1" applyAlignment="1">
      <alignment vertical="center" wrapText="1"/>
    </xf>
    <xf numFmtId="3" fontId="40" fillId="0" borderId="61" xfId="0" applyNumberFormat="1" applyFont="1" applyBorder="1" applyAlignment="1">
      <alignment vertical="center"/>
    </xf>
    <xf numFmtId="3" fontId="40" fillId="0" borderId="6" xfId="0" applyNumberFormat="1" applyFont="1" applyBorder="1" applyAlignment="1">
      <alignment vertical="center"/>
    </xf>
    <xf numFmtId="164" fontId="40" fillId="0" borderId="6" xfId="0" applyFont="1" applyBorder="1" applyAlignment="1">
      <alignment vertical="center"/>
    </xf>
    <xf numFmtId="2" fontId="40" fillId="0" borderId="41" xfId="0" applyNumberFormat="1" applyFont="1" applyBorder="1" applyAlignment="1">
      <alignment vertical="center"/>
    </xf>
    <xf numFmtId="164" fontId="40" fillId="0" borderId="41" xfId="0" applyFont="1" applyBorder="1" applyAlignment="1">
      <alignment vertical="center"/>
    </xf>
    <xf numFmtId="3" fontId="40" fillId="0" borderId="43" xfId="0" applyNumberFormat="1" applyFont="1" applyBorder="1" applyAlignment="1">
      <alignment vertical="center"/>
    </xf>
    <xf numFmtId="164" fontId="40" fillId="0" borderId="41" xfId="0" applyFont="1" applyBorder="1" applyAlignment="1">
      <alignment vertical="center"/>
    </xf>
    <xf numFmtId="0" fontId="40" fillId="0" borderId="0" xfId="0" applyFont="1" applyBorder="1" applyAlignment="1">
      <alignment vertical="center"/>
    </xf>
    <xf numFmtId="164" fontId="26" fillId="0" borderId="59" xfId="0" applyFont="1" applyBorder="1" applyAlignment="1">
      <alignment vertical="center" wrapText="1"/>
    </xf>
    <xf numFmtId="2" fontId="26" fillId="0" borderId="41" xfId="0" applyNumberFormat="1" applyFont="1" applyBorder="1" applyAlignment="1">
      <alignment vertical="center"/>
    </xf>
    <xf numFmtId="3" fontId="26" fillId="0" borderId="60" xfId="0" applyNumberFormat="1" applyFont="1" applyBorder="1" applyAlignment="1">
      <alignment vertical="center"/>
    </xf>
    <xf numFmtId="0" fontId="31" fillId="0" borderId="0" xfId="0" applyFont="1" applyBorder="1" applyAlignment="1">
      <alignment vertical="center"/>
    </xf>
    <xf numFmtId="3" fontId="33" fillId="0" borderId="80" xfId="0" applyNumberFormat="1" applyFont="1" applyBorder="1" applyAlignment="1">
      <alignment vertical="center"/>
    </xf>
    <xf numFmtId="3" fontId="33" fillId="0" borderId="12" xfId="0" applyNumberFormat="1" applyFont="1" applyBorder="1" applyAlignment="1">
      <alignment vertical="center"/>
    </xf>
    <xf numFmtId="3" fontId="26" fillId="0" borderId="61" xfId="0" applyNumberFormat="1" applyFont="1" applyBorder="1" applyAlignment="1">
      <alignment horizontal="right" vertical="center"/>
    </xf>
    <xf numFmtId="3" fontId="26" fillId="0" borderId="6" xfId="0" applyNumberFormat="1" applyFont="1" applyBorder="1" applyAlignment="1">
      <alignment horizontal="right" vertical="center"/>
    </xf>
    <xf numFmtId="3" fontId="26" fillId="0" borderId="6" xfId="0" applyNumberFormat="1" applyFont="1" applyBorder="1" applyAlignment="1">
      <alignment horizontal="right" vertical="center"/>
    </xf>
    <xf numFmtId="164" fontId="26" fillId="0" borderId="6" xfId="0" applyFont="1" applyBorder="1" applyAlignment="1">
      <alignment horizontal="right" vertical="center"/>
    </xf>
    <xf numFmtId="3" fontId="26" fillId="0" borderId="55" xfId="0" applyNumberFormat="1" applyFont="1" applyBorder="1" applyAlignment="1">
      <alignment horizontal="center" vertical="center"/>
    </xf>
    <xf numFmtId="3" fontId="26" fillId="0" borderId="54" xfId="0" applyNumberFormat="1" applyFont="1" applyBorder="1" applyAlignment="1">
      <alignment horizontal="right" vertical="center"/>
    </xf>
    <xf numFmtId="3" fontId="26" fillId="0" borderId="15" xfId="0" applyNumberFormat="1" applyFont="1" applyBorder="1" applyAlignment="1">
      <alignment horizontal="right" vertical="center"/>
    </xf>
    <xf numFmtId="164" fontId="33" fillId="0" borderId="55" xfId="0" applyFont="1" applyBorder="1" applyAlignment="1">
      <alignment horizontal="right" vertical="center"/>
    </xf>
    <xf numFmtId="3" fontId="26" fillId="0" borderId="41" xfId="0" applyNumberFormat="1" applyFont="1" applyBorder="1" applyAlignment="1">
      <alignment horizontal="center" vertical="center"/>
    </xf>
    <xf numFmtId="3" fontId="26" fillId="0" borderId="60" xfId="0" applyNumberFormat="1" applyFont="1" applyBorder="1" applyAlignment="1">
      <alignment horizontal="right" vertical="center"/>
    </xf>
    <xf numFmtId="164" fontId="26" fillId="0" borderId="41" xfId="0" applyFont="1" applyBorder="1" applyAlignment="1">
      <alignment horizontal="right" vertical="center"/>
    </xf>
    <xf numFmtId="0" fontId="26" fillId="0" borderId="60" xfId="0" applyFont="1" applyBorder="1" applyAlignment="1">
      <alignment horizontal="right" vertical="center"/>
    </xf>
    <xf numFmtId="0" fontId="26" fillId="0" borderId="6" xfId="0" applyFont="1" applyBorder="1" applyAlignment="1">
      <alignment horizontal="right" vertical="center"/>
    </xf>
    <xf numFmtId="166" fontId="26" fillId="0" borderId="41" xfId="0" applyFont="1" applyBorder="1" applyAlignment="1">
      <alignment horizontal="right" vertical="center"/>
    </xf>
    <xf numFmtId="3" fontId="26" fillId="0" borderId="96" xfId="0" applyNumberFormat="1" applyFont="1" applyBorder="1" applyAlignment="1">
      <alignment horizontal="right" vertical="center"/>
    </xf>
    <xf numFmtId="3" fontId="26" fillId="0" borderId="18" xfId="0" applyNumberFormat="1" applyFont="1" applyBorder="1" applyAlignment="1">
      <alignment horizontal="right" vertical="center"/>
    </xf>
    <xf numFmtId="164" fontId="26" fillId="0" borderId="18" xfId="0" applyFont="1" applyBorder="1" applyAlignment="1">
      <alignment horizontal="right" vertical="center"/>
    </xf>
    <xf numFmtId="3" fontId="26" fillId="0" borderId="95" xfId="0" applyNumberFormat="1" applyFont="1" applyBorder="1" applyAlignment="1">
      <alignment horizontal="center" vertical="center"/>
    </xf>
    <xf numFmtId="164" fontId="33" fillId="0" borderId="95" xfId="0" applyFont="1" applyBorder="1" applyAlignment="1">
      <alignment horizontal="right" vertical="center"/>
    </xf>
    <xf numFmtId="164" fontId="26" fillId="0" borderId="95" xfId="0" applyFont="1" applyBorder="1" applyAlignment="1">
      <alignment horizontal="right" vertical="center"/>
    </xf>
    <xf numFmtId="3" fontId="17" fillId="0" borderId="0" xfId="0" applyNumberFormat="1" applyFont="1" applyBorder="1" applyAlignment="1">
      <alignment/>
    </xf>
    <xf numFmtId="3" fontId="15" fillId="0" borderId="0" xfId="0" applyNumberFormat="1" applyFont="1" applyBorder="1" applyAlignment="1">
      <alignment/>
    </xf>
    <xf numFmtId="3" fontId="17" fillId="0" borderId="0" xfId="0" applyNumberFormat="1" applyFont="1" applyAlignment="1">
      <alignment/>
    </xf>
    <xf numFmtId="3" fontId="90" fillId="0" borderId="0" xfId="0" applyNumberFormat="1" applyFont="1" applyAlignment="1">
      <alignment/>
    </xf>
    <xf numFmtId="166" fontId="31" fillId="0" borderId="0" xfId="0" applyFont="1" applyAlignment="1">
      <alignment/>
    </xf>
    <xf numFmtId="0" fontId="31" fillId="0" borderId="0" xfId="0" applyFont="1" applyAlignment="1">
      <alignment/>
    </xf>
    <xf numFmtId="0" fontId="4" fillId="0" borderId="0" xfId="0" applyFont="1" applyAlignment="1">
      <alignment/>
    </xf>
    <xf numFmtId="4" fontId="4" fillId="0" borderId="0" xfId="0" applyNumberFormat="1" applyFont="1" applyAlignment="1">
      <alignment/>
    </xf>
    <xf numFmtId="0" fontId="4" fillId="0" borderId="0" xfId="0" applyFont="1" applyBorder="1" applyAlignment="1">
      <alignment/>
    </xf>
    <xf numFmtId="0" fontId="4" fillId="0" borderId="0" xfId="0" applyFont="1" applyBorder="1" applyAlignment="1">
      <alignment horizontal="center" wrapText="1"/>
    </xf>
    <xf numFmtId="0" fontId="9" fillId="0" borderId="0" xfId="0" applyFont="1" applyBorder="1" applyAlignment="1">
      <alignment horizontal="center" wrapText="1"/>
    </xf>
    <xf numFmtId="3" fontId="9" fillId="0" borderId="0" xfId="0" applyNumberFormat="1" applyFont="1" applyBorder="1" applyAlignment="1">
      <alignment horizontal="centerContinuous" wrapText="1"/>
    </xf>
    <xf numFmtId="0" fontId="4" fillId="0" borderId="94" xfId="0" applyFont="1" applyBorder="1" applyAlignment="1">
      <alignment horizontal="center" wrapText="1"/>
    </xf>
    <xf numFmtId="0" fontId="9" fillId="0" borderId="94" xfId="0" applyFont="1" applyBorder="1" applyAlignment="1">
      <alignment horizontal="center" wrapText="1"/>
    </xf>
    <xf numFmtId="3" fontId="9" fillId="0" borderId="94" xfId="0" applyNumberFormat="1" applyFont="1" applyBorder="1" applyAlignment="1">
      <alignment horizontal="centerContinuous" wrapText="1"/>
    </xf>
    <xf numFmtId="0" fontId="9" fillId="0" borderId="94" xfId="0" applyFont="1" applyBorder="1" applyAlignment="1">
      <alignment horizontal="right"/>
    </xf>
    <xf numFmtId="0" fontId="92" fillId="0" borderId="94" xfId="0" applyFont="1" applyBorder="1" applyAlignment="1">
      <alignment horizontal="right"/>
    </xf>
    <xf numFmtId="0" fontId="4" fillId="0" borderId="54" xfId="0" applyFont="1" applyBorder="1" applyAlignment="1">
      <alignment horizontal="center" vertical="center" wrapText="1"/>
    </xf>
    <xf numFmtId="0" fontId="9" fillId="0" borderId="52" xfId="0" applyFont="1" applyBorder="1" applyAlignment="1">
      <alignment horizontal="center" vertical="center" wrapText="1"/>
    </xf>
    <xf numFmtId="0" fontId="4" fillId="0" borderId="0" xfId="0" applyFont="1" applyBorder="1" applyAlignment="1">
      <alignment vertical="center"/>
    </xf>
    <xf numFmtId="0" fontId="5" fillId="0" borderId="125" xfId="0" applyFont="1" applyBorder="1" applyAlignment="1">
      <alignment horizontal="centerContinuous" vertical="top" wrapText="1"/>
    </xf>
    <xf numFmtId="0" fontId="5" fillId="0" borderId="126" xfId="0" applyFont="1" applyBorder="1" applyAlignment="1">
      <alignment horizontal="centerContinuous" vertical="top" wrapText="1"/>
    </xf>
    <xf numFmtId="4" fontId="6" fillId="2" borderId="127" xfId="0" applyNumberFormat="1" applyFont="1" applyFill="1" applyBorder="1" applyAlignment="1">
      <alignment horizontal="centerContinuous" vertical="center" wrapText="1"/>
    </xf>
    <xf numFmtId="166" fontId="6" fillId="0" borderId="128" xfId="0" applyNumberFormat="1" applyFont="1" applyBorder="1" applyAlignment="1">
      <alignment horizontal="centerContinuous" vertical="center" wrapText="1"/>
    </xf>
    <xf numFmtId="4" fontId="8" fillId="0" borderId="129" xfId="0" applyNumberFormat="1" applyFont="1" applyBorder="1" applyAlignment="1">
      <alignment horizontal="centerContinuous" vertical="center" wrapText="1"/>
    </xf>
    <xf numFmtId="0" fontId="9" fillId="0" borderId="126" xfId="0" applyFont="1" applyBorder="1" applyAlignment="1">
      <alignment horizontal="centerContinuous" vertical="center" wrapText="1"/>
    </xf>
    <xf numFmtId="0" fontId="6" fillId="0" borderId="0" xfId="0" applyFont="1" applyBorder="1" applyAlignment="1">
      <alignment vertical="top"/>
    </xf>
    <xf numFmtId="0" fontId="66" fillId="0" borderId="101" xfId="0" applyFont="1" applyBorder="1" applyAlignment="1">
      <alignment horizontal="center" vertical="center" wrapText="1"/>
    </xf>
    <xf numFmtId="0" fontId="66" fillId="0" borderId="33" xfId="0" applyFont="1" applyBorder="1" applyAlignment="1">
      <alignment horizontal="center" vertical="center" wrapText="1"/>
    </xf>
    <xf numFmtId="3" fontId="66" fillId="2" borderId="28" xfId="0" applyNumberFormat="1" applyFont="1" applyFill="1" applyBorder="1" applyAlignment="1">
      <alignment horizontal="centerContinuous" vertical="center" wrapText="1"/>
    </xf>
    <xf numFmtId="3" fontId="66" fillId="0" borderId="34" xfId="0" applyNumberFormat="1" applyFont="1" applyBorder="1" applyAlignment="1">
      <alignment horizontal="centerContinuous" vertical="center" wrapText="1"/>
    </xf>
    <xf numFmtId="3" fontId="66" fillId="0" borderId="12" xfId="0" applyNumberFormat="1" applyFont="1" applyBorder="1" applyAlignment="1">
      <alignment horizontal="center" vertical="center" wrapText="1"/>
    </xf>
    <xf numFmtId="3" fontId="66" fillId="0" borderId="80" xfId="0" applyNumberFormat="1" applyFont="1" applyBorder="1" applyAlignment="1">
      <alignment horizontal="centerContinuous" vertical="center" wrapText="1"/>
    </xf>
    <xf numFmtId="0" fontId="66" fillId="0" borderId="33" xfId="0" applyFont="1" applyBorder="1" applyAlignment="1">
      <alignment horizontal="center" vertical="center"/>
    </xf>
    <xf numFmtId="0" fontId="66" fillId="0" borderId="0" xfId="0" applyFont="1" applyBorder="1" applyAlignment="1">
      <alignment vertical="center"/>
    </xf>
    <xf numFmtId="164" fontId="7" fillId="0" borderId="101" xfId="0" applyFont="1" applyBorder="1" applyAlignment="1">
      <alignment horizontal="center" vertical="center" wrapText="1"/>
    </xf>
    <xf numFmtId="164" fontId="93" fillId="0" borderId="33" xfId="0" applyFont="1" applyBorder="1" applyAlignment="1">
      <alignment vertical="center" wrapText="1"/>
    </xf>
    <xf numFmtId="3" fontId="7" fillId="0" borderId="28" xfId="0" applyNumberFormat="1" applyFont="1" applyBorder="1" applyAlignment="1">
      <alignment vertical="center" wrapText="1"/>
    </xf>
    <xf numFmtId="3" fontId="7" fillId="0" borderId="34" xfId="0" applyNumberFormat="1" applyFont="1" applyBorder="1" applyAlignment="1">
      <alignment vertical="center" wrapText="1"/>
    </xf>
    <xf numFmtId="164" fontId="7" fillId="0" borderId="103" xfId="0" applyNumberFormat="1" applyFont="1" applyBorder="1" applyAlignment="1">
      <alignment vertical="center" wrapText="1"/>
    </xf>
    <xf numFmtId="164" fontId="74" fillId="0" borderId="33" xfId="0" applyNumberFormat="1" applyFont="1" applyBorder="1" applyAlignment="1">
      <alignment vertical="center"/>
    </xf>
    <xf numFmtId="0" fontId="7" fillId="0" borderId="0" xfId="0" applyFont="1" applyBorder="1" applyAlignment="1">
      <alignment/>
    </xf>
    <xf numFmtId="0" fontId="7" fillId="0" borderId="101" xfId="0" applyFont="1" applyBorder="1" applyAlignment="1">
      <alignment horizontal="center" vertical="center" wrapText="1"/>
    </xf>
    <xf numFmtId="0" fontId="74" fillId="0" borderId="33" xfId="0" applyFont="1" applyBorder="1" applyAlignment="1">
      <alignment vertical="center" wrapText="1"/>
    </xf>
    <xf numFmtId="3" fontId="7" fillId="2" borderId="28" xfId="0" applyNumberFormat="1" applyFont="1" applyFill="1" applyBorder="1" applyAlignment="1">
      <alignment vertical="center" wrapText="1"/>
    </xf>
    <xf numFmtId="3" fontId="7" fillId="0" borderId="12" xfId="0" applyNumberFormat="1" applyFont="1" applyBorder="1" applyAlignment="1">
      <alignment vertical="center" wrapText="1"/>
    </xf>
    <xf numFmtId="164" fontId="7" fillId="0" borderId="80" xfId="0" applyNumberFormat="1" applyFont="1" applyBorder="1" applyAlignment="1">
      <alignment vertical="center" wrapText="1"/>
    </xf>
    <xf numFmtId="0" fontId="9" fillId="0" borderId="60" xfId="0" applyFont="1" applyBorder="1" applyAlignment="1">
      <alignment horizontal="center" wrapText="1"/>
    </xf>
    <xf numFmtId="0" fontId="9" fillId="0" borderId="41" xfId="0" applyFont="1" applyBorder="1" applyAlignment="1">
      <alignment wrapText="1"/>
    </xf>
    <xf numFmtId="3" fontId="9" fillId="2" borderId="53" xfId="0" applyNumberFormat="1" applyFont="1" applyFill="1" applyBorder="1" applyAlignment="1">
      <alignment vertical="center"/>
    </xf>
    <xf numFmtId="3" fontId="9" fillId="0" borderId="43" xfId="0" applyNumberFormat="1" applyFont="1" applyBorder="1" applyAlignment="1">
      <alignment wrapText="1"/>
    </xf>
    <xf numFmtId="3" fontId="9" fillId="0" borderId="6" xfId="0" applyNumberFormat="1" applyFont="1" applyBorder="1" applyAlignment="1">
      <alignment wrapText="1"/>
    </xf>
    <xf numFmtId="164" fontId="9" fillId="0" borderId="15" xfId="0" applyNumberFormat="1" applyFont="1" applyBorder="1" applyAlignment="1">
      <alignment vertical="center" wrapText="1"/>
    </xf>
    <xf numFmtId="164" fontId="87" fillId="0" borderId="41" xfId="0" applyNumberFormat="1" applyFont="1" applyBorder="1" applyAlignment="1">
      <alignment/>
    </xf>
    <xf numFmtId="0" fontId="7" fillId="0" borderId="0" xfId="0" applyFont="1" applyBorder="1" applyAlignment="1">
      <alignment vertical="center"/>
    </xf>
    <xf numFmtId="3" fontId="9" fillId="2" borderId="42" xfId="0" applyNumberFormat="1" applyFont="1" applyFill="1" applyBorder="1" applyAlignment="1">
      <alignment vertical="center"/>
    </xf>
    <xf numFmtId="164" fontId="9" fillId="0" borderId="6" xfId="0" applyNumberFormat="1"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xf>
    <xf numFmtId="0" fontId="9" fillId="0" borderId="41" xfId="0" applyFont="1" applyBorder="1" applyAlignment="1">
      <alignment wrapText="1"/>
    </xf>
    <xf numFmtId="164" fontId="9" fillId="0" borderId="18" xfId="0" applyNumberFormat="1" applyFont="1" applyBorder="1" applyAlignment="1">
      <alignment vertical="center" wrapText="1"/>
    </xf>
    <xf numFmtId="0" fontId="7" fillId="0" borderId="101" xfId="0" applyFont="1" applyBorder="1" applyAlignment="1">
      <alignment horizontal="center" wrapText="1"/>
    </xf>
    <xf numFmtId="3" fontId="7" fillId="2" borderId="28" xfId="0" applyNumberFormat="1" applyFont="1" applyFill="1" applyBorder="1" applyAlignment="1">
      <alignment horizontal="right" vertical="center"/>
    </xf>
    <xf numFmtId="3" fontId="7" fillId="0" borderId="34"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164" fontId="74" fillId="0" borderId="33" xfId="0" applyNumberFormat="1" applyFont="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vertical="top"/>
    </xf>
    <xf numFmtId="0" fontId="74" fillId="2" borderId="33" xfId="0" applyFont="1" applyFill="1" applyBorder="1" applyAlignment="1">
      <alignment vertical="center" wrapText="1"/>
    </xf>
    <xf numFmtId="0" fontId="9" fillId="0" borderId="48" xfId="0" applyFont="1" applyBorder="1" applyAlignment="1">
      <alignment horizontal="centerContinuous" vertical="center" wrapText="1"/>
    </xf>
    <xf numFmtId="0" fontId="9" fillId="0" borderId="36" xfId="0" applyFont="1" applyBorder="1" applyAlignment="1">
      <alignment vertical="center" wrapText="1"/>
    </xf>
    <xf numFmtId="3" fontId="9" fillId="2" borderId="37" xfId="0" applyNumberFormat="1" applyFont="1" applyFill="1" applyBorder="1" applyAlignment="1">
      <alignment vertical="center" wrapText="1"/>
    </xf>
    <xf numFmtId="3" fontId="9" fillId="0" borderId="38" xfId="0" applyNumberFormat="1" applyFont="1" applyBorder="1" applyAlignment="1">
      <alignment vertical="center" wrapText="1"/>
    </xf>
    <xf numFmtId="3" fontId="9" fillId="0" borderId="15" xfId="0" applyNumberFormat="1" applyFont="1" applyBorder="1" applyAlignment="1">
      <alignment vertical="center" wrapText="1"/>
    </xf>
    <xf numFmtId="164" fontId="87" fillId="0" borderId="36" xfId="0" applyNumberFormat="1" applyFont="1" applyBorder="1" applyAlignment="1">
      <alignment vertical="center"/>
    </xf>
    <xf numFmtId="0" fontId="9" fillId="0" borderId="60" xfId="0" applyFont="1" applyBorder="1" applyAlignment="1">
      <alignment horizontal="centerContinuous" vertical="center" wrapText="1"/>
    </xf>
    <xf numFmtId="0" fontId="9" fillId="0" borderId="41" xfId="0" applyFont="1" applyBorder="1" applyAlignment="1">
      <alignment vertical="center" wrapText="1"/>
    </xf>
    <xf numFmtId="3" fontId="9" fillId="2" borderId="42" xfId="0" applyNumberFormat="1" applyFont="1" applyFill="1" applyBorder="1" applyAlignment="1">
      <alignment vertical="center" wrapText="1"/>
    </xf>
    <xf numFmtId="3" fontId="9" fillId="0" borderId="43" xfId="0" applyNumberFormat="1" applyFont="1" applyBorder="1" applyAlignment="1">
      <alignment vertical="center" wrapText="1"/>
    </xf>
    <xf numFmtId="3" fontId="9" fillId="0" borderId="6" xfId="0" applyNumberFormat="1" applyFont="1" applyBorder="1" applyAlignment="1">
      <alignment vertical="center" wrapText="1"/>
    </xf>
    <xf numFmtId="164" fontId="87" fillId="0" borderId="41" xfId="0" applyNumberFormat="1" applyFont="1" applyBorder="1" applyAlignment="1">
      <alignment vertical="center"/>
    </xf>
    <xf numFmtId="0" fontId="9" fillId="0" borderId="41" xfId="0" applyFont="1" applyBorder="1" applyAlignment="1">
      <alignment vertical="center" wrapText="1"/>
    </xf>
    <xf numFmtId="3" fontId="9" fillId="2" borderId="42" xfId="0" applyNumberFormat="1" applyFont="1" applyFill="1" applyBorder="1" applyAlignment="1">
      <alignment horizontal="right" vertical="center" wrapText="1"/>
    </xf>
    <xf numFmtId="3" fontId="9" fillId="2" borderId="111" xfId="0" applyNumberFormat="1" applyFont="1" applyFill="1" applyBorder="1" applyAlignment="1">
      <alignment horizontal="right" vertical="center" wrapText="1"/>
    </xf>
    <xf numFmtId="0" fontId="7" fillId="0" borderId="101" xfId="0" applyFont="1" applyBorder="1" applyAlignment="1">
      <alignment horizontal="center" vertical="center" wrapText="1"/>
    </xf>
    <xf numFmtId="0" fontId="74" fillId="0" borderId="33" xfId="0" applyFont="1" applyBorder="1" applyAlignment="1">
      <alignment vertical="center" wrapText="1"/>
    </xf>
    <xf numFmtId="3" fontId="7" fillId="0" borderId="28" xfId="0" applyNumberFormat="1" applyFont="1" applyBorder="1" applyAlignment="1">
      <alignment horizontal="right" vertical="center" wrapText="1"/>
    </xf>
    <xf numFmtId="164" fontId="7" fillId="0" borderId="80" xfId="0" applyNumberFormat="1" applyFont="1" applyBorder="1" applyAlignment="1">
      <alignment vertical="center" wrapText="1"/>
    </xf>
    <xf numFmtId="0" fontId="9" fillId="0" borderId="54" xfId="0" applyFont="1" applyBorder="1" applyAlignment="1">
      <alignment horizontal="center" vertical="center" wrapText="1"/>
    </xf>
    <xf numFmtId="0" fontId="9" fillId="0" borderId="55" xfId="0" applyFont="1" applyBorder="1" applyAlignment="1">
      <alignment vertical="center" wrapText="1"/>
    </xf>
    <xf numFmtId="3" fontId="9" fillId="2" borderId="53" xfId="0" applyNumberFormat="1" applyFont="1" applyFill="1" applyBorder="1" applyAlignment="1">
      <alignment vertical="center" wrapText="1"/>
    </xf>
    <xf numFmtId="3" fontId="9" fillId="0" borderId="30" xfId="0" applyNumberFormat="1" applyFont="1" applyBorder="1" applyAlignment="1">
      <alignment vertical="center" wrapText="1"/>
    </xf>
    <xf numFmtId="164" fontId="9" fillId="0" borderId="112" xfId="0" applyNumberFormat="1" applyFont="1" applyBorder="1" applyAlignment="1">
      <alignment vertical="center" wrapText="1"/>
    </xf>
    <xf numFmtId="164" fontId="87" fillId="0" borderId="55" xfId="0" applyNumberFormat="1" applyFont="1" applyBorder="1" applyAlignment="1">
      <alignment vertical="center"/>
    </xf>
    <xf numFmtId="0" fontId="9" fillId="0" borderId="0" xfId="0" applyFont="1" applyBorder="1" applyAlignment="1">
      <alignment vertical="center" wrapText="1"/>
    </xf>
    <xf numFmtId="0" fontId="9" fillId="0" borderId="60" xfId="0" applyFont="1" applyBorder="1" applyAlignment="1">
      <alignment horizontal="centerContinuous" vertical="center" wrapText="1"/>
    </xf>
    <xf numFmtId="0" fontId="9" fillId="0" borderId="41" xfId="0" applyFont="1" applyBorder="1" applyAlignment="1">
      <alignment vertical="center" wrapText="1"/>
    </xf>
    <xf numFmtId="3" fontId="9" fillId="0" borderId="42" xfId="0" applyNumberFormat="1" applyFont="1" applyBorder="1" applyAlignment="1">
      <alignment vertical="center" wrapText="1"/>
    </xf>
    <xf numFmtId="164" fontId="9" fillId="0" borderId="50" xfId="0" applyNumberFormat="1" applyFont="1" applyBorder="1" applyAlignment="1">
      <alignment vertical="center" wrapText="1"/>
    </xf>
    <xf numFmtId="0" fontId="9" fillId="0" borderId="0" xfId="0" applyFont="1" applyBorder="1" applyAlignment="1">
      <alignment/>
    </xf>
    <xf numFmtId="0" fontId="9" fillId="0" borderId="0" xfId="0" applyFont="1" applyBorder="1" applyAlignment="1">
      <alignment horizontal="centerContinuous" vertical="center"/>
    </xf>
    <xf numFmtId="0" fontId="9" fillId="0" borderId="54" xfId="0" applyFont="1" applyBorder="1" applyAlignment="1">
      <alignment horizontal="centerContinuous" vertical="center" wrapText="1"/>
    </xf>
    <xf numFmtId="0" fontId="9" fillId="0" borderId="55" xfId="0" applyFont="1" applyBorder="1" applyAlignment="1">
      <alignment vertical="center" wrapText="1"/>
    </xf>
    <xf numFmtId="0" fontId="7" fillId="0" borderId="101" xfId="0" applyFont="1" applyBorder="1" applyAlignment="1">
      <alignment horizontal="center" vertical="center"/>
    </xf>
    <xf numFmtId="0" fontId="74" fillId="0" borderId="33" xfId="0" applyFont="1" applyBorder="1" applyAlignment="1">
      <alignment vertical="center"/>
    </xf>
    <xf numFmtId="3" fontId="7" fillId="2" borderId="28" xfId="0" applyNumberFormat="1" applyFont="1" applyFill="1" applyBorder="1" applyAlignment="1">
      <alignment vertical="center"/>
    </xf>
    <xf numFmtId="3" fontId="7" fillId="0" borderId="101" xfId="0" applyNumberFormat="1" applyFont="1" applyBorder="1" applyAlignment="1">
      <alignment vertical="center" wrapText="1"/>
    </xf>
    <xf numFmtId="0" fontId="7" fillId="0" borderId="0" xfId="0" applyFont="1" applyBorder="1" applyAlignment="1">
      <alignment vertical="center"/>
    </xf>
    <xf numFmtId="0" fontId="8" fillId="0" borderId="101" xfId="0" applyFont="1" applyBorder="1" applyAlignment="1">
      <alignment horizontal="center" vertical="center" wrapText="1"/>
    </xf>
    <xf numFmtId="0" fontId="8" fillId="0" borderId="33" xfId="0" applyFont="1" applyBorder="1" applyAlignment="1">
      <alignment vertical="center" wrapText="1"/>
    </xf>
    <xf numFmtId="164" fontId="7" fillId="0" borderId="12" xfId="0" applyNumberFormat="1" applyFont="1" applyBorder="1" applyAlignment="1">
      <alignment vertical="center" wrapText="1"/>
    </xf>
    <xf numFmtId="0" fontId="9" fillId="0" borderId="54" xfId="0" applyFont="1" applyBorder="1" applyAlignment="1">
      <alignment horizontal="centerContinuous" vertical="center" wrapText="1"/>
    </xf>
    <xf numFmtId="0" fontId="9" fillId="0" borderId="98" xfId="0" applyFont="1" applyBorder="1" applyAlignment="1">
      <alignment horizontal="centerContinuous" vertical="center" wrapText="1"/>
    </xf>
    <xf numFmtId="0" fontId="9" fillId="0" borderId="27" xfId="0" applyFont="1" applyBorder="1" applyAlignment="1">
      <alignment vertical="center" wrapText="1"/>
    </xf>
    <xf numFmtId="3" fontId="9" fillId="2" borderId="44" xfId="0" applyNumberFormat="1" applyFont="1" applyFill="1" applyBorder="1" applyAlignment="1">
      <alignment vertical="center" wrapText="1"/>
    </xf>
    <xf numFmtId="3" fontId="9" fillId="0" borderId="45" xfId="0" applyNumberFormat="1" applyFont="1" applyBorder="1" applyAlignment="1">
      <alignment vertical="center" wrapText="1"/>
    </xf>
    <xf numFmtId="3" fontId="9" fillId="0" borderId="46" xfId="0" applyNumberFormat="1" applyFont="1" applyBorder="1" applyAlignment="1">
      <alignment vertical="center" wrapText="1"/>
    </xf>
    <xf numFmtId="164" fontId="9" fillId="0" borderId="85" xfId="0" applyNumberFormat="1" applyFont="1" applyBorder="1" applyAlignment="1">
      <alignment vertical="center" wrapText="1"/>
    </xf>
    <xf numFmtId="164" fontId="87" fillId="0" borderId="27" xfId="0" applyNumberFormat="1" applyFont="1" applyBorder="1" applyAlignment="1">
      <alignment vertical="center"/>
    </xf>
    <xf numFmtId="0" fontId="7" fillId="0" borderId="107" xfId="0" applyFont="1" applyBorder="1" applyAlignment="1">
      <alignment horizontal="centerContinuous" vertical="center" wrapText="1"/>
    </xf>
    <xf numFmtId="0" fontId="8" fillId="0" borderId="78" xfId="0" applyFont="1" applyBorder="1" applyAlignment="1">
      <alignment vertical="center" wrapText="1"/>
    </xf>
    <xf numFmtId="3" fontId="7" fillId="2" borderId="130" xfId="0" applyNumberFormat="1" applyFont="1" applyFill="1" applyBorder="1" applyAlignment="1">
      <alignment vertical="center" wrapText="1"/>
    </xf>
    <xf numFmtId="3" fontId="7" fillId="0" borderId="107" xfId="0" applyNumberFormat="1" applyFont="1" applyBorder="1" applyAlignment="1">
      <alignment vertical="center" wrapText="1"/>
    </xf>
    <xf numFmtId="3" fontId="7" fillId="0" borderId="76" xfId="0" applyNumberFormat="1" applyFont="1" applyBorder="1" applyAlignment="1">
      <alignment vertical="center" wrapText="1"/>
    </xf>
    <xf numFmtId="164" fontId="7" fillId="0" borderId="76" xfId="0" applyNumberFormat="1" applyFont="1" applyBorder="1" applyAlignment="1">
      <alignment vertical="center" wrapText="1"/>
    </xf>
    <xf numFmtId="164" fontId="74" fillId="0" borderId="78" xfId="0" applyNumberFormat="1" applyFont="1" applyBorder="1" applyAlignment="1">
      <alignment vertical="center"/>
    </xf>
    <xf numFmtId="0" fontId="7" fillId="0" borderId="0" xfId="0" applyFont="1" applyBorder="1" applyAlignment="1">
      <alignment vertical="center"/>
    </xf>
    <xf numFmtId="0" fontId="66" fillId="0" borderId="59" xfId="0" applyFont="1" applyBorder="1" applyAlignment="1">
      <alignment vertical="center" wrapText="1"/>
    </xf>
    <xf numFmtId="3" fontId="9" fillId="0" borderId="43" xfId="0" applyNumberFormat="1" applyFont="1" applyBorder="1" applyAlignment="1">
      <alignment vertical="center" wrapText="1"/>
    </xf>
    <xf numFmtId="164" fontId="9" fillId="0" borderId="43" xfId="0" applyNumberFormat="1" applyFont="1" applyBorder="1" applyAlignment="1">
      <alignment vertical="center" wrapText="1"/>
    </xf>
    <xf numFmtId="164" fontId="87" fillId="0" borderId="41" xfId="0" applyNumberFormat="1" applyFont="1" applyBorder="1" applyAlignment="1">
      <alignment vertical="center"/>
    </xf>
    <xf numFmtId="0" fontId="87" fillId="0" borderId="60" xfId="0" applyFont="1" applyBorder="1" applyAlignment="1">
      <alignment horizontal="centerContinuous" vertical="center" wrapText="1"/>
    </xf>
    <xf numFmtId="0" fontId="87" fillId="0" borderId="59" xfId="0" applyFont="1" applyBorder="1" applyAlignment="1">
      <alignment vertical="center" wrapText="1"/>
    </xf>
    <xf numFmtId="3" fontId="87" fillId="2" borderId="42" xfId="0" applyNumberFormat="1" applyFont="1" applyFill="1" applyBorder="1" applyAlignment="1">
      <alignment vertical="center" wrapText="1"/>
    </xf>
    <xf numFmtId="3" fontId="87" fillId="0" borderId="43" xfId="0" applyNumberFormat="1" applyFont="1" applyBorder="1" applyAlignment="1">
      <alignment vertical="center" wrapText="1"/>
    </xf>
    <xf numFmtId="3" fontId="87" fillId="0" borderId="0" xfId="0" applyNumberFormat="1" applyFont="1" applyBorder="1" applyAlignment="1">
      <alignment vertical="center" wrapText="1"/>
    </xf>
    <xf numFmtId="164" fontId="87" fillId="0" borderId="6" xfId="0" applyNumberFormat="1" applyFont="1" applyBorder="1" applyAlignment="1">
      <alignment vertical="center" wrapText="1"/>
    </xf>
    <xf numFmtId="0" fontId="87" fillId="0" borderId="0" xfId="0" applyFont="1" applyBorder="1" applyAlignment="1">
      <alignment vertical="center"/>
    </xf>
    <xf numFmtId="164" fontId="87" fillId="0" borderId="18" xfId="0" applyNumberFormat="1" applyFont="1" applyBorder="1" applyAlignment="1">
      <alignment vertical="center" wrapText="1"/>
    </xf>
    <xf numFmtId="164" fontId="33" fillId="0" borderId="33" xfId="0" applyFont="1" applyBorder="1" applyAlignment="1">
      <alignment vertical="center" wrapText="1"/>
    </xf>
    <xf numFmtId="3" fontId="26" fillId="0" borderId="60" xfId="0" applyFont="1" applyBorder="1" applyAlignment="1">
      <alignment horizontal="center" vertical="center"/>
    </xf>
    <xf numFmtId="164" fontId="26" fillId="0" borderId="41" xfId="0" applyFont="1" applyBorder="1" applyAlignment="1">
      <alignment vertical="center" wrapText="1"/>
    </xf>
    <xf numFmtId="3" fontId="7" fillId="2" borderId="42" xfId="0" applyNumberFormat="1" applyFont="1" applyFill="1" applyBorder="1" applyAlignment="1">
      <alignment vertical="center" wrapText="1"/>
    </xf>
    <xf numFmtId="3" fontId="26" fillId="0" borderId="6" xfId="0" applyNumberFormat="1" applyFont="1" applyBorder="1" applyAlignment="1">
      <alignment vertical="center"/>
    </xf>
    <xf numFmtId="164" fontId="26" fillId="0" borderId="6" xfId="0" applyFont="1" applyBorder="1" applyAlignment="1">
      <alignment vertical="center"/>
    </xf>
    <xf numFmtId="164" fontId="74" fillId="0" borderId="41" xfId="0" applyNumberFormat="1" applyFont="1" applyBorder="1" applyAlignment="1">
      <alignment vertical="center"/>
    </xf>
    <xf numFmtId="164" fontId="40" fillId="0" borderId="6" xfId="0" applyFont="1" applyBorder="1" applyAlignment="1">
      <alignment vertical="center"/>
    </xf>
    <xf numFmtId="0" fontId="74" fillId="0" borderId="0" xfId="0" applyFont="1" applyBorder="1" applyAlignment="1">
      <alignment/>
    </xf>
    <xf numFmtId="3" fontId="40" fillId="0" borderId="60" xfId="0" applyFont="1" applyBorder="1" applyAlignment="1">
      <alignment horizontal="center" vertical="center"/>
    </xf>
    <xf numFmtId="164" fontId="40" fillId="0" borderId="41" xfId="0" applyFont="1" applyBorder="1" applyAlignment="1">
      <alignment vertical="center" wrapText="1"/>
    </xf>
    <xf numFmtId="3" fontId="40" fillId="0" borderId="6" xfId="0" applyNumberFormat="1" applyFont="1" applyBorder="1" applyAlignment="1">
      <alignment vertical="center"/>
    </xf>
    <xf numFmtId="3" fontId="25" fillId="0" borderId="60" xfId="0" applyFont="1" applyBorder="1" applyAlignment="1">
      <alignment horizontal="center" vertical="center"/>
    </xf>
    <xf numFmtId="164" fontId="25" fillId="0" borderId="41" xfId="0" applyFont="1" applyBorder="1" applyAlignment="1">
      <alignment vertical="center" wrapText="1"/>
    </xf>
    <xf numFmtId="3" fontId="74" fillId="2" borderId="42" xfId="0" applyNumberFormat="1" applyFont="1" applyFill="1" applyBorder="1" applyAlignment="1">
      <alignment vertical="center" wrapText="1"/>
    </xf>
    <xf numFmtId="3" fontId="25" fillId="0" borderId="6" xfId="0" applyNumberFormat="1" applyFont="1" applyBorder="1" applyAlignment="1">
      <alignment vertical="center"/>
    </xf>
    <xf numFmtId="164" fontId="25" fillId="0" borderId="6" xfId="0" applyFont="1" applyBorder="1" applyAlignment="1">
      <alignment vertical="center"/>
    </xf>
    <xf numFmtId="164" fontId="74" fillId="0" borderId="41" xfId="0" applyNumberFormat="1" applyFont="1" applyBorder="1" applyAlignment="1">
      <alignment vertical="center"/>
    </xf>
    <xf numFmtId="164" fontId="87" fillId="0" borderId="41" xfId="0" applyNumberFormat="1" applyFont="1" applyBorder="1" applyAlignment="1">
      <alignment horizontal="right" vertical="center"/>
    </xf>
    <xf numFmtId="49" fontId="26" fillId="0" borderId="41" xfId="0" applyNumberFormat="1" applyFont="1" applyBorder="1" applyAlignment="1">
      <alignment vertical="center" wrapText="1"/>
    </xf>
    <xf numFmtId="3" fontId="7" fillId="0" borderId="42" xfId="0" applyNumberFormat="1" applyFont="1" applyBorder="1" applyAlignment="1">
      <alignment vertical="center" wrapText="1"/>
    </xf>
    <xf numFmtId="3" fontId="26" fillId="0" borderId="43" xfId="0" applyNumberFormat="1" applyFont="1" applyBorder="1" applyAlignment="1">
      <alignment vertical="center"/>
    </xf>
    <xf numFmtId="164" fontId="74" fillId="0" borderId="95" xfId="0" applyNumberFormat="1" applyFont="1" applyBorder="1" applyAlignment="1">
      <alignment vertical="center"/>
    </xf>
    <xf numFmtId="0" fontId="8" fillId="0" borderId="0" xfId="0" applyFont="1" applyBorder="1" applyAlignment="1">
      <alignment vertical="center" wrapText="1"/>
    </xf>
    <xf numFmtId="3" fontId="33" fillId="0" borderId="28" xfId="0" applyNumberFormat="1" applyFont="1" applyBorder="1" applyAlignment="1">
      <alignment vertical="center"/>
    </xf>
    <xf numFmtId="3" fontId="33" fillId="0" borderId="34" xfId="0" applyNumberFormat="1" applyFont="1" applyBorder="1" applyAlignment="1">
      <alignment vertical="center"/>
    </xf>
    <xf numFmtId="164" fontId="33" fillId="0" borderId="12" xfId="0" applyNumberFormat="1" applyFont="1" applyBorder="1" applyAlignment="1">
      <alignment vertical="center"/>
    </xf>
    <xf numFmtId="165" fontId="77" fillId="0" borderId="33" xfId="0" applyNumberFormat="1" applyFont="1" applyBorder="1" applyAlignment="1">
      <alignment horizontal="right" vertical="center"/>
    </xf>
    <xf numFmtId="3" fontId="31" fillId="0" borderId="53" xfId="0" applyNumberFormat="1" applyFont="1" applyBorder="1" applyAlignment="1">
      <alignment vertical="center"/>
    </xf>
    <xf numFmtId="3" fontId="31" fillId="0" borderId="30" xfId="0" applyNumberFormat="1" applyFont="1" applyBorder="1" applyAlignment="1">
      <alignment vertical="center"/>
    </xf>
    <xf numFmtId="164" fontId="87" fillId="0" borderId="55" xfId="0" applyNumberFormat="1" applyFont="1" applyBorder="1" applyAlignment="1">
      <alignment vertical="center"/>
    </xf>
    <xf numFmtId="3" fontId="31" fillId="0" borderId="42" xfId="0" applyNumberFormat="1" applyFont="1" applyBorder="1" applyAlignment="1">
      <alignment vertical="center"/>
    </xf>
    <xf numFmtId="164" fontId="31" fillId="0" borderId="6" xfId="0" applyFont="1" applyBorder="1" applyAlignment="1">
      <alignment vertical="center"/>
    </xf>
    <xf numFmtId="3" fontId="31" fillId="0" borderId="111" xfId="0" applyNumberFormat="1" applyFont="1" applyBorder="1" applyAlignment="1">
      <alignment vertical="center"/>
    </xf>
    <xf numFmtId="3" fontId="31" fillId="0" borderId="93" xfId="0" applyNumberFormat="1" applyFont="1" applyBorder="1" applyAlignment="1">
      <alignment vertical="center"/>
    </xf>
    <xf numFmtId="3" fontId="31" fillId="0" borderId="18" xfId="0" applyNumberFormat="1" applyFont="1" applyBorder="1" applyAlignment="1">
      <alignment vertical="center"/>
    </xf>
    <xf numFmtId="164" fontId="87" fillId="0" borderId="95" xfId="0" applyNumberFormat="1" applyFont="1" applyBorder="1" applyAlignment="1">
      <alignment vertical="center"/>
    </xf>
    <xf numFmtId="0" fontId="95" fillId="0" borderId="0" xfId="0" applyFont="1" applyBorder="1" applyAlignment="1">
      <alignment/>
    </xf>
    <xf numFmtId="3" fontId="96" fillId="0" borderId="0" xfId="0" applyNumberFormat="1" applyFont="1" applyBorder="1" applyAlignment="1">
      <alignment/>
    </xf>
    <xf numFmtId="4" fontId="4" fillId="0" borderId="0" xfId="0" applyNumberFormat="1" applyFont="1" applyBorder="1" applyAlignment="1">
      <alignment/>
    </xf>
    <xf numFmtId="3" fontId="4" fillId="0" borderId="0" xfId="0" applyNumberFormat="1" applyFont="1" applyBorder="1" applyAlignment="1">
      <alignment/>
    </xf>
    <xf numFmtId="4" fontId="66" fillId="0" borderId="0" xfId="0" applyNumberFormat="1" applyFont="1" applyBorder="1" applyAlignment="1">
      <alignment/>
    </xf>
    <xf numFmtId="164" fontId="42" fillId="0" borderId="0" xfId="0" applyFont="1" applyAlignment="1">
      <alignment horizontal="centerContinuous" vertical="center" wrapText="1"/>
    </xf>
    <xf numFmtId="164" fontId="97" fillId="0" borderId="0" xfId="0" applyFont="1" applyAlignment="1">
      <alignment horizontal="centerContinuous" vertical="center" wrapText="1"/>
    </xf>
    <xf numFmtId="166" fontId="98" fillId="0" borderId="0" xfId="0" applyFont="1" applyAlignment="1">
      <alignment horizontal="centerContinuous" vertical="center" wrapText="1"/>
    </xf>
    <xf numFmtId="166" fontId="97" fillId="0" borderId="0" xfId="0" applyFont="1" applyAlignment="1">
      <alignment horizontal="centerContinuous" vertical="center" wrapText="1"/>
    </xf>
    <xf numFmtId="166" fontId="21" fillId="0" borderId="0" xfId="0" applyFont="1" applyAlignment="1">
      <alignment horizontal="centerContinuous" vertical="center" wrapText="1"/>
    </xf>
    <xf numFmtId="164" fontId="33" fillId="0" borderId="0" xfId="0" applyFont="1" applyAlignment="1">
      <alignment horizontal="centerContinuous" vertical="center" wrapText="1"/>
    </xf>
    <xf numFmtId="166" fontId="15" fillId="0" borderId="0" xfId="0" applyFont="1" applyBorder="1" applyAlignment="1">
      <alignment horizontal="centerContinuous"/>
    </xf>
    <xf numFmtId="166" fontId="41" fillId="0" borderId="0" xfId="0" applyFont="1" applyBorder="1" applyAlignment="1">
      <alignment horizontal="center"/>
    </xf>
    <xf numFmtId="164" fontId="30" fillId="0" borderId="54" xfId="0" applyFont="1" applyBorder="1" applyAlignment="1">
      <alignment horizontal="center" vertical="center"/>
    </xf>
    <xf numFmtId="164" fontId="30" fillId="0" borderId="55" xfId="0" applyFont="1" applyBorder="1" applyAlignment="1">
      <alignment horizontal="center" vertical="center"/>
    </xf>
    <xf numFmtId="164" fontId="30" fillId="0" borderId="112" xfId="0" applyFont="1" applyBorder="1" applyAlignment="1">
      <alignment horizontal="center" vertical="center"/>
    </xf>
    <xf numFmtId="164" fontId="30" fillId="0" borderId="103" xfId="0" applyFont="1" applyBorder="1" applyAlignment="1">
      <alignment horizontal="center" vertical="center"/>
    </xf>
    <xf numFmtId="164" fontId="30" fillId="0" borderId="102" xfId="0" applyFont="1" applyBorder="1" applyAlignment="1">
      <alignment vertical="center"/>
    </xf>
    <xf numFmtId="164" fontId="30" fillId="0" borderId="103" xfId="0" applyFont="1" applyBorder="1" applyAlignment="1">
      <alignment horizontal="centerContinuous" vertical="center" wrapText="1"/>
    </xf>
    <xf numFmtId="166" fontId="34" fillId="0" borderId="103" xfId="0" applyFont="1" applyBorder="1" applyAlignment="1">
      <alignment horizontal="centerContinuous" vertical="center" wrapText="1"/>
    </xf>
    <xf numFmtId="166" fontId="30" fillId="0" borderId="110" xfId="0" applyFont="1" applyBorder="1" applyAlignment="1">
      <alignment horizontal="centerContinuous" vertical="center" wrapText="1"/>
    </xf>
    <xf numFmtId="164" fontId="30" fillId="0" borderId="12" xfId="0" applyFont="1" applyBorder="1" applyAlignment="1">
      <alignment horizontal="centerContinuous" vertical="center" wrapText="1"/>
    </xf>
    <xf numFmtId="166" fontId="30" fillId="0" borderId="33" xfId="0" applyFont="1" applyBorder="1" applyAlignment="1">
      <alignment horizontal="centerContinuous" vertical="center" wrapText="1"/>
    </xf>
    <xf numFmtId="164" fontId="30" fillId="0" borderId="34" xfId="0" applyFont="1" applyBorder="1" applyAlignment="1">
      <alignment horizontal="centerContinuous" vertical="center" wrapText="1"/>
    </xf>
    <xf numFmtId="164" fontId="30" fillId="0" borderId="12" xfId="0" applyFont="1" applyBorder="1" applyAlignment="1">
      <alignment horizontal="centerContinuous" vertical="center" wrapText="1"/>
    </xf>
    <xf numFmtId="0" fontId="39" fillId="0" borderId="0" xfId="0" applyFont="1" applyBorder="1" applyAlignment="1">
      <alignment/>
    </xf>
    <xf numFmtId="49" fontId="8" fillId="0" borderId="96" xfId="0" applyNumberFormat="1" applyFont="1" applyFill="1" applyBorder="1" applyAlignment="1" applyProtection="1">
      <alignment horizontal="center" vertical="top" wrapText="1"/>
      <protection locked="0"/>
    </xf>
    <xf numFmtId="0" fontId="11" fillId="0" borderId="41" xfId="0" applyNumberFormat="1" applyFont="1" applyFill="1" applyBorder="1" applyAlignment="1" applyProtection="1">
      <alignment horizontal="center" vertical="top" wrapText="1"/>
      <protection locked="0"/>
    </xf>
    <xf numFmtId="164" fontId="30" fillId="0" borderId="96" xfId="0" applyFont="1" applyBorder="1" applyAlignment="1">
      <alignment horizontal="center" vertical="center" wrapText="1"/>
    </xf>
    <xf numFmtId="0" fontId="33" fillId="0" borderId="80" xfId="0" applyFont="1" applyBorder="1" applyAlignment="1">
      <alignment horizontal="center" vertical="center" wrapText="1"/>
    </xf>
    <xf numFmtId="164" fontId="33" fillId="0" borderId="1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00" xfId="0" applyFont="1" applyBorder="1" applyAlignment="1">
      <alignment horizontal="center" vertical="center" wrapText="1"/>
    </xf>
    <xf numFmtId="0" fontId="31" fillId="0" borderId="31" xfId="0" applyFont="1" applyBorder="1" applyAlignment="1">
      <alignment horizontal="center" vertical="center" wrapText="1"/>
    </xf>
    <xf numFmtId="164" fontId="33" fillId="0" borderId="100" xfId="0" applyFont="1" applyBorder="1" applyAlignment="1">
      <alignment horizontal="center" vertical="center" wrapText="1"/>
    </xf>
    <xf numFmtId="0" fontId="33" fillId="0" borderId="31" xfId="0" applyFont="1" applyBorder="1" applyAlignment="1">
      <alignment horizontal="center" vertical="center" wrapText="1"/>
    </xf>
    <xf numFmtId="3" fontId="31" fillId="0" borderId="101" xfId="0" applyFont="1" applyBorder="1" applyAlignment="1">
      <alignment horizontal="center" vertical="center"/>
    </xf>
    <xf numFmtId="3" fontId="31" fillId="0" borderId="80" xfId="0" applyFont="1" applyBorder="1" applyAlignment="1">
      <alignment horizontal="center" vertical="center"/>
    </xf>
    <xf numFmtId="3" fontId="31" fillId="0" borderId="12" xfId="0" applyFont="1" applyBorder="1" applyAlignment="1">
      <alignment horizontal="center" vertical="center"/>
    </xf>
    <xf numFmtId="3" fontId="31" fillId="0" borderId="33" xfId="0" applyFont="1" applyBorder="1" applyAlignment="1">
      <alignment horizontal="center" vertical="center"/>
    </xf>
    <xf numFmtId="49" fontId="16" fillId="0" borderId="48" xfId="0" applyNumberFormat="1" applyFont="1" applyBorder="1" applyAlignment="1">
      <alignment horizontal="center" vertical="center" wrapText="1"/>
    </xf>
    <xf numFmtId="0" fontId="16" fillId="0" borderId="36" xfId="0" applyFont="1" applyBorder="1" applyAlignment="1">
      <alignment vertical="center" wrapText="1"/>
    </xf>
    <xf numFmtId="166" fontId="16" fillId="0" borderId="39" xfId="0" applyNumberFormat="1" applyFont="1" applyBorder="1" applyAlignment="1">
      <alignment horizontal="right" vertical="center" wrapText="1"/>
    </xf>
    <xf numFmtId="3" fontId="16" fillId="0" borderId="82" xfId="0" applyNumberFormat="1" applyFont="1" applyBorder="1" applyAlignment="1">
      <alignment vertical="center" wrapText="1"/>
    </xf>
    <xf numFmtId="3" fontId="16" fillId="0" borderId="48" xfId="0" applyNumberFormat="1" applyFont="1" applyBorder="1" applyAlignment="1">
      <alignment vertical="center" wrapText="1"/>
    </xf>
    <xf numFmtId="3" fontId="16" fillId="0" borderId="39" xfId="0" applyFont="1" applyBorder="1" applyAlignment="1">
      <alignment vertical="center" wrapText="1"/>
    </xf>
    <xf numFmtId="164" fontId="16" fillId="0" borderId="39" xfId="0" applyNumberFormat="1" applyFont="1" applyBorder="1" applyAlignment="1">
      <alignment vertical="center" wrapText="1"/>
    </xf>
    <xf numFmtId="165" fontId="16" fillId="0" borderId="36" xfId="0" applyNumberFormat="1" applyFont="1" applyBorder="1" applyAlignment="1">
      <alignment vertical="center" wrapText="1"/>
    </xf>
    <xf numFmtId="3" fontId="16" fillId="0" borderId="39" xfId="0" applyNumberFormat="1" applyFont="1" applyBorder="1" applyAlignment="1">
      <alignment vertical="center" wrapText="1"/>
    </xf>
    <xf numFmtId="164" fontId="16" fillId="0" borderId="36" xfId="0" applyNumberFormat="1" applyFont="1" applyBorder="1" applyAlignment="1">
      <alignment vertical="center"/>
    </xf>
    <xf numFmtId="3" fontId="16" fillId="0" borderId="38" xfId="0" applyNumberFormat="1" applyFont="1" applyBorder="1" applyAlignment="1">
      <alignment vertical="center"/>
    </xf>
    <xf numFmtId="164" fontId="16" fillId="0" borderId="36" xfId="0" applyNumberFormat="1" applyFont="1" applyBorder="1" applyAlignment="1">
      <alignment vertical="center" wrapText="1"/>
    </xf>
    <xf numFmtId="3" fontId="16" fillId="0" borderId="0" xfId="0" applyFont="1" applyAlignment="1">
      <alignment horizontal="center" vertical="center" wrapText="1"/>
    </xf>
    <xf numFmtId="49" fontId="33" fillId="0" borderId="60" xfId="0" applyNumberFormat="1" applyFont="1" applyBorder="1" applyAlignment="1">
      <alignment horizontal="center" vertical="center"/>
    </xf>
    <xf numFmtId="0" fontId="41" fillId="0" borderId="41" xfId="0" applyFont="1" applyBorder="1" applyAlignment="1">
      <alignment vertical="center"/>
    </xf>
    <xf numFmtId="166" fontId="41" fillId="0" borderId="6" xfId="0" applyNumberFormat="1" applyFont="1" applyBorder="1" applyAlignment="1">
      <alignment horizontal="right" vertical="center"/>
    </xf>
    <xf numFmtId="3" fontId="41" fillId="0" borderId="50" xfId="0" applyNumberFormat="1" applyFont="1" applyBorder="1" applyAlignment="1">
      <alignment vertical="center"/>
    </xf>
    <xf numFmtId="3" fontId="41" fillId="0" borderId="60" xfId="0" applyNumberFormat="1" applyFont="1" applyBorder="1" applyAlignment="1">
      <alignment vertical="center"/>
    </xf>
    <xf numFmtId="3" fontId="41" fillId="0" borderId="6" xfId="0" applyFont="1" applyBorder="1" applyAlignment="1">
      <alignment vertical="center"/>
    </xf>
    <xf numFmtId="164" fontId="41" fillId="0" borderId="6" xfId="0" applyNumberFormat="1" applyFont="1" applyBorder="1" applyAlignment="1">
      <alignment vertical="center" wrapText="1"/>
    </xf>
    <xf numFmtId="165" fontId="41" fillId="0" borderId="41" xfId="0" applyNumberFormat="1" applyFont="1" applyBorder="1" applyAlignment="1">
      <alignment vertical="center"/>
    </xf>
    <xf numFmtId="3" fontId="41" fillId="0" borderId="6" xfId="0" applyNumberFormat="1" applyFont="1" applyBorder="1" applyAlignment="1">
      <alignment vertical="center"/>
    </xf>
    <xf numFmtId="164" fontId="41" fillId="0" borderId="41" xfId="0" applyNumberFormat="1" applyFont="1" applyBorder="1" applyAlignment="1">
      <alignment vertical="center"/>
    </xf>
    <xf numFmtId="3" fontId="41" fillId="0" borderId="43" xfId="0" applyNumberFormat="1" applyFont="1" applyBorder="1" applyAlignment="1">
      <alignment vertical="center"/>
    </xf>
    <xf numFmtId="164" fontId="41" fillId="0" borderId="41" xfId="0" applyNumberFormat="1" applyFont="1" applyBorder="1" applyAlignment="1">
      <alignment vertical="center"/>
    </xf>
    <xf numFmtId="3" fontId="41" fillId="0" borderId="0" xfId="0" applyFont="1" applyBorder="1" applyAlignment="1">
      <alignment horizontal="center" vertical="center"/>
    </xf>
    <xf numFmtId="49" fontId="33" fillId="0" borderId="60" xfId="0" applyNumberFormat="1" applyFont="1" applyBorder="1" applyAlignment="1">
      <alignment horizontal="center" vertical="center" wrapText="1"/>
    </xf>
    <xf numFmtId="0" fontId="41" fillId="0" borderId="41" xfId="0" applyFont="1" applyBorder="1" applyAlignment="1">
      <alignment vertical="center" wrapText="1"/>
    </xf>
    <xf numFmtId="165" fontId="15" fillId="0" borderId="41" xfId="0" applyNumberFormat="1" applyFont="1" applyBorder="1" applyAlignment="1">
      <alignment vertical="center"/>
    </xf>
    <xf numFmtId="164" fontId="41" fillId="0" borderId="59" xfId="0" applyNumberFormat="1" applyFont="1" applyBorder="1" applyAlignment="1">
      <alignment vertical="center"/>
    </xf>
    <xf numFmtId="49" fontId="16" fillId="0" borderId="48" xfId="0" applyNumberFormat="1" applyFont="1" applyBorder="1" applyAlignment="1">
      <alignment horizontal="center" vertical="center"/>
    </xf>
    <xf numFmtId="0" fontId="16" fillId="0" borderId="36" xfId="0" applyFont="1" applyBorder="1" applyAlignment="1">
      <alignment vertical="center"/>
    </xf>
    <xf numFmtId="166" fontId="17" fillId="0" borderId="39" xfId="0" applyNumberFormat="1" applyFont="1" applyBorder="1" applyAlignment="1">
      <alignment horizontal="right" vertical="center"/>
    </xf>
    <xf numFmtId="3" fontId="16" fillId="0" borderId="39" xfId="0" applyFont="1" applyBorder="1" applyAlignment="1">
      <alignment vertical="center"/>
    </xf>
    <xf numFmtId="164" fontId="16" fillId="0" borderId="39" xfId="0" applyNumberFormat="1" applyFont="1" applyBorder="1" applyAlignment="1">
      <alignment vertical="center" wrapText="1"/>
    </xf>
    <xf numFmtId="3" fontId="16" fillId="0" borderId="39" xfId="0" applyNumberFormat="1" applyFont="1" applyBorder="1" applyAlignment="1">
      <alignment vertical="center"/>
    </xf>
    <xf numFmtId="3" fontId="17" fillId="0" borderId="38" xfId="0" applyNumberFormat="1" applyFont="1" applyBorder="1" applyAlignment="1">
      <alignment vertical="center"/>
    </xf>
    <xf numFmtId="3" fontId="17" fillId="0" borderId="39" xfId="0" applyNumberFormat="1" applyFont="1" applyBorder="1" applyAlignment="1">
      <alignment vertical="center"/>
    </xf>
    <xf numFmtId="164" fontId="17" fillId="0" borderId="81" xfId="0" applyNumberFormat="1" applyFont="1" applyBorder="1" applyAlignment="1">
      <alignment vertical="center" wrapText="1"/>
    </xf>
    <xf numFmtId="3" fontId="15" fillId="0" borderId="0" xfId="0" applyFont="1" applyBorder="1" applyAlignment="1">
      <alignment horizontal="center" vertical="center"/>
    </xf>
    <xf numFmtId="3" fontId="41" fillId="0" borderId="46" xfId="0" applyFont="1" applyBorder="1" applyAlignment="1">
      <alignment vertical="center"/>
    </xf>
    <xf numFmtId="164" fontId="41" fillId="0" borderId="46" xfId="0" applyNumberFormat="1" applyFont="1" applyBorder="1" applyAlignment="1">
      <alignment vertical="center" wrapText="1"/>
    </xf>
    <xf numFmtId="164" fontId="41" fillId="0" borderId="59" xfId="0" applyNumberFormat="1" applyFont="1" applyBorder="1" applyAlignment="1">
      <alignment vertical="center" wrapText="1"/>
    </xf>
    <xf numFmtId="3" fontId="16" fillId="0" borderId="6" xfId="0" applyFont="1" applyBorder="1" applyAlignment="1">
      <alignment vertical="center" wrapText="1"/>
    </xf>
    <xf numFmtId="164" fontId="16" fillId="0" borderId="36" xfId="0" applyNumberFormat="1" applyFont="1" applyBorder="1" applyAlignment="1">
      <alignment vertical="center"/>
    </xf>
    <xf numFmtId="3" fontId="16" fillId="0" borderId="38" xfId="0" applyNumberFormat="1" applyFont="1" applyBorder="1" applyAlignment="1">
      <alignment vertical="center" wrapText="1"/>
    </xf>
    <xf numFmtId="49" fontId="33" fillId="0" borderId="60" xfId="0" applyNumberFormat="1" applyFont="1" applyBorder="1" applyAlignment="1">
      <alignment horizontal="center" vertical="center"/>
    </xf>
    <xf numFmtId="49" fontId="33" fillId="0" borderId="98" xfId="0" applyNumberFormat="1" applyFont="1" applyBorder="1" applyAlignment="1">
      <alignment horizontal="center" vertical="center"/>
    </xf>
    <xf numFmtId="0" fontId="41" fillId="0" borderId="27" xfId="0" applyFont="1" applyBorder="1" applyAlignment="1">
      <alignment vertical="center"/>
    </xf>
    <xf numFmtId="166" fontId="41" fillId="0" borderId="46" xfId="0" applyNumberFormat="1" applyFont="1" applyBorder="1" applyAlignment="1">
      <alignment horizontal="right" vertical="center"/>
    </xf>
    <xf numFmtId="3" fontId="41" fillId="0" borderId="85" xfId="0" applyNumberFormat="1" applyFont="1" applyBorder="1" applyAlignment="1">
      <alignment vertical="center"/>
    </xf>
    <xf numFmtId="3" fontId="41" fillId="0" borderId="98" xfId="0" applyNumberFormat="1" applyFont="1" applyBorder="1" applyAlignment="1">
      <alignment vertical="center"/>
    </xf>
    <xf numFmtId="165" fontId="41" fillId="0" borderId="27" xfId="0" applyNumberFormat="1" applyFont="1" applyBorder="1" applyAlignment="1">
      <alignment vertical="center"/>
    </xf>
    <xf numFmtId="3" fontId="41" fillId="0" borderId="46" xfId="0" applyNumberFormat="1" applyFont="1" applyBorder="1" applyAlignment="1">
      <alignment vertical="center"/>
    </xf>
    <xf numFmtId="164" fontId="41" fillId="0" borderId="27" xfId="0" applyNumberFormat="1" applyFont="1" applyBorder="1" applyAlignment="1">
      <alignment vertical="center"/>
    </xf>
    <xf numFmtId="3" fontId="41" fillId="0" borderId="45" xfId="0" applyNumberFormat="1" applyFont="1" applyBorder="1" applyAlignment="1">
      <alignment vertical="center"/>
    </xf>
    <xf numFmtId="3" fontId="41" fillId="0" borderId="0" xfId="0" applyFont="1" applyAlignment="1">
      <alignment horizontal="center" vertical="center"/>
    </xf>
    <xf numFmtId="0" fontId="16" fillId="0" borderId="36" xfId="0" applyFont="1" applyBorder="1" applyAlignment="1">
      <alignment vertical="center" wrapText="1"/>
    </xf>
    <xf numFmtId="166" fontId="16" fillId="0" borderId="39" xfId="0" applyNumberFormat="1" applyFont="1" applyBorder="1" applyAlignment="1">
      <alignment horizontal="right" vertical="center"/>
    </xf>
    <xf numFmtId="3" fontId="16" fillId="0" borderId="82" xfId="0" applyNumberFormat="1" applyFont="1" applyBorder="1" applyAlignment="1">
      <alignment vertical="center"/>
    </xf>
    <xf numFmtId="3" fontId="16" fillId="0" borderId="48" xfId="0" applyNumberFormat="1" applyFont="1" applyBorder="1" applyAlignment="1">
      <alignment vertical="center"/>
    </xf>
    <xf numFmtId="3" fontId="16" fillId="0" borderId="6" xfId="0" applyNumberFormat="1" applyFont="1" applyBorder="1" applyAlignment="1">
      <alignment vertical="center"/>
    </xf>
    <xf numFmtId="165" fontId="16" fillId="0" borderId="36" xfId="0" applyNumberFormat="1" applyFont="1" applyBorder="1" applyAlignment="1">
      <alignment vertical="center" wrapText="1"/>
    </xf>
    <xf numFmtId="0" fontId="16" fillId="0" borderId="0" xfId="0" applyFont="1" applyBorder="1" applyAlignment="1">
      <alignment vertical="center"/>
    </xf>
    <xf numFmtId="165" fontId="33" fillId="0" borderId="41" xfId="0" applyNumberFormat="1" applyFont="1" applyBorder="1" applyAlignment="1">
      <alignment vertical="center" wrapText="1"/>
    </xf>
    <xf numFmtId="3" fontId="16" fillId="0" borderId="39" xfId="0" applyNumberFormat="1" applyFont="1" applyBorder="1" applyAlignment="1">
      <alignment vertical="center"/>
    </xf>
    <xf numFmtId="165" fontId="16" fillId="0" borderId="36" xfId="0" applyNumberFormat="1" applyFont="1" applyBorder="1" applyAlignment="1">
      <alignment vertical="center"/>
    </xf>
    <xf numFmtId="49" fontId="35" fillId="0" borderId="60" xfId="0" applyNumberFormat="1" applyFont="1" applyBorder="1" applyAlignment="1">
      <alignment horizontal="center" vertical="center"/>
    </xf>
    <xf numFmtId="166" fontId="17" fillId="0" borderId="6" xfId="0" applyNumberFormat="1" applyFont="1" applyBorder="1" applyAlignment="1">
      <alignment horizontal="right" vertical="center"/>
    </xf>
    <xf numFmtId="3" fontId="17" fillId="0" borderId="50" xfId="0" applyNumberFormat="1" applyFont="1" applyBorder="1" applyAlignment="1">
      <alignment vertical="center"/>
    </xf>
    <xf numFmtId="3" fontId="17" fillId="0" borderId="60" xfId="0" applyNumberFormat="1" applyFont="1" applyBorder="1" applyAlignment="1">
      <alignment vertical="center"/>
    </xf>
    <xf numFmtId="3" fontId="17" fillId="0" borderId="6" xfId="0" applyFont="1" applyBorder="1" applyAlignment="1">
      <alignment vertical="center"/>
    </xf>
    <xf numFmtId="164" fontId="16" fillId="0" borderId="6" xfId="0" applyNumberFormat="1" applyFont="1" applyBorder="1" applyAlignment="1">
      <alignment vertical="center" wrapText="1"/>
    </xf>
    <xf numFmtId="165" fontId="17" fillId="0" borderId="41" xfId="0" applyNumberFormat="1" applyFont="1" applyBorder="1" applyAlignment="1">
      <alignment vertical="center"/>
    </xf>
    <xf numFmtId="3" fontId="17" fillId="0" borderId="6" xfId="0" applyNumberFormat="1" applyFont="1" applyBorder="1" applyAlignment="1">
      <alignment vertical="center"/>
    </xf>
    <xf numFmtId="164" fontId="15" fillId="0" borderId="41" xfId="0" applyNumberFormat="1" applyFont="1" applyBorder="1" applyAlignment="1">
      <alignment vertical="center"/>
    </xf>
    <xf numFmtId="3" fontId="17" fillId="0" borderId="43" xfId="0" applyNumberFormat="1" applyFont="1" applyBorder="1" applyAlignment="1">
      <alignment vertical="center"/>
    </xf>
    <xf numFmtId="49" fontId="16" fillId="0" borderId="98" xfId="0" applyNumberFormat="1" applyFont="1" applyBorder="1" applyAlignment="1">
      <alignment horizontal="center" vertical="center"/>
    </xf>
    <xf numFmtId="0" fontId="15" fillId="0" borderId="27" xfId="0" applyFont="1" applyBorder="1" applyAlignment="1">
      <alignment vertical="center"/>
    </xf>
    <xf numFmtId="166" fontId="15" fillId="0" borderId="46" xfId="0" applyNumberFormat="1" applyFont="1" applyBorder="1" applyAlignment="1">
      <alignment horizontal="right" vertical="center"/>
    </xf>
    <xf numFmtId="3" fontId="15" fillId="0" borderId="85" xfId="0" applyNumberFormat="1" applyFont="1" applyBorder="1" applyAlignment="1">
      <alignment vertical="center"/>
    </xf>
    <xf numFmtId="3" fontId="15" fillId="0" borderId="98" xfId="0" applyNumberFormat="1" applyFont="1" applyBorder="1" applyAlignment="1">
      <alignment vertical="center"/>
    </xf>
    <xf numFmtId="3" fontId="15" fillId="0" borderId="46" xfId="0" applyFont="1" applyBorder="1" applyAlignment="1">
      <alignment vertical="center"/>
    </xf>
    <xf numFmtId="164" fontId="15" fillId="0" borderId="46" xfId="0" applyNumberFormat="1" applyFont="1" applyBorder="1" applyAlignment="1">
      <alignment vertical="center" wrapText="1"/>
    </xf>
    <xf numFmtId="165" fontId="15" fillId="0" borderId="27" xfId="0" applyNumberFormat="1" applyFont="1" applyBorder="1" applyAlignment="1">
      <alignment vertical="center"/>
    </xf>
    <xf numFmtId="3" fontId="15" fillId="0" borderId="46" xfId="0" applyNumberFormat="1" applyFont="1" applyBorder="1" applyAlignment="1">
      <alignment vertical="center"/>
    </xf>
    <xf numFmtId="3" fontId="15" fillId="0" borderId="45" xfId="0" applyNumberFormat="1" applyFont="1" applyBorder="1" applyAlignment="1">
      <alignment vertical="center"/>
    </xf>
    <xf numFmtId="164" fontId="15" fillId="0" borderId="27" xfId="0" applyNumberFormat="1" applyFont="1" applyBorder="1" applyAlignment="1">
      <alignment vertical="center"/>
    </xf>
    <xf numFmtId="3" fontId="36" fillId="0" borderId="0" xfId="0" applyFont="1" applyBorder="1" applyAlignment="1">
      <alignment horizontal="center" vertical="center"/>
    </xf>
    <xf numFmtId="164" fontId="41" fillId="0" borderId="27" xfId="0" applyNumberFormat="1" applyFont="1" applyBorder="1" applyAlignment="1">
      <alignment vertical="center"/>
    </xf>
    <xf numFmtId="165" fontId="16" fillId="0" borderId="36" xfId="0" applyNumberFormat="1" applyFont="1" applyBorder="1" applyAlignment="1">
      <alignment vertical="center"/>
    </xf>
    <xf numFmtId="49" fontId="34" fillId="0" borderId="98" xfId="0" applyNumberFormat="1" applyFont="1" applyBorder="1" applyAlignment="1">
      <alignment horizontal="center" vertical="center"/>
    </xf>
    <xf numFmtId="166" fontId="37" fillId="0" borderId="46" xfId="0" applyNumberFormat="1" applyFont="1" applyBorder="1" applyAlignment="1">
      <alignment horizontal="right" vertical="center"/>
    </xf>
    <xf numFmtId="3" fontId="37" fillId="0" borderId="85" xfId="0" applyNumberFormat="1" applyFont="1" applyBorder="1" applyAlignment="1">
      <alignment vertical="center"/>
    </xf>
    <xf numFmtId="3" fontId="37" fillId="0" borderId="98" xfId="0" applyNumberFormat="1" applyFont="1" applyBorder="1" applyAlignment="1">
      <alignment vertical="center"/>
    </xf>
    <xf numFmtId="3" fontId="37" fillId="0" borderId="6" xfId="0" applyFont="1" applyBorder="1" applyAlignment="1">
      <alignment vertical="center"/>
    </xf>
    <xf numFmtId="164" fontId="16" fillId="0" borderId="6" xfId="0" applyNumberFormat="1" applyFont="1" applyBorder="1" applyAlignment="1">
      <alignment vertical="center" wrapText="1"/>
    </xf>
    <xf numFmtId="165" fontId="17" fillId="0" borderId="27" xfId="0" applyNumberFormat="1" applyFont="1" applyBorder="1" applyAlignment="1">
      <alignment vertical="center"/>
    </xf>
    <xf numFmtId="3" fontId="37" fillId="0" borderId="46" xfId="0" applyNumberFormat="1" applyFont="1" applyBorder="1" applyAlignment="1">
      <alignment vertical="center"/>
    </xf>
    <xf numFmtId="164" fontId="39" fillId="0" borderId="27" xfId="0" applyNumberFormat="1" applyFont="1" applyBorder="1" applyAlignment="1">
      <alignment vertical="center"/>
    </xf>
    <xf numFmtId="3" fontId="37" fillId="0" borderId="60" xfId="0" applyNumberFormat="1" applyFont="1" applyBorder="1" applyAlignment="1">
      <alignment vertical="center"/>
    </xf>
    <xf numFmtId="165" fontId="41" fillId="0" borderId="41" xfId="0" applyNumberFormat="1" applyFont="1" applyBorder="1" applyAlignment="1">
      <alignment vertical="center"/>
    </xf>
    <xf numFmtId="3" fontId="16" fillId="0" borderId="122" xfId="0" applyNumberFormat="1" applyFont="1" applyBorder="1" applyAlignment="1">
      <alignment vertical="center"/>
    </xf>
    <xf numFmtId="164" fontId="17" fillId="0" borderId="81" xfId="0" applyNumberFormat="1" applyFont="1" applyBorder="1" applyAlignment="1">
      <alignment vertical="center"/>
    </xf>
    <xf numFmtId="49" fontId="33" fillId="0" borderId="60" xfId="0" applyNumberFormat="1" applyFont="1" applyBorder="1" applyAlignment="1">
      <alignment horizontal="center" vertical="center" wrapText="1"/>
    </xf>
    <xf numFmtId="49" fontId="34" fillId="0" borderId="60" xfId="0" applyNumberFormat="1" applyFont="1" applyBorder="1" applyAlignment="1">
      <alignment horizontal="center" vertical="center"/>
    </xf>
    <xf numFmtId="166" fontId="37" fillId="0" borderId="6" xfId="0" applyNumberFormat="1" applyFont="1" applyBorder="1" applyAlignment="1">
      <alignment horizontal="right" vertical="center"/>
    </xf>
    <xf numFmtId="3" fontId="37" fillId="0" borderId="50" xfId="0" applyNumberFormat="1" applyFont="1" applyBorder="1" applyAlignment="1">
      <alignment vertical="center"/>
    </xf>
    <xf numFmtId="3" fontId="37" fillId="0" borderId="6" xfId="0" applyNumberFormat="1" applyFont="1" applyBorder="1" applyAlignment="1">
      <alignment vertical="center"/>
    </xf>
    <xf numFmtId="164" fontId="39" fillId="0" borderId="41" xfId="0" applyNumberFormat="1" applyFont="1" applyBorder="1" applyAlignment="1">
      <alignment vertical="center"/>
    </xf>
    <xf numFmtId="49" fontId="16" fillId="0" borderId="60" xfId="0" applyNumberFormat="1" applyFont="1" applyBorder="1" applyAlignment="1">
      <alignment horizontal="center" vertical="center"/>
    </xf>
    <xf numFmtId="0" fontId="16" fillId="0" borderId="41" xfId="0" applyFont="1" applyBorder="1" applyAlignment="1">
      <alignment vertical="center"/>
    </xf>
    <xf numFmtId="166" fontId="39" fillId="0" borderId="6" xfId="0" applyNumberFormat="1" applyFont="1" applyBorder="1" applyAlignment="1">
      <alignment horizontal="right" vertical="center"/>
    </xf>
    <xf numFmtId="3" fontId="16" fillId="0" borderId="48" xfId="0" applyFont="1" applyBorder="1" applyAlignment="1">
      <alignment vertical="center"/>
    </xf>
    <xf numFmtId="3" fontId="16" fillId="0" borderId="6" xfId="0" applyNumberFormat="1" applyFont="1" applyBorder="1" applyAlignment="1">
      <alignment vertical="center"/>
    </xf>
    <xf numFmtId="164" fontId="33" fillId="0" borderId="36" xfId="0" applyNumberFormat="1" applyFont="1" applyBorder="1" applyAlignment="1">
      <alignment vertical="center"/>
    </xf>
    <xf numFmtId="3" fontId="39" fillId="0" borderId="0" xfId="0" applyFont="1" applyBorder="1" applyAlignment="1">
      <alignment horizontal="center" vertical="center"/>
    </xf>
    <xf numFmtId="0" fontId="41" fillId="0" borderId="41" xfId="0" applyFont="1" applyBorder="1" applyAlignment="1">
      <alignment vertical="center" wrapText="1" shrinkToFit="1"/>
    </xf>
    <xf numFmtId="164" fontId="33" fillId="0" borderId="27" xfId="0" applyNumberFormat="1" applyFont="1" applyBorder="1" applyAlignment="1">
      <alignment vertical="center"/>
    </xf>
    <xf numFmtId="49" fontId="16" fillId="0" borderId="60" xfId="0" applyNumberFormat="1" applyFont="1" applyBorder="1" applyAlignment="1">
      <alignment horizontal="center" vertical="center"/>
    </xf>
    <xf numFmtId="0" fontId="6" fillId="0" borderId="41" xfId="0" applyNumberFormat="1" applyFont="1" applyFill="1" applyBorder="1" applyAlignment="1" applyProtection="1">
      <alignment vertical="center" wrapText="1"/>
      <protection locked="0"/>
    </xf>
    <xf numFmtId="166" fontId="16" fillId="0" borderId="43" xfId="0" applyNumberFormat="1" applyFont="1" applyBorder="1" applyAlignment="1">
      <alignment horizontal="right" vertical="center"/>
    </xf>
    <xf numFmtId="3" fontId="16" fillId="0" borderId="50" xfId="0" applyNumberFormat="1" applyFont="1" applyBorder="1" applyAlignment="1">
      <alignment vertical="center"/>
    </xf>
    <xf numFmtId="3" fontId="16" fillId="0" borderId="60" xfId="0" applyNumberFormat="1" applyFont="1" applyBorder="1" applyAlignment="1">
      <alignment vertical="center"/>
    </xf>
    <xf numFmtId="165" fontId="16" fillId="0" borderId="41" xfId="0" applyNumberFormat="1" applyFont="1" applyBorder="1" applyAlignment="1">
      <alignment vertical="center"/>
    </xf>
    <xf numFmtId="164" fontId="16" fillId="0" borderId="41" xfId="0" applyNumberFormat="1" applyFont="1" applyBorder="1" applyAlignment="1">
      <alignment vertical="center"/>
    </xf>
    <xf numFmtId="166" fontId="41" fillId="0" borderId="43" xfId="0" applyNumberFormat="1" applyFont="1" applyBorder="1" applyAlignment="1">
      <alignment horizontal="right" vertical="center"/>
    </xf>
    <xf numFmtId="165" fontId="41" fillId="0" borderId="27" xfId="0" applyNumberFormat="1" applyFont="1" applyBorder="1" applyAlignment="1">
      <alignment vertical="center"/>
    </xf>
    <xf numFmtId="0" fontId="16" fillId="0" borderId="41" xfId="0" applyFont="1" applyBorder="1" applyAlignment="1">
      <alignment vertical="center" wrapText="1"/>
    </xf>
    <xf numFmtId="166" fontId="16" fillId="0" borderId="6" xfId="0" applyNumberFormat="1" applyFont="1" applyBorder="1" applyAlignment="1">
      <alignment horizontal="right" vertical="center"/>
    </xf>
    <xf numFmtId="164" fontId="16" fillId="0" borderId="41" xfId="0" applyNumberFormat="1" applyFont="1" applyBorder="1" applyAlignment="1">
      <alignment vertical="center"/>
    </xf>
    <xf numFmtId="0" fontId="41" fillId="0" borderId="27" xfId="0" applyFont="1" applyBorder="1" applyAlignment="1">
      <alignment vertical="center" wrapText="1" shrinkToFit="1"/>
    </xf>
    <xf numFmtId="165" fontId="33" fillId="0" borderId="41" xfId="0" applyNumberFormat="1" applyFont="1" applyBorder="1" applyAlignment="1">
      <alignment vertical="center"/>
    </xf>
    <xf numFmtId="49" fontId="33" fillId="0" borderId="98" xfId="0" applyNumberFormat="1" applyFont="1" applyBorder="1" applyAlignment="1">
      <alignment horizontal="center" vertical="center"/>
    </xf>
    <xf numFmtId="0" fontId="36" fillId="0" borderId="27" xfId="0" applyFont="1" applyBorder="1" applyAlignment="1">
      <alignment vertical="center"/>
    </xf>
    <xf numFmtId="166" fontId="36" fillId="0" borderId="46" xfId="0" applyNumberFormat="1" applyFont="1" applyBorder="1" applyAlignment="1">
      <alignment horizontal="right" vertical="center"/>
    </xf>
    <xf numFmtId="3" fontId="36" fillId="0" borderId="85" xfId="0" applyNumberFormat="1" applyFont="1" applyBorder="1" applyAlignment="1">
      <alignment vertical="center"/>
    </xf>
    <xf numFmtId="3" fontId="36" fillId="0" borderId="60" xfId="0" applyNumberFormat="1" applyFont="1" applyBorder="1" applyAlignment="1">
      <alignment vertical="center"/>
    </xf>
    <xf numFmtId="3" fontId="36" fillId="0" borderId="6" xfId="0" applyFont="1" applyBorder="1" applyAlignment="1">
      <alignment vertical="center"/>
    </xf>
    <xf numFmtId="165" fontId="35" fillId="0" borderId="27" xfId="0" applyNumberFormat="1" applyFont="1" applyBorder="1" applyAlignment="1">
      <alignment vertical="center"/>
    </xf>
    <xf numFmtId="3" fontId="36" fillId="0" borderId="46" xfId="0" applyNumberFormat="1" applyFont="1" applyBorder="1" applyAlignment="1">
      <alignment vertical="center"/>
    </xf>
    <xf numFmtId="164" fontId="36" fillId="0" borderId="27" xfId="0" applyNumberFormat="1" applyFont="1" applyBorder="1" applyAlignment="1">
      <alignment vertical="center"/>
    </xf>
    <xf numFmtId="164" fontId="41" fillId="0" borderId="27" xfId="0" applyNumberFormat="1" applyFont="1" applyBorder="1" applyAlignment="1">
      <alignment vertical="center"/>
    </xf>
    <xf numFmtId="3" fontId="41" fillId="0" borderId="0" xfId="0" applyNumberFormat="1" applyFont="1" applyBorder="1" applyAlignment="1">
      <alignment vertical="center"/>
    </xf>
    <xf numFmtId="49" fontId="16" fillId="0" borderId="48" xfId="0" applyNumberFormat="1" applyFont="1" applyBorder="1" applyAlignment="1">
      <alignment horizontal="center" vertical="center"/>
    </xf>
    <xf numFmtId="0" fontId="16" fillId="0" borderId="81" xfId="0" applyFont="1" applyBorder="1" applyAlignment="1">
      <alignment vertical="center" wrapText="1"/>
    </xf>
    <xf numFmtId="3" fontId="16" fillId="0" borderId="117" xfId="0" applyNumberFormat="1" applyFont="1" applyBorder="1" applyAlignment="1">
      <alignment vertical="center"/>
    </xf>
    <xf numFmtId="3" fontId="41" fillId="0" borderId="18" xfId="0" applyFont="1" applyBorder="1" applyAlignment="1">
      <alignment vertical="center"/>
    </xf>
    <xf numFmtId="164" fontId="41" fillId="0" borderId="18" xfId="0" applyNumberFormat="1" applyFont="1" applyBorder="1" applyAlignment="1">
      <alignment vertical="center" wrapText="1"/>
    </xf>
    <xf numFmtId="165" fontId="41" fillId="0" borderId="95" xfId="0" applyNumberFormat="1" applyFont="1" applyBorder="1" applyAlignment="1">
      <alignment vertical="center"/>
    </xf>
    <xf numFmtId="3" fontId="37" fillId="0" borderId="0" xfId="0" applyNumberFormat="1" applyFont="1" applyBorder="1" applyAlignment="1">
      <alignment vertical="center"/>
    </xf>
    <xf numFmtId="3" fontId="37" fillId="0" borderId="45" xfId="0" applyNumberFormat="1" applyFont="1" applyBorder="1" applyAlignment="1">
      <alignment vertical="center"/>
    </xf>
    <xf numFmtId="49" fontId="30" fillId="0" borderId="56" xfId="0" applyNumberFormat="1" applyFont="1" applyBorder="1" applyAlignment="1">
      <alignment horizontal="center" vertical="center"/>
    </xf>
    <xf numFmtId="0" fontId="30" fillId="0" borderId="52" xfId="0" applyFont="1" applyBorder="1" applyAlignment="1">
      <alignment vertical="center"/>
    </xf>
    <xf numFmtId="166" fontId="30" fillId="0" borderId="54" xfId="0" applyNumberFormat="1" applyFont="1" applyBorder="1" applyAlignment="1">
      <alignment horizontal="right" vertical="center"/>
    </xf>
    <xf numFmtId="3" fontId="30" fillId="0" borderId="101" xfId="0" applyNumberFormat="1" applyFont="1" applyBorder="1" applyAlignment="1">
      <alignment vertical="center"/>
    </xf>
    <xf numFmtId="3" fontId="30" fillId="0" borderId="102" xfId="0" applyNumberFormat="1" applyFont="1" applyBorder="1" applyAlignment="1">
      <alignment vertical="center"/>
    </xf>
    <xf numFmtId="3" fontId="30" fillId="0" borderId="12" xfId="0" applyNumberFormat="1" applyFont="1" applyBorder="1" applyAlignment="1">
      <alignment vertical="center"/>
    </xf>
    <xf numFmtId="164" fontId="30" fillId="0" borderId="76" xfId="0" applyNumberFormat="1" applyFont="1" applyBorder="1" applyAlignment="1">
      <alignment vertical="center" wrapText="1"/>
    </xf>
    <xf numFmtId="165" fontId="30" fillId="0" borderId="78" xfId="0" applyNumberFormat="1" applyFont="1" applyBorder="1" applyAlignment="1">
      <alignment vertical="center" wrapText="1"/>
    </xf>
    <xf numFmtId="3" fontId="30" fillId="0" borderId="34" xfId="0" applyNumberFormat="1" applyFont="1" applyBorder="1" applyAlignment="1">
      <alignment vertical="center"/>
    </xf>
    <xf numFmtId="164" fontId="30" fillId="0" borderId="110" xfId="0" applyNumberFormat="1" applyFont="1" applyBorder="1" applyAlignment="1">
      <alignment vertical="center"/>
    </xf>
    <xf numFmtId="3" fontId="30" fillId="0" borderId="0" xfId="0" applyFont="1" applyBorder="1" applyAlignment="1">
      <alignment horizontal="center" vertical="center"/>
    </xf>
    <xf numFmtId="166" fontId="16" fillId="0" borderId="60" xfId="0" applyNumberFormat="1" applyFont="1" applyBorder="1" applyAlignment="1">
      <alignment horizontal="right" vertical="center"/>
    </xf>
    <xf numFmtId="3" fontId="16" fillId="0" borderId="54" xfId="0" applyNumberFormat="1" applyFont="1" applyBorder="1" applyAlignment="1">
      <alignment vertical="center"/>
    </xf>
    <xf numFmtId="3" fontId="16" fillId="0" borderId="15" xfId="0" applyNumberFormat="1" applyFont="1" applyBorder="1" applyAlignment="1">
      <alignment vertical="center"/>
    </xf>
    <xf numFmtId="165" fontId="16" fillId="0" borderId="41" xfId="0" applyNumberFormat="1" applyFont="1" applyBorder="1" applyAlignment="1">
      <alignment vertical="center"/>
    </xf>
    <xf numFmtId="3" fontId="16" fillId="0" borderId="43" xfId="0" applyNumberFormat="1" applyFont="1" applyBorder="1" applyAlignment="1">
      <alignment vertical="center"/>
    </xf>
    <xf numFmtId="164" fontId="16" fillId="0" borderId="59" xfId="0" applyNumberFormat="1" applyFont="1" applyBorder="1" applyAlignment="1">
      <alignment vertical="center"/>
    </xf>
    <xf numFmtId="3" fontId="16" fillId="0" borderId="61" xfId="0" applyNumberFormat="1" applyFont="1" applyBorder="1" applyAlignment="1">
      <alignment vertical="center"/>
    </xf>
    <xf numFmtId="3" fontId="16" fillId="0" borderId="0" xfId="0" applyFont="1" applyBorder="1" applyAlignment="1">
      <alignment horizontal="center" vertical="center"/>
    </xf>
    <xf numFmtId="166" fontId="16" fillId="0" borderId="61" xfId="0" applyNumberFormat="1" applyFont="1" applyBorder="1" applyAlignment="1">
      <alignment horizontal="right" vertical="center"/>
    </xf>
    <xf numFmtId="3" fontId="16" fillId="0" borderId="60" xfId="0" applyNumberFormat="1" applyFont="1" applyBorder="1" applyAlignment="1">
      <alignment vertical="center"/>
    </xf>
    <xf numFmtId="3" fontId="16" fillId="0" borderId="61" xfId="0" applyNumberFormat="1" applyFont="1" applyBorder="1" applyAlignment="1">
      <alignment vertical="center"/>
    </xf>
    <xf numFmtId="3" fontId="16" fillId="0" borderId="6" xfId="0" applyNumberFormat="1" applyFont="1" applyBorder="1" applyAlignment="1">
      <alignment vertical="center"/>
    </xf>
    <xf numFmtId="164" fontId="16" fillId="0" borderId="6" xfId="0" applyNumberFormat="1" applyFont="1" applyBorder="1" applyAlignment="1">
      <alignment vertical="center" wrapText="1"/>
    </xf>
    <xf numFmtId="3" fontId="16" fillId="0" borderId="43" xfId="0" applyNumberFormat="1" applyFont="1" applyBorder="1" applyAlignment="1">
      <alignment vertical="center"/>
    </xf>
    <xf numFmtId="164" fontId="16" fillId="0" borderId="59" xfId="0" applyNumberFormat="1" applyFont="1" applyBorder="1" applyAlignment="1">
      <alignment vertical="center"/>
    </xf>
    <xf numFmtId="166" fontId="16" fillId="0" borderId="96" xfId="0" applyNumberFormat="1" applyFont="1" applyBorder="1" applyAlignment="1">
      <alignment horizontal="right" vertical="center"/>
    </xf>
    <xf numFmtId="3" fontId="16" fillId="0" borderId="94" xfId="0" applyNumberFormat="1" applyFont="1" applyBorder="1" applyAlignment="1">
      <alignment vertical="center"/>
    </xf>
    <xf numFmtId="3" fontId="16" fillId="0" borderId="96" xfId="0" applyNumberFormat="1" applyFont="1" applyBorder="1" applyAlignment="1">
      <alignment vertical="center"/>
    </xf>
    <xf numFmtId="3" fontId="16" fillId="0" borderId="18" xfId="0" applyNumberFormat="1" applyFont="1" applyBorder="1" applyAlignment="1">
      <alignment vertical="center"/>
    </xf>
    <xf numFmtId="164" fontId="16" fillId="0" borderId="18" xfId="0" applyNumberFormat="1" applyFont="1" applyBorder="1" applyAlignment="1">
      <alignment vertical="center" wrapText="1"/>
    </xf>
    <xf numFmtId="165" fontId="16" fillId="0" borderId="95" xfId="0" applyNumberFormat="1" applyFont="1" applyBorder="1" applyAlignment="1">
      <alignment vertical="center"/>
    </xf>
    <xf numFmtId="3" fontId="16" fillId="0" borderId="93" xfId="0" applyNumberFormat="1" applyFont="1" applyBorder="1" applyAlignment="1">
      <alignment vertical="center"/>
    </xf>
    <xf numFmtId="164" fontId="16" fillId="0" borderId="92" xfId="0" applyNumberFormat="1" applyFont="1" applyBorder="1" applyAlignment="1">
      <alignment vertical="center"/>
    </xf>
    <xf numFmtId="3" fontId="15" fillId="0" borderId="0" xfId="0" applyNumberFormat="1" applyFont="1" applyAlignment="1">
      <alignment/>
    </xf>
    <xf numFmtId="166" fontId="15" fillId="0" borderId="0" xfId="0" applyFont="1" applyAlignment="1">
      <alignment/>
    </xf>
    <xf numFmtId="164" fontId="30" fillId="0" borderId="36" xfId="0" applyNumberFormat="1" applyFont="1" applyBorder="1" applyAlignment="1">
      <alignment horizontal="right" vertical="center"/>
    </xf>
    <xf numFmtId="164" fontId="17" fillId="0" borderId="84" xfId="0" applyFont="1" applyBorder="1" applyAlignment="1">
      <alignment vertical="center" wrapText="1"/>
    </xf>
    <xf numFmtId="164" fontId="17" fillId="0" borderId="84" xfId="0" applyNumberFormat="1" applyFont="1" applyBorder="1" applyAlignment="1">
      <alignment horizontal="right" vertical="center"/>
    </xf>
    <xf numFmtId="49" fontId="30" fillId="0" borderId="5" xfId="0" applyNumberFormat="1" applyFont="1" applyBorder="1" applyAlignment="1">
      <alignment horizontal="center" vertical="center"/>
    </xf>
    <xf numFmtId="0" fontId="30" fillId="0" borderId="41" xfId="0" applyFont="1" applyBorder="1" applyAlignment="1">
      <alignment vertical="center" wrapText="1"/>
    </xf>
    <xf numFmtId="164" fontId="33" fillId="0" borderId="6" xfId="0" applyNumberFormat="1" applyFont="1" applyBorder="1" applyAlignment="1">
      <alignment horizontal="right" vertical="center" wrapText="1"/>
    </xf>
    <xf numFmtId="164" fontId="34" fillId="0" borderId="59" xfId="0" applyFont="1" applyBorder="1" applyAlignment="1">
      <alignment vertical="center" wrapText="1"/>
    </xf>
    <xf numFmtId="3" fontId="34" fillId="0" borderId="0" xfId="0" applyNumberFormat="1" applyFont="1" applyBorder="1" applyAlignment="1">
      <alignment horizontal="right" vertical="center"/>
    </xf>
    <xf numFmtId="3" fontId="34" fillId="0" borderId="131" xfId="0" applyNumberFormat="1" applyFont="1" applyBorder="1" applyAlignment="1">
      <alignment horizontal="right" vertical="center"/>
    </xf>
    <xf numFmtId="49" fontId="34" fillId="0" borderId="0" xfId="0" applyNumberFormat="1" applyFont="1" applyBorder="1" applyAlignment="1">
      <alignment vertical="center"/>
    </xf>
    <xf numFmtId="164" fontId="34" fillId="0" borderId="0" xfId="0" applyFont="1" applyBorder="1" applyAlignment="1">
      <alignment vertical="center" wrapText="1"/>
    </xf>
    <xf numFmtId="0" fontId="12"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83" fillId="0" borderId="0" xfId="0" applyFont="1" applyAlignment="1">
      <alignment/>
    </xf>
    <xf numFmtId="0" fontId="11" fillId="0" borderId="0" xfId="0" applyNumberFormat="1" applyFont="1" applyFill="1" applyBorder="1" applyAlignment="1" applyProtection="1">
      <alignment horizontal="left" vertical="center"/>
      <protection/>
    </xf>
    <xf numFmtId="0" fontId="99" fillId="0" borderId="0" xfId="0" applyFont="1" applyAlignment="1">
      <alignment/>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2" fillId="0" borderId="54" xfId="0" applyNumberFormat="1" applyFont="1" applyFill="1" applyBorder="1" applyAlignment="1" applyProtection="1">
      <alignment horizontal="left" vertical="center"/>
      <protection/>
    </xf>
    <xf numFmtId="0" fontId="1" fillId="0" borderId="55" xfId="0" applyNumberFormat="1" applyFont="1" applyFill="1" applyBorder="1" applyAlignment="1" applyProtection="1">
      <alignment horizontal="left"/>
      <protection/>
    </xf>
    <xf numFmtId="0" fontId="5" fillId="0" borderId="105" xfId="0" applyNumberFormat="1" applyFont="1" applyFill="1" applyBorder="1" applyAlignment="1" applyProtection="1">
      <alignment horizontal="centerContinuous"/>
      <protection/>
    </xf>
    <xf numFmtId="0" fontId="5" fillId="0" borderId="54" xfId="0" applyNumberFormat="1" applyFont="1" applyFill="1" applyBorder="1" applyAlignment="1" applyProtection="1">
      <alignment horizontal="centerContinuous"/>
      <protection/>
    </xf>
    <xf numFmtId="0" fontId="6" fillId="0" borderId="15" xfId="0" applyNumberFormat="1" applyFont="1" applyFill="1" applyBorder="1" applyAlignment="1" applyProtection="1">
      <alignment horizontal="centerContinuous"/>
      <protection/>
    </xf>
    <xf numFmtId="0" fontId="5" fillId="0" borderId="112" xfId="0" applyNumberFormat="1" applyFont="1" applyFill="1" applyBorder="1" applyAlignment="1" applyProtection="1">
      <alignment horizontal="centerContinuous"/>
      <protection/>
    </xf>
    <xf numFmtId="0" fontId="0" fillId="0" borderId="52" xfId="0" applyBorder="1" applyAlignment="1">
      <alignment/>
    </xf>
    <xf numFmtId="0" fontId="11" fillId="0" borderId="6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protection/>
    </xf>
    <xf numFmtId="0" fontId="6" fillId="0" borderId="61" xfId="0" applyNumberFormat="1" applyFont="1" applyFill="1" applyBorder="1" applyAlignment="1" applyProtection="1">
      <alignment horizontal="center"/>
      <protection/>
    </xf>
    <xf numFmtId="0" fontId="6" fillId="0" borderId="48" xfId="0" applyNumberFormat="1" applyFont="1" applyFill="1" applyBorder="1" applyAlignment="1" applyProtection="1">
      <alignment horizontal="center"/>
      <protection/>
    </xf>
    <xf numFmtId="0" fontId="6" fillId="0" borderId="39" xfId="0" applyNumberFormat="1" applyFont="1" applyFill="1" applyBorder="1" applyAlignment="1" applyProtection="1">
      <alignment horizontal="center"/>
      <protection/>
    </xf>
    <xf numFmtId="0" fontId="10" fillId="0" borderId="39" xfId="0" applyNumberFormat="1" applyFont="1" applyFill="1" applyBorder="1" applyAlignment="1" applyProtection="1">
      <alignment horizontal="center" wrapText="1"/>
      <protection/>
    </xf>
    <xf numFmtId="0" fontId="10" fillId="0" borderId="36"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121" xfId="0" applyNumberFormat="1" applyFont="1" applyFill="1" applyBorder="1" applyAlignment="1" applyProtection="1">
      <alignment horizontal="center" vertical="top"/>
      <protection/>
    </xf>
    <xf numFmtId="0" fontId="11" fillId="0" borderId="95" xfId="0" applyNumberFormat="1" applyFont="1" applyFill="1" applyBorder="1" applyAlignment="1" applyProtection="1">
      <alignment horizontal="center" vertical="top"/>
      <protection/>
    </xf>
    <xf numFmtId="0" fontId="6" fillId="0" borderId="131" xfId="0" applyNumberFormat="1" applyFont="1" applyFill="1" applyBorder="1" applyAlignment="1" applyProtection="1">
      <alignment horizontal="center" vertical="top"/>
      <protection/>
    </xf>
    <xf numFmtId="0" fontId="6" fillId="0" borderId="65" xfId="0" applyNumberFormat="1" applyFont="1" applyFill="1" applyBorder="1" applyAlignment="1" applyProtection="1">
      <alignment horizontal="center" vertical="top"/>
      <protection/>
    </xf>
    <xf numFmtId="0" fontId="6" fillId="0" borderId="67" xfId="0" applyNumberFormat="1" applyFont="1" applyFill="1" applyBorder="1" applyAlignment="1" applyProtection="1">
      <alignment horizontal="center" vertical="top"/>
      <protection/>
    </xf>
    <xf numFmtId="49" fontId="10" fillId="0" borderId="67" xfId="0" applyNumberFormat="1" applyFont="1" applyFill="1" applyBorder="1" applyAlignment="1" applyProtection="1">
      <alignment horizontal="center" vertical="top"/>
      <protection/>
    </xf>
    <xf numFmtId="0" fontId="10" fillId="0" borderId="41" xfId="0" applyNumberFormat="1" applyFont="1" applyFill="1" applyBorder="1" applyAlignment="1" applyProtection="1">
      <alignment horizontal="center" vertical="top"/>
      <protection/>
    </xf>
    <xf numFmtId="0" fontId="9" fillId="0" borderId="10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01" xfId="0" applyNumberFormat="1" applyFont="1" applyFill="1" applyBorder="1" applyAlignment="1" applyProtection="1">
      <alignment horizontal="center" vertical="center"/>
      <protection/>
    </xf>
    <xf numFmtId="0" fontId="9" fillId="0" borderId="33" xfId="0" applyNumberFormat="1" applyFont="1" applyFill="1" applyBorder="1" applyAlignment="1" applyProtection="1">
      <alignment horizontal="center" vertical="center"/>
      <protection/>
    </xf>
    <xf numFmtId="49" fontId="11" fillId="0" borderId="123"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vertical="center"/>
      <protection/>
    </xf>
    <xf numFmtId="3" fontId="12" fillId="0" borderId="123" xfId="0" applyNumberFormat="1" applyFont="1" applyFill="1" applyBorder="1" applyAlignment="1" applyProtection="1">
      <alignment vertical="center"/>
      <protection/>
    </xf>
    <xf numFmtId="3" fontId="12" fillId="0" borderId="106" xfId="0" applyNumberFormat="1" applyFont="1" applyFill="1" applyBorder="1" applyAlignment="1" applyProtection="1">
      <alignment vertical="center"/>
      <protection/>
    </xf>
    <xf numFmtId="3" fontId="12" fillId="0" borderId="9" xfId="0" applyNumberFormat="1" applyFont="1" applyFill="1" applyBorder="1" applyAlignment="1" applyProtection="1">
      <alignment vertical="center"/>
      <protection/>
    </xf>
    <xf numFmtId="165" fontId="14" fillId="0" borderId="9" xfId="0" applyNumberFormat="1" applyFont="1" applyFill="1" applyBorder="1" applyAlignment="1" applyProtection="1">
      <alignment vertical="center"/>
      <protection/>
    </xf>
    <xf numFmtId="164" fontId="14" fillId="0" borderId="41" xfId="0" applyNumberFormat="1" applyFont="1" applyFill="1" applyBorder="1" applyAlignment="1" applyProtection="1">
      <alignment vertical="center"/>
      <protection/>
    </xf>
    <xf numFmtId="0" fontId="100" fillId="0" borderId="0" xfId="0" applyNumberFormat="1" applyFont="1" applyFill="1" applyBorder="1" applyAlignment="1" applyProtection="1">
      <alignment vertical="center"/>
      <protection/>
    </xf>
    <xf numFmtId="164" fontId="14" fillId="0" borderId="77" xfId="0" applyNumberFormat="1" applyFont="1" applyFill="1" applyBorder="1" applyAlignment="1" applyProtection="1">
      <alignment vertical="center"/>
      <protection/>
    </xf>
    <xf numFmtId="0" fontId="12" fillId="0" borderId="9" xfId="0" applyNumberFormat="1" applyFont="1" applyFill="1" applyBorder="1" applyAlignment="1" applyProtection="1">
      <alignment vertical="center" wrapText="1"/>
      <protection/>
    </xf>
    <xf numFmtId="49" fontId="11" fillId="0" borderId="61" xfId="0" applyNumberFormat="1" applyFont="1" applyFill="1" applyBorder="1" applyAlignment="1" applyProtection="1">
      <alignment horizontal="center" vertical="center"/>
      <protection/>
    </xf>
    <xf numFmtId="0" fontId="12" fillId="0" borderId="6"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left" vertical="center" wrapText="1"/>
      <protection/>
    </xf>
    <xf numFmtId="49" fontId="11" fillId="0" borderId="106" xfId="0" applyNumberFormat="1" applyFont="1" applyFill="1" applyBorder="1" applyAlignment="1" applyProtection="1">
      <alignment horizontal="center" vertical="center"/>
      <protection/>
    </xf>
    <xf numFmtId="164" fontId="14" fillId="0" borderId="36" xfId="0" applyNumberFormat="1" applyFont="1" applyFill="1" applyBorder="1" applyAlignment="1" applyProtection="1">
      <alignment vertical="center"/>
      <protection/>
    </xf>
    <xf numFmtId="0" fontId="5" fillId="0" borderId="102"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vertical="center"/>
      <protection/>
    </xf>
    <xf numFmtId="3" fontId="6" fillId="0" borderId="102" xfId="0" applyNumberFormat="1" applyFont="1" applyFill="1" applyBorder="1" applyAlignment="1" applyProtection="1">
      <alignment vertical="center"/>
      <protection/>
    </xf>
    <xf numFmtId="3" fontId="6" fillId="0" borderId="101" xfId="0" applyNumberFormat="1" applyFont="1" applyFill="1" applyBorder="1" applyAlignment="1" applyProtection="1">
      <alignment vertical="center"/>
      <protection/>
    </xf>
    <xf numFmtId="3" fontId="6" fillId="0" borderId="12" xfId="0" applyNumberFormat="1" applyFont="1" applyFill="1" applyBorder="1" applyAlignment="1" applyProtection="1">
      <alignment vertical="center"/>
      <protection/>
    </xf>
    <xf numFmtId="164" fontId="6" fillId="0" borderId="12" xfId="0" applyNumberFormat="1" applyFont="1" applyFill="1" applyBorder="1" applyAlignment="1" applyProtection="1">
      <alignment vertical="center"/>
      <protection/>
    </xf>
    <xf numFmtId="164" fontId="6" fillId="0" borderId="33"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3" fontId="12" fillId="0" borderId="0" xfId="0" applyNumberFormat="1" applyFont="1" applyFill="1" applyBorder="1" applyAlignment="1" applyProtection="1">
      <alignment/>
      <protection/>
    </xf>
    <xf numFmtId="49" fontId="36" fillId="0" borderId="5" xfId="0" applyNumberFormat="1" applyFont="1" applyBorder="1" applyAlignment="1">
      <alignment horizontal="center" vertical="center"/>
    </xf>
    <xf numFmtId="0" fontId="36" fillId="0" borderId="59" xfId="0" applyFont="1" applyBorder="1" applyAlignment="1">
      <alignment vertical="center" wrapText="1"/>
    </xf>
    <xf numFmtId="3" fontId="36" fillId="0" borderId="41" xfId="0" applyNumberFormat="1" applyFont="1" applyBorder="1" applyAlignment="1">
      <alignment vertical="center"/>
    </xf>
    <xf numFmtId="3" fontId="36" fillId="0" borderId="6" xfId="0" applyNumberFormat="1" applyFont="1" applyAlignment="1">
      <alignment vertical="center"/>
    </xf>
    <xf numFmtId="3" fontId="36" fillId="0" borderId="49" xfId="0" applyNumberFormat="1" applyFont="1" applyBorder="1" applyAlignment="1">
      <alignment vertical="center"/>
    </xf>
    <xf numFmtId="0" fontId="36" fillId="0" borderId="0" xfId="0" applyFont="1" applyAlignment="1">
      <alignment vertical="center"/>
    </xf>
    <xf numFmtId="0" fontId="31" fillId="0" borderId="59" xfId="0" applyFont="1" applyBorder="1" applyAlignment="1">
      <alignment vertical="center" wrapText="1"/>
    </xf>
    <xf numFmtId="3" fontId="36" fillId="0" borderId="98" xfId="0" applyNumberFormat="1" applyFont="1" applyBorder="1" applyAlignment="1">
      <alignment vertical="center"/>
    </xf>
    <xf numFmtId="3" fontId="41" fillId="0" borderId="43" xfId="0" applyNumberFormat="1" applyFont="1" applyBorder="1" applyAlignment="1">
      <alignment vertical="center"/>
    </xf>
    <xf numFmtId="3" fontId="41" fillId="0" borderId="6" xfId="0" applyNumberFormat="1" applyFont="1" applyBorder="1" applyAlignment="1">
      <alignment vertical="center"/>
    </xf>
    <xf numFmtId="164" fontId="31" fillId="0" borderId="50" xfId="0" applyNumberFormat="1" applyFont="1" applyBorder="1" applyAlignment="1">
      <alignment vertical="center"/>
    </xf>
    <xf numFmtId="164" fontId="41" fillId="0" borderId="41" xfId="0" applyNumberFormat="1" applyFont="1" applyBorder="1" applyAlignment="1">
      <alignment vertical="center"/>
    </xf>
    <xf numFmtId="3" fontId="41" fillId="0" borderId="6" xfId="0" applyNumberFormat="1" applyFont="1" applyAlignment="1">
      <alignment vertical="center"/>
    </xf>
    <xf numFmtId="3" fontId="41" fillId="0" borderId="41" xfId="0" applyNumberFormat="1" applyFont="1" applyBorder="1" applyAlignment="1">
      <alignment vertical="center"/>
    </xf>
    <xf numFmtId="3" fontId="36" fillId="0" borderId="43" xfId="0" applyNumberFormat="1" applyFont="1" applyBorder="1" applyAlignment="1">
      <alignment vertical="center"/>
    </xf>
    <xf numFmtId="49" fontId="36" fillId="0" borderId="5" xfId="0" applyNumberFormat="1" applyFont="1" applyBorder="1" applyAlignment="1">
      <alignment vertical="center"/>
    </xf>
    <xf numFmtId="3" fontId="36" fillId="0" borderId="6" xfId="0" applyNumberFormat="1" applyFont="1" applyBorder="1" applyAlignment="1">
      <alignment vertical="center"/>
    </xf>
    <xf numFmtId="0" fontId="36" fillId="0" borderId="0" xfId="0" applyFont="1" applyBorder="1" applyAlignment="1">
      <alignment vertical="center"/>
    </xf>
    <xf numFmtId="0" fontId="36" fillId="0" borderId="68" xfId="0" applyFont="1" applyBorder="1" applyAlignment="1">
      <alignment vertical="center" wrapText="1"/>
    </xf>
    <xf numFmtId="49" fontId="36" fillId="0" borderId="43" xfId="0" applyNumberFormat="1" applyFont="1" applyBorder="1" applyAlignment="1">
      <alignment vertical="center"/>
    </xf>
    <xf numFmtId="165" fontId="17" fillId="0" borderId="68" xfId="0" applyNumberFormat="1" applyFont="1" applyBorder="1" applyAlignment="1">
      <alignment vertical="center" wrapText="1"/>
    </xf>
    <xf numFmtId="3" fontId="36" fillId="0" borderId="65" xfId="0" applyNumberFormat="1" applyFont="1" applyBorder="1" applyAlignment="1">
      <alignment vertical="center"/>
    </xf>
    <xf numFmtId="3" fontId="36" fillId="0" borderId="68" xfId="0" applyNumberFormat="1" applyFont="1" applyBorder="1" applyAlignment="1">
      <alignment vertical="center"/>
    </xf>
    <xf numFmtId="3" fontId="36" fillId="0" borderId="0" xfId="0" applyNumberFormat="1" applyFont="1" applyBorder="1" applyAlignment="1">
      <alignment vertical="center"/>
    </xf>
    <xf numFmtId="0" fontId="30" fillId="0" borderId="59" xfId="0" applyFont="1" applyBorder="1" applyAlignment="1">
      <alignment vertical="center" wrapText="1"/>
    </xf>
    <xf numFmtId="49" fontId="35" fillId="0" borderId="5" xfId="0" applyNumberFormat="1" applyFont="1" applyBorder="1" applyAlignment="1">
      <alignment vertical="center"/>
    </xf>
    <xf numFmtId="0" fontId="35" fillId="0" borderId="59" xfId="0" applyFont="1" applyBorder="1" applyAlignment="1">
      <alignment vertical="center" wrapText="1"/>
    </xf>
    <xf numFmtId="3" fontId="35" fillId="0" borderId="59" xfId="0" applyNumberFormat="1" applyFont="1" applyBorder="1" applyAlignment="1">
      <alignment vertical="center"/>
    </xf>
    <xf numFmtId="3" fontId="35" fillId="0" borderId="43" xfId="0" applyNumberFormat="1" applyFont="1" applyFill="1" applyBorder="1" applyAlignment="1">
      <alignment vertical="center"/>
    </xf>
    <xf numFmtId="164" fontId="25" fillId="0" borderId="0" xfId="0" applyNumberFormat="1" applyFont="1" applyFill="1" applyBorder="1" applyAlignment="1">
      <alignment vertical="center"/>
    </xf>
    <xf numFmtId="164" fontId="35" fillId="0" borderId="41" xfId="0" applyNumberFormat="1" applyFont="1" applyBorder="1" applyAlignment="1">
      <alignment horizontal="right" vertical="center"/>
    </xf>
    <xf numFmtId="3" fontId="35" fillId="0" borderId="43" xfId="0" applyNumberFormat="1" applyFont="1" applyBorder="1" applyAlignment="1">
      <alignment vertical="center"/>
    </xf>
    <xf numFmtId="3" fontId="35" fillId="0" borderId="0" xfId="0" applyNumberFormat="1" applyFont="1" applyBorder="1" applyAlignment="1">
      <alignment vertical="center"/>
    </xf>
    <xf numFmtId="3" fontId="35" fillId="0" borderId="60" xfId="0" applyNumberFormat="1" applyFont="1" applyBorder="1" applyAlignment="1">
      <alignment vertical="center"/>
    </xf>
    <xf numFmtId="3" fontId="35" fillId="0" borderId="41" xfId="0" applyNumberFormat="1" applyFont="1" applyBorder="1" applyAlignment="1">
      <alignment vertical="center"/>
    </xf>
    <xf numFmtId="3" fontId="35" fillId="0" borderId="43" xfId="0" applyNumberFormat="1" applyFont="1" applyBorder="1" applyAlignment="1">
      <alignment vertical="center"/>
    </xf>
    <xf numFmtId="3" fontId="35" fillId="0" borderId="49" xfId="0" applyNumberFormat="1" applyFont="1" applyBorder="1" applyAlignment="1">
      <alignment vertical="center"/>
    </xf>
    <xf numFmtId="0" fontId="35" fillId="0" borderId="0" xfId="0" applyFont="1" applyBorder="1" applyAlignment="1">
      <alignment vertical="center"/>
    </xf>
    <xf numFmtId="3" fontId="15" fillId="0" borderId="60" xfId="0" applyNumberFormat="1" applyFont="1" applyBorder="1" applyAlignment="1">
      <alignment vertical="center"/>
    </xf>
    <xf numFmtId="3" fontId="15" fillId="0" borderId="59" xfId="0" applyNumberFormat="1" applyFont="1" applyBorder="1" applyAlignment="1">
      <alignment vertical="center"/>
    </xf>
    <xf numFmtId="3" fontId="35" fillId="0" borderId="6" xfId="0" applyNumberFormat="1" applyFont="1" applyBorder="1" applyAlignment="1">
      <alignment vertical="center"/>
    </xf>
    <xf numFmtId="164" fontId="25" fillId="0" borderId="0" xfId="0" applyNumberFormat="1" applyFont="1" applyBorder="1" applyAlignment="1">
      <alignment vertical="center"/>
    </xf>
    <xf numFmtId="3" fontId="35" fillId="0" borderId="6" xfId="0" applyNumberFormat="1" applyFont="1" applyBorder="1" applyAlignment="1">
      <alignment vertical="center"/>
    </xf>
    <xf numFmtId="3" fontId="35" fillId="0" borderId="61" xfId="0" applyNumberFormat="1" applyFont="1" applyBorder="1" applyAlignment="1">
      <alignment vertical="center"/>
    </xf>
    <xf numFmtId="3" fontId="35" fillId="0" borderId="41" xfId="0" applyNumberFormat="1" applyFont="1" applyBorder="1" applyAlignment="1">
      <alignment vertical="center"/>
    </xf>
    <xf numFmtId="3" fontId="35" fillId="0" borderId="7" xfId="0" applyNumberFormat="1" applyFont="1" applyBorder="1" applyAlignment="1">
      <alignment vertical="center"/>
    </xf>
    <xf numFmtId="165" fontId="35" fillId="0" borderId="0" xfId="0" applyNumberFormat="1" applyFont="1" applyBorder="1" applyAlignment="1">
      <alignment vertical="center"/>
    </xf>
    <xf numFmtId="0" fontId="6" fillId="0" borderId="34" xfId="0" applyFont="1" applyBorder="1" applyAlignment="1">
      <alignment vertical="center" wrapText="1"/>
    </xf>
    <xf numFmtId="0" fontId="6" fillId="0" borderId="43" xfId="0" applyFont="1" applyBorder="1" applyAlignment="1">
      <alignment vertical="center" wrapText="1"/>
    </xf>
    <xf numFmtId="0" fontId="14" fillId="0" borderId="43" xfId="0" applyFont="1" applyBorder="1" applyAlignment="1">
      <alignment vertical="center" wrapText="1"/>
    </xf>
    <xf numFmtId="3" fontId="6" fillId="0" borderId="132" xfId="0" applyNumberFormat="1" applyFont="1" applyBorder="1" applyAlignment="1">
      <alignment vertical="center"/>
    </xf>
    <xf numFmtId="49" fontId="6" fillId="0" borderId="61" xfId="0" applyNumberFormat="1" applyFont="1" applyBorder="1" applyAlignment="1">
      <alignment horizontal="center" vertical="center"/>
    </xf>
    <xf numFmtId="49" fontId="14" fillId="0" borderId="61" xfId="0" applyNumberFormat="1" applyFont="1" applyBorder="1" applyAlignment="1">
      <alignment horizontal="center" vertical="center"/>
    </xf>
    <xf numFmtId="49" fontId="5" fillId="0" borderId="102" xfId="0" applyNumberFormat="1" applyFont="1" applyBorder="1" applyAlignment="1">
      <alignment horizontal="center" vertical="center"/>
    </xf>
    <xf numFmtId="0" fontId="5" fillId="0" borderId="34" xfId="0" applyFont="1" applyBorder="1" applyAlignment="1">
      <alignment vertical="center" wrapText="1"/>
    </xf>
    <xf numFmtId="3" fontId="5" fillId="0" borderId="12" xfId="0" applyNumberFormat="1" applyFont="1" applyBorder="1" applyAlignment="1">
      <alignment vertical="center"/>
    </xf>
    <xf numFmtId="164" fontId="73" fillId="0" borderId="33" xfId="0" applyNumberFormat="1" applyFont="1" applyBorder="1" applyAlignment="1">
      <alignment vertical="center"/>
    </xf>
    <xf numFmtId="49" fontId="6" fillId="0" borderId="114" xfId="0" applyNumberFormat="1" applyFont="1" applyBorder="1" applyAlignment="1">
      <alignment horizontal="center" vertical="center"/>
    </xf>
    <xf numFmtId="0" fontId="6" fillId="0" borderId="100" xfId="0" applyFont="1" applyBorder="1" applyAlignment="1">
      <alignment vertical="center" wrapText="1"/>
    </xf>
    <xf numFmtId="3" fontId="6" fillId="0" borderId="100" xfId="0" applyNumberFormat="1" applyFont="1" applyBorder="1" applyAlignment="1">
      <alignment vertical="center"/>
    </xf>
    <xf numFmtId="164" fontId="6" fillId="0" borderId="31" xfId="0" applyNumberFormat="1" applyFont="1" applyBorder="1" applyAlignment="1">
      <alignment vertical="center"/>
    </xf>
    <xf numFmtId="3" fontId="6" fillId="0" borderId="29" xfId="0" applyNumberFormat="1" applyFont="1" applyBorder="1" applyAlignment="1">
      <alignment vertical="center"/>
    </xf>
    <xf numFmtId="49" fontId="4" fillId="0" borderId="107" xfId="0" applyNumberFormat="1" applyFont="1" applyBorder="1" applyAlignment="1">
      <alignment horizontal="center" vertical="center"/>
    </xf>
    <xf numFmtId="3" fontId="4" fillId="0" borderId="76" xfId="0" applyNumberFormat="1" applyFont="1" applyBorder="1" applyAlignment="1">
      <alignment vertical="center"/>
    </xf>
    <xf numFmtId="164" fontId="4" fillId="0" borderId="78" xfId="0" applyNumberFormat="1" applyFont="1" applyBorder="1" applyAlignment="1">
      <alignment vertical="center"/>
    </xf>
    <xf numFmtId="3" fontId="4" fillId="0" borderId="132" xfId="0" applyNumberFormat="1" applyFont="1" applyBorder="1" applyAlignment="1">
      <alignment vertical="center"/>
    </xf>
    <xf numFmtId="1" fontId="47" fillId="0" borderId="0" xfId="0" applyNumberFormat="1" applyFont="1" applyFill="1" applyBorder="1" applyAlignment="1" applyProtection="1">
      <alignment horizontal="center" vertical="center" wrapText="1"/>
      <protection locked="0"/>
    </xf>
    <xf numFmtId="164" fontId="9" fillId="0" borderId="0" xfId="0" applyNumberFormat="1" applyFont="1" applyFill="1" applyBorder="1" applyAlignment="1" applyProtection="1">
      <alignment horizontal="right"/>
      <protection locked="0"/>
    </xf>
    <xf numFmtId="0" fontId="7" fillId="0" borderId="52" xfId="0" applyFont="1" applyBorder="1" applyAlignment="1">
      <alignment horizontal="left" vertical="center" wrapText="1"/>
    </xf>
    <xf numFmtId="0" fontId="7" fillId="0" borderId="59" xfId="0" applyFont="1" applyBorder="1" applyAlignment="1">
      <alignment horizontal="left" vertical="center" wrapText="1"/>
    </xf>
    <xf numFmtId="3" fontId="5" fillId="0" borderId="48" xfId="0" applyNumberFormat="1" applyFont="1" applyFill="1" applyBorder="1" applyAlignment="1" applyProtection="1">
      <alignment horizontal="center" vertical="center" wrapText="1"/>
      <protection locked="0"/>
    </xf>
    <xf numFmtId="3" fontId="5" fillId="0" borderId="82" xfId="0" applyNumberFormat="1" applyFont="1" applyFill="1" applyBorder="1" applyAlignment="1" applyProtection="1">
      <alignment horizontal="center" vertical="center" wrapText="1"/>
      <protection locked="0"/>
    </xf>
    <xf numFmtId="3" fontId="13" fillId="0" borderId="36" xfId="0" applyNumberFormat="1" applyFont="1" applyFill="1" applyBorder="1" applyAlignment="1" applyProtection="1">
      <alignment horizontal="center" vertical="center" wrapText="1"/>
      <protection locked="0"/>
    </xf>
    <xf numFmtId="1" fontId="10" fillId="0" borderId="80" xfId="0" applyNumberFormat="1" applyFont="1" applyBorder="1" applyAlignment="1">
      <alignment horizontal="center"/>
    </xf>
    <xf numFmtId="1" fontId="10" fillId="0" borderId="101" xfId="0" applyNumberFormat="1" applyFont="1" applyBorder="1" applyAlignment="1">
      <alignment horizontal="center"/>
    </xf>
    <xf numFmtId="1" fontId="10" fillId="0" borderId="33" xfId="0" applyNumberFormat="1" applyFont="1" applyBorder="1" applyAlignment="1">
      <alignment horizontal="center"/>
    </xf>
    <xf numFmtId="164" fontId="49" fillId="0" borderId="33" xfId="0" applyNumberFormat="1" applyFont="1" applyFill="1" applyBorder="1" applyAlignment="1" applyProtection="1">
      <alignment vertical="center"/>
      <protection locked="0"/>
    </xf>
    <xf numFmtId="3" fontId="6" fillId="0" borderId="85" xfId="0" applyNumberFormat="1" applyFont="1" applyFill="1" applyBorder="1" applyAlignment="1" applyProtection="1">
      <alignment vertical="center"/>
      <protection locked="0"/>
    </xf>
    <xf numFmtId="164" fontId="49" fillId="0" borderId="55" xfId="0" applyNumberFormat="1" applyFont="1" applyFill="1" applyBorder="1" applyAlignment="1" applyProtection="1">
      <alignment vertical="center"/>
      <protection locked="0"/>
    </xf>
    <xf numFmtId="3" fontId="4" fillId="0" borderId="50" xfId="0" applyNumberFormat="1" applyFont="1" applyFill="1" applyBorder="1" applyAlignment="1" applyProtection="1">
      <alignment vertical="center"/>
      <protection locked="0"/>
    </xf>
    <xf numFmtId="164" fontId="14" fillId="0" borderId="78" xfId="0" applyNumberFormat="1" applyFont="1" applyFill="1" applyBorder="1" applyAlignment="1" applyProtection="1">
      <alignment vertical="center"/>
      <protection locked="0"/>
    </xf>
    <xf numFmtId="164" fontId="6" fillId="0" borderId="33" xfId="19" applyNumberFormat="1" applyFont="1" applyFill="1" applyBorder="1" applyAlignment="1" applyProtection="1">
      <alignment vertical="center" wrapText="1"/>
      <protection locked="0"/>
    </xf>
    <xf numFmtId="3" fontId="4" fillId="0" borderId="82" xfId="0" applyNumberFormat="1" applyFont="1" applyFill="1" applyBorder="1" applyAlignment="1" applyProtection="1">
      <alignment vertical="center"/>
      <protection locked="0"/>
    </xf>
    <xf numFmtId="164" fontId="14" fillId="0" borderId="36" xfId="0" applyNumberFormat="1" applyFont="1" applyFill="1" applyBorder="1" applyAlignment="1" applyProtection="1">
      <alignment vertical="center"/>
      <protection locked="0"/>
    </xf>
    <xf numFmtId="3" fontId="4" fillId="0" borderId="85" xfId="0" applyNumberFormat="1" applyFont="1" applyFill="1" applyBorder="1" applyAlignment="1" applyProtection="1">
      <alignment vertical="center"/>
      <protection locked="0"/>
    </xf>
    <xf numFmtId="164" fontId="49" fillId="0" borderId="95" xfId="0" applyNumberFormat="1" applyFont="1" applyFill="1" applyBorder="1" applyAlignment="1" applyProtection="1">
      <alignment vertical="center"/>
      <protection locked="0"/>
    </xf>
    <xf numFmtId="1" fontId="5" fillId="0" borderId="102" xfId="0" applyNumberFormat="1" applyFont="1" applyFill="1" applyBorder="1" applyAlignment="1" applyProtection="1">
      <alignment horizontal="centerContinuous" vertical="center"/>
      <protection locked="0"/>
    </xf>
    <xf numFmtId="1" fontId="5" fillId="0" borderId="34" xfId="0" applyNumberFormat="1" applyFont="1" applyFill="1" applyBorder="1" applyAlignment="1" applyProtection="1">
      <alignment horizontal="left" vertical="center"/>
      <protection locked="0"/>
    </xf>
    <xf numFmtId="3" fontId="5" fillId="0" borderId="102" xfId="0" applyNumberFormat="1" applyFont="1" applyFill="1" applyBorder="1" applyAlignment="1" applyProtection="1">
      <alignment vertical="center"/>
      <protection locked="0"/>
    </xf>
    <xf numFmtId="3" fontId="5" fillId="0" borderId="80" xfId="0" applyNumberFormat="1" applyFont="1" applyFill="1" applyBorder="1" applyAlignment="1" applyProtection="1">
      <alignment vertical="center"/>
      <protection locked="0"/>
    </xf>
    <xf numFmtId="164" fontId="14" fillId="0" borderId="0" xfId="0" applyNumberFormat="1" applyFont="1" applyFill="1" applyBorder="1" applyAlignment="1" applyProtection="1">
      <alignment horizontal="right" vertical="center"/>
      <protection locked="0"/>
    </xf>
    <xf numFmtId="164" fontId="4" fillId="0" borderId="105" xfId="0" applyNumberFormat="1" applyFont="1" applyBorder="1" applyAlignment="1">
      <alignment/>
    </xf>
    <xf numFmtId="1" fontId="10" fillId="0" borderId="54" xfId="0" applyNumberFormat="1" applyFont="1" applyFill="1" applyBorder="1" applyAlignment="1" applyProtection="1">
      <alignment horizontal="center"/>
      <protection locked="0"/>
    </xf>
    <xf numFmtId="1" fontId="10" fillId="0" borderId="61" xfId="0" applyNumberFormat="1" applyFont="1" applyFill="1" applyBorder="1" applyAlignment="1" applyProtection="1">
      <alignment horizontal="center" vertical="center"/>
      <protection locked="0"/>
    </xf>
    <xf numFmtId="164" fontId="6" fillId="0" borderId="60"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13" fillId="0" borderId="36" xfId="0" applyNumberFormat="1" applyFont="1" applyFill="1" applyBorder="1" applyAlignment="1" applyProtection="1">
      <alignment horizontal="center" vertical="center" wrapText="1"/>
      <protection locked="0"/>
    </xf>
    <xf numFmtId="1" fontId="10" fillId="0" borderId="12" xfId="0" applyNumberFormat="1" applyFont="1" applyBorder="1" applyAlignment="1">
      <alignment horizontal="center"/>
    </xf>
    <xf numFmtId="164" fontId="6" fillId="0" borderId="103" xfId="0" applyNumberFormat="1" applyFont="1" applyBorder="1" applyAlignment="1">
      <alignment/>
    </xf>
    <xf numFmtId="3" fontId="6" fillId="0" borderId="101" xfId="0" applyNumberFormat="1" applyFont="1" applyBorder="1" applyAlignment="1">
      <alignment vertical="center"/>
    </xf>
    <xf numFmtId="1" fontId="6" fillId="0" borderId="98" xfId="0" applyNumberFormat="1" applyFont="1" applyFill="1" applyBorder="1" applyAlignment="1" applyProtection="1">
      <alignment horizontal="centerContinuous" vertical="center"/>
      <protection locked="0"/>
    </xf>
    <xf numFmtId="164" fontId="6" fillId="0" borderId="85" xfId="19" applyNumberFormat="1" applyFont="1" applyFill="1" applyBorder="1" applyAlignment="1" applyProtection="1">
      <alignment vertical="center" wrapText="1"/>
      <protection locked="0"/>
    </xf>
    <xf numFmtId="164" fontId="6" fillId="0" borderId="87" xfId="0" applyNumberFormat="1" applyFont="1" applyBorder="1" applyAlignment="1">
      <alignment/>
    </xf>
    <xf numFmtId="3" fontId="6" fillId="0" borderId="98" xfId="0" applyNumberFormat="1" applyFont="1" applyBorder="1" applyAlignment="1">
      <alignment vertical="center"/>
    </xf>
    <xf numFmtId="3" fontId="6" fillId="0" borderId="46" xfId="0" applyNumberFormat="1" applyFont="1" applyBorder="1" applyAlignment="1">
      <alignment vertical="center"/>
    </xf>
    <xf numFmtId="1" fontId="4" fillId="0" borderId="107" xfId="0" applyNumberFormat="1" applyFont="1" applyFill="1" applyBorder="1" applyAlignment="1" applyProtection="1">
      <alignment horizontal="centerContinuous" vertical="center"/>
      <protection locked="0"/>
    </xf>
    <xf numFmtId="164" fontId="4" fillId="0" borderId="78" xfId="19" applyNumberFormat="1" applyFont="1" applyFill="1" applyBorder="1" applyAlignment="1" applyProtection="1">
      <alignment vertical="center" wrapText="1"/>
      <protection locked="0"/>
    </xf>
    <xf numFmtId="3" fontId="4" fillId="0" borderId="76" xfId="0" applyNumberFormat="1" applyFont="1" applyFill="1" applyBorder="1" applyAlignment="1" applyProtection="1">
      <alignment vertical="center"/>
      <protection locked="0"/>
    </xf>
    <xf numFmtId="164" fontId="14" fillId="0" borderId="133" xfId="0" applyNumberFormat="1" applyFont="1" applyFill="1" applyBorder="1" applyAlignment="1" applyProtection="1">
      <alignment horizontal="right" vertical="center"/>
      <protection locked="0"/>
    </xf>
    <xf numFmtId="164" fontId="4" fillId="0" borderId="134" xfId="0" applyNumberFormat="1" applyFont="1" applyBorder="1" applyAlignment="1">
      <alignment/>
    </xf>
    <xf numFmtId="3" fontId="4" fillId="0" borderId="107" xfId="0" applyNumberFormat="1" applyFont="1" applyFill="1" applyBorder="1" applyAlignment="1" applyProtection="1">
      <alignment vertical="center"/>
      <protection locked="0"/>
    </xf>
    <xf numFmtId="3" fontId="6" fillId="0" borderId="102" xfId="0" applyNumberFormat="1" applyFont="1" applyBorder="1" applyAlignment="1">
      <alignment vertical="center"/>
    </xf>
    <xf numFmtId="164" fontId="4" fillId="0" borderId="77" xfId="19" applyNumberFormat="1" applyFont="1" applyFill="1" applyBorder="1" applyAlignment="1" applyProtection="1">
      <alignment vertical="center" wrapText="1"/>
      <protection locked="0"/>
    </xf>
    <xf numFmtId="3" fontId="4" fillId="0" borderId="60" xfId="0" applyNumberFormat="1" applyFont="1" applyBorder="1" applyAlignment="1">
      <alignment vertical="center"/>
    </xf>
    <xf numFmtId="164" fontId="6" fillId="0" borderId="119" xfId="0" applyNumberFormat="1" applyFont="1" applyBorder="1" applyAlignment="1">
      <alignment/>
    </xf>
    <xf numFmtId="3" fontId="6" fillId="0" borderId="106" xfId="0" applyNumberFormat="1" applyFont="1" applyBorder="1" applyAlignment="1">
      <alignment vertical="center"/>
    </xf>
    <xf numFmtId="3" fontId="6" fillId="0" borderId="9" xfId="0" applyNumberFormat="1" applyFont="1" applyBorder="1" applyAlignment="1">
      <alignment vertical="center"/>
    </xf>
    <xf numFmtId="164" fontId="4" fillId="0" borderId="36" xfId="19" applyNumberFormat="1" applyFont="1" applyFill="1" applyBorder="1" applyAlignment="1" applyProtection="1">
      <alignment vertical="center" wrapText="1"/>
      <protection locked="0"/>
    </xf>
    <xf numFmtId="3" fontId="6" fillId="0" borderId="60" xfId="0" applyNumberFormat="1" applyFont="1" applyBorder="1" applyAlignment="1">
      <alignment vertical="center"/>
    </xf>
    <xf numFmtId="164" fontId="4" fillId="0" borderId="95" xfId="19" applyNumberFormat="1" applyFont="1" applyFill="1" applyBorder="1" applyAlignment="1" applyProtection="1">
      <alignment vertical="center" wrapText="1"/>
      <protection locked="0"/>
    </xf>
    <xf numFmtId="164" fontId="4" fillId="0" borderId="96" xfId="0" applyNumberFormat="1" applyFont="1" applyBorder="1" applyAlignment="1">
      <alignment/>
    </xf>
    <xf numFmtId="164" fontId="4" fillId="0" borderId="18" xfId="0" applyNumberFormat="1" applyFont="1" applyBorder="1" applyAlignment="1">
      <alignment/>
    </xf>
    <xf numFmtId="164" fontId="4" fillId="0" borderId="135" xfId="0" applyNumberFormat="1" applyFont="1" applyBorder="1" applyAlignment="1">
      <alignment/>
    </xf>
    <xf numFmtId="164" fontId="6" fillId="0" borderId="101" xfId="0" applyNumberFormat="1" applyFont="1" applyBorder="1" applyAlignment="1">
      <alignment/>
    </xf>
    <xf numFmtId="164" fontId="6" fillId="0" borderId="12" xfId="0" applyNumberFormat="1" applyFont="1" applyBorder="1" applyAlignment="1">
      <alignment/>
    </xf>
    <xf numFmtId="164" fontId="6" fillId="0" borderId="33" xfId="0" applyNumberFormat="1" applyFont="1" applyBorder="1" applyAlignment="1">
      <alignment/>
    </xf>
    <xf numFmtId="164" fontId="6" fillId="0" borderId="98" xfId="0" applyNumberFormat="1" applyFont="1" applyBorder="1" applyAlignment="1">
      <alignment/>
    </xf>
    <xf numFmtId="164" fontId="6" fillId="0" borderId="46" xfId="0" applyNumberFormat="1" applyFont="1" applyBorder="1" applyAlignment="1">
      <alignment/>
    </xf>
    <xf numFmtId="164" fontId="6" fillId="0" borderId="27" xfId="0" applyNumberFormat="1" applyFont="1" applyBorder="1" applyAlignment="1">
      <alignment/>
    </xf>
    <xf numFmtId="164" fontId="4" fillId="0" borderId="48" xfId="0" applyNumberFormat="1" applyFont="1" applyBorder="1" applyAlignment="1">
      <alignment/>
    </xf>
    <xf numFmtId="164" fontId="4" fillId="0" borderId="39" xfId="0" applyNumberFormat="1" applyFont="1" applyBorder="1" applyAlignment="1">
      <alignment/>
    </xf>
    <xf numFmtId="164" fontId="4" fillId="0" borderId="36" xfId="0" applyNumberFormat="1" applyFont="1" applyBorder="1" applyAlignment="1">
      <alignment/>
    </xf>
    <xf numFmtId="164" fontId="4" fillId="0" borderId="95" xfId="0" applyNumberFormat="1" applyFont="1" applyBorder="1" applyAlignment="1">
      <alignment/>
    </xf>
    <xf numFmtId="1" fontId="6" fillId="0" borderId="101" xfId="0" applyNumberFormat="1" applyFont="1" applyFill="1" applyBorder="1" applyAlignment="1" applyProtection="1">
      <alignment horizontal="center" vertical="center"/>
      <protection locked="0"/>
    </xf>
    <xf numFmtId="164" fontId="6" fillId="0" borderId="34" xfId="19" applyNumberFormat="1" applyFont="1" applyFill="1" applyBorder="1" applyAlignment="1" applyProtection="1">
      <alignment vertical="center" wrapText="1"/>
      <protection locked="0"/>
    </xf>
    <xf numFmtId="1" fontId="6" fillId="0" borderId="114" xfId="0" applyNumberFormat="1" applyFont="1" applyFill="1" applyBorder="1" applyAlignment="1" applyProtection="1">
      <alignment horizontal="center" vertical="center"/>
      <protection locked="0"/>
    </xf>
    <xf numFmtId="164" fontId="6" fillId="0" borderId="29" xfId="19" applyNumberFormat="1" applyFont="1" applyFill="1" applyBorder="1" applyAlignment="1" applyProtection="1">
      <alignment vertical="center" wrapText="1"/>
      <protection locked="0"/>
    </xf>
    <xf numFmtId="1" fontId="4" fillId="0" borderId="107" xfId="0" applyNumberFormat="1" applyFont="1" applyFill="1" applyBorder="1" applyAlignment="1" applyProtection="1">
      <alignment horizontal="center" vertical="center"/>
      <protection locked="0"/>
    </xf>
    <xf numFmtId="3" fontId="5" fillId="0" borderId="12" xfId="0" applyNumberFormat="1" applyFont="1" applyFill="1" applyBorder="1" applyAlignment="1" applyProtection="1">
      <alignment vertical="center"/>
      <protection locked="0"/>
    </xf>
    <xf numFmtId="4" fontId="55" fillId="0" borderId="59" xfId="0" applyNumberFormat="1" applyFont="1" applyFill="1" applyBorder="1" applyAlignment="1">
      <alignment vertical="center"/>
    </xf>
    <xf numFmtId="4" fontId="60" fillId="0" borderId="59" xfId="0" applyNumberFormat="1" applyFont="1" applyFill="1" applyBorder="1" applyAlignment="1">
      <alignment vertical="center"/>
    </xf>
    <xf numFmtId="4" fontId="61" fillId="0" borderId="59" xfId="0" applyNumberFormat="1" applyFont="1" applyFill="1" applyBorder="1" applyAlignment="1">
      <alignment vertical="center"/>
    </xf>
    <xf numFmtId="1" fontId="4" fillId="0" borderId="106" xfId="0" applyNumberFormat="1" applyFont="1" applyFill="1" applyBorder="1" applyAlignment="1" applyProtection="1">
      <alignment horizontal="center" vertical="center"/>
      <protection locked="0"/>
    </xf>
    <xf numFmtId="164" fontId="6" fillId="0" borderId="46" xfId="19" applyNumberFormat="1" applyFont="1" applyFill="1" applyBorder="1" applyAlignment="1" applyProtection="1">
      <alignment vertical="center" wrapText="1"/>
      <protection locked="0"/>
    </xf>
    <xf numFmtId="3" fontId="6" fillId="0" borderId="84" xfId="0" applyNumberFormat="1" applyFont="1" applyFill="1" applyBorder="1" applyAlignment="1" applyProtection="1">
      <alignment vertical="center"/>
      <protection locked="0"/>
    </xf>
    <xf numFmtId="1" fontId="6" fillId="0" borderId="107" xfId="0" applyNumberFormat="1" applyFont="1" applyFill="1" applyBorder="1" applyAlignment="1" applyProtection="1">
      <alignment horizontal="center" vertical="center"/>
      <protection locked="0"/>
    </xf>
    <xf numFmtId="164" fontId="6" fillId="0" borderId="76" xfId="19" applyNumberFormat="1" applyFont="1" applyFill="1" applyBorder="1" applyAlignment="1" applyProtection="1">
      <alignment vertical="center" wrapText="1"/>
      <protection locked="0"/>
    </xf>
    <xf numFmtId="3" fontId="6" fillId="0" borderId="107" xfId="0" applyNumberFormat="1" applyFont="1" applyFill="1" applyBorder="1" applyAlignment="1" applyProtection="1">
      <alignment vertical="center"/>
      <protection locked="0"/>
    </xf>
    <xf numFmtId="3" fontId="6" fillId="0" borderId="76" xfId="0" applyNumberFormat="1" applyFont="1" applyFill="1" applyBorder="1" applyAlignment="1" applyProtection="1">
      <alignment vertical="center"/>
      <protection locked="0"/>
    </xf>
    <xf numFmtId="164" fontId="49" fillId="0" borderId="133" xfId="0" applyNumberFormat="1" applyFont="1" applyFill="1" applyBorder="1" applyAlignment="1" applyProtection="1">
      <alignment horizontal="right" vertical="center"/>
      <protection locked="0"/>
    </xf>
    <xf numFmtId="3" fontId="6" fillId="0" borderId="133" xfId="0" applyNumberFormat="1" applyFont="1" applyFill="1" applyBorder="1" applyAlignment="1" applyProtection="1">
      <alignment vertical="center"/>
      <protection locked="0"/>
    </xf>
    <xf numFmtId="1" fontId="39" fillId="0" borderId="0" xfId="0" applyNumberFormat="1" applyFont="1" applyAlignment="1">
      <alignment horizontal="center" wrapText="1"/>
    </xf>
    <xf numFmtId="0" fontId="39" fillId="0" borderId="0" xfId="0" applyFont="1" applyAlignment="1">
      <alignment wrapText="1"/>
    </xf>
    <xf numFmtId="0" fontId="15" fillId="0" borderId="0" xfId="0" applyFont="1" applyAlignment="1">
      <alignment wrapText="1"/>
    </xf>
    <xf numFmtId="0" fontId="16" fillId="0" borderId="0" xfId="0" applyFont="1" applyAlignment="1">
      <alignment horizontal="center" wrapText="1"/>
    </xf>
    <xf numFmtId="1" fontId="18" fillId="0" borderId="0" xfId="0" applyNumberFormat="1" applyFont="1" applyAlignment="1">
      <alignment horizontal="centerContinuous" vertical="center" wrapText="1"/>
    </xf>
    <xf numFmtId="0" fontId="18" fillId="0" borderId="0" xfId="0" applyFont="1" applyAlignment="1">
      <alignment horizontal="centerContinuous" vertical="center"/>
    </xf>
    <xf numFmtId="0" fontId="18" fillId="0" borderId="0" xfId="0" applyFont="1" applyAlignment="1">
      <alignment vertical="center"/>
    </xf>
    <xf numFmtId="1" fontId="18" fillId="0" borderId="0" xfId="0" applyNumberFormat="1" applyFont="1" applyAlignment="1">
      <alignment horizontal="centerContinuous" vertical="center"/>
    </xf>
    <xf numFmtId="0" fontId="15" fillId="0" borderId="0" xfId="0" applyFont="1" applyAlignment="1">
      <alignment horizontal="center" vertical="center"/>
    </xf>
    <xf numFmtId="1" fontId="30" fillId="0" borderId="54" xfId="0" applyNumberFormat="1" applyFont="1" applyBorder="1" applyAlignment="1">
      <alignment horizontal="center" wrapText="1"/>
    </xf>
    <xf numFmtId="0" fontId="30" fillId="0" borderId="15" xfId="0" applyFont="1" applyBorder="1" applyAlignment="1">
      <alignment wrapText="1"/>
    </xf>
    <xf numFmtId="0" fontId="30" fillId="0" borderId="105" xfId="0" applyFont="1" applyBorder="1" applyAlignment="1">
      <alignment horizontal="centerContinuous" vertical="center" wrapText="1"/>
    </xf>
    <xf numFmtId="0" fontId="16" fillId="0" borderId="105" xfId="0" applyFont="1" applyBorder="1" applyAlignment="1">
      <alignment horizontal="centerContinuous" vertical="center" wrapText="1"/>
    </xf>
    <xf numFmtId="0" fontId="16" fillId="0" borderId="52" xfId="0" applyFont="1" applyBorder="1" applyAlignment="1">
      <alignment horizontal="centerContinuous" vertical="center" wrapText="1"/>
    </xf>
    <xf numFmtId="1" fontId="33" fillId="0" borderId="60" xfId="0" applyNumberFormat="1" applyFont="1" applyBorder="1" applyAlignment="1">
      <alignment horizontal="center" vertical="center" wrapText="1"/>
    </xf>
    <xf numFmtId="0" fontId="30" fillId="0" borderId="6" xfId="0" applyFont="1" applyBorder="1" applyAlignment="1">
      <alignment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Alignment="1">
      <alignment vertical="center" wrapText="1"/>
    </xf>
    <xf numFmtId="1" fontId="31" fillId="0" borderId="101" xfId="0" applyNumberFormat="1" applyFont="1" applyBorder="1" applyAlignment="1">
      <alignment horizontal="center" vertical="center" wrapText="1"/>
    </xf>
    <xf numFmtId="0" fontId="31" fillId="0" borderId="12"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Alignment="1">
      <alignment horizontal="center" vertical="center" wrapText="1"/>
    </xf>
    <xf numFmtId="1" fontId="30" fillId="0" borderId="101" xfId="0" applyNumberFormat="1" applyFont="1" applyBorder="1" applyAlignment="1">
      <alignment horizontal="center" vertical="center" wrapText="1"/>
    </xf>
    <xf numFmtId="0" fontId="30" fillId="0" borderId="12" xfId="0" applyFont="1" applyBorder="1" applyAlignment="1">
      <alignment vertical="center" wrapText="1"/>
    </xf>
    <xf numFmtId="3" fontId="30" fillId="0" borderId="34" xfId="0" applyNumberFormat="1" applyFont="1" applyBorder="1" applyAlignment="1">
      <alignment vertical="center" wrapText="1"/>
    </xf>
    <xf numFmtId="3" fontId="30" fillId="0" borderId="110" xfId="0" applyNumberFormat="1" applyFont="1" applyBorder="1" applyAlignment="1">
      <alignment vertical="center" wrapText="1"/>
    </xf>
    <xf numFmtId="0" fontId="30" fillId="0" borderId="0" xfId="0" applyFont="1" applyAlignment="1">
      <alignment vertical="center" wrapText="1"/>
    </xf>
    <xf numFmtId="1" fontId="30" fillId="0" borderId="98" xfId="0" applyNumberFormat="1" applyFont="1" applyBorder="1" applyAlignment="1">
      <alignment horizontal="center" vertical="center" wrapText="1"/>
    </xf>
    <xf numFmtId="0" fontId="30" fillId="0" borderId="46" xfId="0" applyFont="1" applyBorder="1" applyAlignment="1">
      <alignment vertical="center" wrapText="1"/>
    </xf>
    <xf numFmtId="3" fontId="16" fillId="0" borderId="45" xfId="0" applyNumberFormat="1" applyFont="1" applyBorder="1" applyAlignment="1">
      <alignment vertical="center" wrapText="1"/>
    </xf>
    <xf numFmtId="3" fontId="16" fillId="0" borderId="59" xfId="0" applyNumberFormat="1" applyFont="1" applyBorder="1" applyAlignment="1">
      <alignment vertical="center" wrapText="1"/>
    </xf>
    <xf numFmtId="3" fontId="16" fillId="0" borderId="46" xfId="0" applyNumberFormat="1" applyFont="1" applyBorder="1" applyAlignment="1">
      <alignment vertical="center" wrapText="1"/>
    </xf>
    <xf numFmtId="3" fontId="30" fillId="0" borderId="31" xfId="0" applyNumberFormat="1" applyFont="1" applyBorder="1" applyAlignment="1">
      <alignment vertical="center" wrapText="1"/>
    </xf>
    <xf numFmtId="0" fontId="16" fillId="0" borderId="0" xfId="0" applyFont="1" applyAlignment="1">
      <alignment vertical="center" wrapText="1"/>
    </xf>
    <xf numFmtId="1" fontId="39" fillId="0" borderId="48" xfId="0" applyNumberFormat="1" applyFont="1" applyBorder="1" applyAlignment="1">
      <alignment horizontal="center" vertical="center" wrapText="1"/>
    </xf>
    <xf numFmtId="0" fontId="39" fillId="0" borderId="9" xfId="0" applyFont="1" applyBorder="1" applyAlignment="1">
      <alignment vertical="center" wrapText="1"/>
    </xf>
    <xf numFmtId="3" fontId="15" fillId="0" borderId="75" xfId="0" applyNumberFormat="1" applyFont="1" applyBorder="1" applyAlignment="1">
      <alignment vertical="center" wrapText="1"/>
    </xf>
    <xf numFmtId="3" fontId="39" fillId="0" borderId="77" xfId="0" applyNumberFormat="1" applyFont="1" applyBorder="1" applyAlignment="1">
      <alignment vertical="center" wrapText="1"/>
    </xf>
    <xf numFmtId="3" fontId="15" fillId="0" borderId="9" xfId="0" applyNumberFormat="1" applyFont="1" applyBorder="1" applyAlignment="1">
      <alignment vertical="center" wrapText="1"/>
    </xf>
    <xf numFmtId="1" fontId="39" fillId="0" borderId="60" xfId="0" applyNumberFormat="1" applyFont="1" applyBorder="1" applyAlignment="1">
      <alignment horizontal="center" vertical="center" wrapText="1"/>
    </xf>
    <xf numFmtId="3" fontId="15" fillId="0" borderId="106" xfId="0" applyNumberFormat="1" applyFont="1" applyBorder="1" applyAlignment="1">
      <alignment vertical="center" wrapText="1"/>
    </xf>
    <xf numFmtId="3" fontId="30" fillId="0" borderId="77" xfId="0" applyNumberFormat="1" applyFont="1" applyBorder="1" applyAlignment="1">
      <alignment vertical="center" wrapText="1"/>
    </xf>
    <xf numFmtId="1" fontId="39" fillId="0" borderId="98" xfId="0" applyNumberFormat="1" applyFont="1" applyBorder="1" applyAlignment="1">
      <alignment horizontal="center" vertical="center" wrapText="1"/>
    </xf>
    <xf numFmtId="1" fontId="30" fillId="0" borderId="106" xfId="0" applyNumberFormat="1" applyFont="1" applyBorder="1" applyAlignment="1">
      <alignment horizontal="center" vertical="center" wrapText="1"/>
    </xf>
    <xf numFmtId="0" fontId="30" fillId="0" borderId="9" xfId="0" applyFont="1" applyBorder="1" applyAlignment="1">
      <alignment vertical="center" wrapText="1"/>
    </xf>
    <xf numFmtId="3" fontId="16" fillId="0" borderId="75" xfId="0" applyNumberFormat="1" applyFont="1" applyBorder="1" applyAlignment="1">
      <alignment vertical="center" wrapText="1"/>
    </xf>
    <xf numFmtId="3" fontId="16" fillId="0" borderId="106" xfId="0" applyNumberFormat="1" applyFont="1" applyBorder="1" applyAlignment="1">
      <alignment vertical="center" wrapText="1"/>
    </xf>
    <xf numFmtId="0" fontId="39" fillId="0" borderId="6" xfId="0" applyFont="1" applyBorder="1" applyAlignment="1">
      <alignment vertical="center" wrapText="1"/>
    </xf>
    <xf numFmtId="3" fontId="15" fillId="0" borderId="43" xfId="0" applyNumberFormat="1" applyFont="1" applyBorder="1" applyAlignment="1">
      <alignment vertical="center" wrapText="1"/>
    </xf>
    <xf numFmtId="3" fontId="15" fillId="0" borderId="6" xfId="0" applyNumberFormat="1" applyFont="1" applyBorder="1" applyAlignment="1">
      <alignment vertical="center" wrapText="1"/>
    </xf>
    <xf numFmtId="3" fontId="39" fillId="0" borderId="27" xfId="0" applyNumberFormat="1" applyFont="1" applyBorder="1" applyAlignment="1">
      <alignment vertical="center" wrapText="1"/>
    </xf>
    <xf numFmtId="3" fontId="15" fillId="0" borderId="96" xfId="0" applyNumberFormat="1" applyFont="1" applyBorder="1" applyAlignment="1">
      <alignment vertical="center" wrapText="1"/>
    </xf>
    <xf numFmtId="3" fontId="15" fillId="0" borderId="18" xfId="0" applyNumberFormat="1" applyFont="1" applyBorder="1" applyAlignment="1">
      <alignment vertical="center" wrapText="1"/>
    </xf>
    <xf numFmtId="3" fontId="39" fillId="0" borderId="78" xfId="0" applyNumberFormat="1" applyFont="1" applyBorder="1" applyAlignment="1">
      <alignment vertical="center" wrapText="1"/>
    </xf>
    <xf numFmtId="3" fontId="30" fillId="0" borderId="33" xfId="0" applyNumberFormat="1" applyFont="1" applyBorder="1" applyAlignment="1">
      <alignment vertical="center" wrapText="1"/>
    </xf>
    <xf numFmtId="1" fontId="39" fillId="0" borderId="114" xfId="0" applyNumberFormat="1" applyFont="1" applyBorder="1" applyAlignment="1">
      <alignment horizontal="center" vertical="center" wrapText="1"/>
    </xf>
    <xf numFmtId="0" fontId="39" fillId="0" borderId="100" xfId="0" applyFont="1" applyBorder="1" applyAlignment="1">
      <alignment vertical="center" wrapText="1"/>
    </xf>
    <xf numFmtId="3" fontId="15" fillId="0" borderId="29" xfId="0" applyNumberFormat="1" applyFont="1" applyBorder="1" applyAlignment="1">
      <alignment vertical="center" wrapText="1"/>
    </xf>
    <xf numFmtId="3" fontId="15" fillId="0" borderId="100" xfId="0" applyNumberFormat="1" applyFont="1" applyBorder="1" applyAlignment="1">
      <alignment vertical="center" wrapText="1"/>
    </xf>
    <xf numFmtId="3" fontId="39" fillId="0" borderId="31" xfId="0" applyNumberFormat="1" applyFont="1" applyBorder="1" applyAlignment="1">
      <alignment vertical="center" wrapText="1"/>
    </xf>
    <xf numFmtId="3" fontId="39" fillId="0" borderId="41" xfId="0" applyNumberFormat="1" applyFont="1" applyBorder="1" applyAlignment="1">
      <alignment vertical="center" wrapText="1"/>
    </xf>
    <xf numFmtId="3" fontId="16" fillId="0" borderId="34" xfId="0" applyNumberFormat="1" applyFont="1" applyBorder="1" applyAlignment="1">
      <alignment vertical="center" wrapText="1"/>
    </xf>
    <xf numFmtId="3" fontId="16" fillId="0" borderId="80" xfId="0" applyNumberFormat="1" applyFont="1" applyBorder="1" applyAlignment="1">
      <alignment vertical="center" wrapText="1"/>
    </xf>
    <xf numFmtId="0" fontId="16" fillId="0" borderId="12" xfId="0" applyFont="1" applyBorder="1" applyAlignment="1">
      <alignment vertical="center" wrapText="1"/>
    </xf>
    <xf numFmtId="0" fontId="16" fillId="0" borderId="33" xfId="0" applyFont="1" applyBorder="1" applyAlignment="1">
      <alignment vertical="center" wrapText="1"/>
    </xf>
    <xf numFmtId="1" fontId="30" fillId="0" borderId="114" xfId="0" applyNumberFormat="1" applyFont="1" applyBorder="1" applyAlignment="1">
      <alignment horizontal="center" vertical="center" wrapText="1"/>
    </xf>
    <xf numFmtId="0" fontId="30" fillId="0" borderId="100" xfId="0" applyFont="1" applyBorder="1" applyAlignment="1">
      <alignment vertical="center" wrapText="1"/>
    </xf>
    <xf numFmtId="3" fontId="16" fillId="0" borderId="29" xfId="0" applyNumberFormat="1" applyFont="1" applyBorder="1" applyAlignment="1">
      <alignment vertical="center" wrapText="1"/>
    </xf>
    <xf numFmtId="3" fontId="16" fillId="0" borderId="27" xfId="0" applyNumberFormat="1" applyFont="1" applyBorder="1" applyAlignment="1">
      <alignment vertical="center" wrapText="1"/>
    </xf>
    <xf numFmtId="0" fontId="16" fillId="0" borderId="54" xfId="0" applyFont="1" applyBorder="1" applyAlignment="1">
      <alignment vertical="center" wrapText="1"/>
    </xf>
    <xf numFmtId="0" fontId="16" fillId="0" borderId="15" xfId="0" applyFont="1" applyBorder="1" applyAlignment="1">
      <alignment vertical="center" wrapText="1"/>
    </xf>
    <xf numFmtId="0" fontId="16" fillId="0" borderId="55" xfId="0" applyFont="1" applyBorder="1" applyAlignment="1">
      <alignment vertical="center" wrapText="1"/>
    </xf>
    <xf numFmtId="0" fontId="15" fillId="0" borderId="60" xfId="0" applyFont="1" applyBorder="1" applyAlignment="1">
      <alignment vertical="center" wrapText="1"/>
    </xf>
    <xf numFmtId="0" fontId="15" fillId="0" borderId="6" xfId="0" applyFont="1" applyBorder="1" applyAlignment="1">
      <alignment vertical="center" wrapText="1"/>
    </xf>
    <xf numFmtId="3" fontId="15" fillId="0" borderId="41" xfId="0" applyNumberFormat="1" applyFont="1" applyBorder="1" applyAlignment="1">
      <alignment vertical="center" wrapText="1"/>
    </xf>
    <xf numFmtId="3" fontId="30" fillId="0" borderId="12" xfId="0" applyNumberFormat="1" applyFont="1" applyBorder="1" applyAlignment="1">
      <alignment vertical="center" wrapText="1"/>
    </xf>
    <xf numFmtId="3" fontId="16" fillId="0" borderId="102" xfId="0" applyNumberFormat="1" applyFont="1" applyBorder="1" applyAlignment="1">
      <alignment vertical="center" wrapText="1"/>
    </xf>
    <xf numFmtId="3" fontId="16" fillId="0" borderId="12" xfId="0" applyNumberFormat="1" applyFont="1" applyBorder="1" applyAlignment="1">
      <alignment vertical="center" wrapText="1"/>
    </xf>
    <xf numFmtId="3" fontId="16" fillId="0" borderId="110" xfId="0" applyNumberFormat="1" applyFont="1" applyBorder="1" applyAlignment="1">
      <alignment vertical="center" wrapText="1"/>
    </xf>
    <xf numFmtId="3" fontId="15" fillId="0" borderId="0" xfId="0" applyNumberFormat="1" applyFont="1" applyAlignment="1">
      <alignment vertical="center" wrapText="1"/>
    </xf>
    <xf numFmtId="3" fontId="30" fillId="0" borderId="75" xfId="0" applyNumberFormat="1" applyFont="1" applyBorder="1" applyAlignment="1">
      <alignment vertical="center" wrapText="1"/>
    </xf>
    <xf numFmtId="3" fontId="16" fillId="0" borderId="116" xfId="0" applyNumberFormat="1" applyFont="1" applyBorder="1" applyAlignment="1">
      <alignment vertical="center" wrapText="1"/>
    </xf>
    <xf numFmtId="0" fontId="39" fillId="0" borderId="46" xfId="0" applyFont="1" applyBorder="1" applyAlignment="1">
      <alignment vertical="center" wrapText="1"/>
    </xf>
    <xf numFmtId="3" fontId="15" fillId="0" borderId="45" xfId="0" applyNumberFormat="1" applyFont="1" applyBorder="1" applyAlignment="1">
      <alignment vertical="center" wrapText="1"/>
    </xf>
    <xf numFmtId="3" fontId="15" fillId="0" borderId="46" xfId="0" applyNumberFormat="1" applyFont="1" applyBorder="1" applyAlignment="1">
      <alignment vertical="center" wrapText="1"/>
    </xf>
    <xf numFmtId="3" fontId="39" fillId="0" borderId="27" xfId="15" applyNumberFormat="1" applyFont="1" applyBorder="1" applyAlignment="1">
      <alignment vertical="center" wrapText="1"/>
    </xf>
    <xf numFmtId="1" fontId="39" fillId="0" borderId="106" xfId="0" applyNumberFormat="1" applyFont="1" applyBorder="1" applyAlignment="1">
      <alignment horizontal="center" vertical="center" wrapText="1"/>
    </xf>
    <xf numFmtId="3" fontId="39" fillId="0" borderId="77" xfId="15" applyNumberFormat="1" applyFont="1" applyBorder="1" applyAlignment="1">
      <alignment vertical="center" wrapText="1"/>
    </xf>
    <xf numFmtId="3" fontId="16" fillId="0" borderId="9" xfId="0" applyNumberFormat="1" applyFont="1" applyBorder="1" applyAlignment="1">
      <alignment vertical="center" wrapText="1"/>
    </xf>
    <xf numFmtId="3" fontId="30" fillId="0" borderId="77" xfId="15" applyNumberFormat="1" applyFont="1" applyBorder="1" applyAlignment="1">
      <alignment vertical="center" wrapText="1"/>
    </xf>
    <xf numFmtId="3" fontId="39" fillId="0" borderId="41" xfId="15" applyNumberFormat="1" applyFont="1" applyBorder="1" applyAlignment="1">
      <alignment vertical="center" wrapText="1"/>
    </xf>
    <xf numFmtId="3" fontId="30" fillId="0" borderId="33" xfId="15" applyNumberFormat="1" applyFont="1" applyBorder="1" applyAlignment="1">
      <alignment vertical="center" wrapText="1"/>
    </xf>
    <xf numFmtId="1" fontId="39" fillId="0" borderId="96" xfId="0" applyNumberFormat="1" applyFont="1" applyBorder="1" applyAlignment="1">
      <alignment horizontal="center" vertical="center" wrapText="1"/>
    </xf>
    <xf numFmtId="0" fontId="39" fillId="0" borderId="18" xfId="0" applyFont="1" applyBorder="1" applyAlignment="1">
      <alignment vertical="center" wrapText="1"/>
    </xf>
    <xf numFmtId="3" fontId="15" fillId="0" borderId="93" xfId="0" applyNumberFormat="1" applyFont="1" applyBorder="1" applyAlignment="1">
      <alignment vertical="center" wrapText="1"/>
    </xf>
    <xf numFmtId="3" fontId="30" fillId="0" borderId="31" xfId="15" applyNumberFormat="1" applyFont="1" applyBorder="1" applyAlignment="1">
      <alignment vertical="center" wrapText="1"/>
    </xf>
    <xf numFmtId="3" fontId="30" fillId="0" borderId="93" xfId="0" applyNumberFormat="1" applyFont="1" applyBorder="1" applyAlignment="1">
      <alignment vertical="center" wrapText="1"/>
    </xf>
    <xf numFmtId="3" fontId="30" fillId="0" borderId="18" xfId="0" applyNumberFormat="1" applyFont="1" applyBorder="1" applyAlignment="1">
      <alignment vertical="center" wrapText="1"/>
    </xf>
    <xf numFmtId="164" fontId="30" fillId="0" borderId="95" xfId="0" applyNumberFormat="1" applyFont="1" applyBorder="1" applyAlignment="1">
      <alignment vertical="center" wrapText="1"/>
    </xf>
    <xf numFmtId="3" fontId="16" fillId="0" borderId="0" xfId="0" applyNumberFormat="1" applyFont="1" applyAlignment="1">
      <alignment vertical="center" wrapText="1"/>
    </xf>
    <xf numFmtId="3" fontId="39" fillId="0" borderId="100" xfId="0" applyNumberFormat="1" applyFont="1" applyBorder="1" applyAlignment="1">
      <alignment vertical="center" wrapText="1"/>
    </xf>
    <xf numFmtId="3" fontId="15" fillId="0" borderId="101" xfId="0" applyNumberFormat="1" applyFont="1" applyBorder="1" applyAlignment="1">
      <alignment vertical="center" wrapText="1"/>
    </xf>
    <xf numFmtId="3" fontId="15" fillId="0" borderId="12" xfId="0" applyNumberFormat="1" applyFont="1" applyBorder="1" applyAlignment="1">
      <alignment vertical="center" wrapText="1"/>
    </xf>
    <xf numFmtId="164" fontId="39" fillId="0" borderId="31" xfId="0" applyNumberFormat="1" applyFont="1" applyBorder="1" applyAlignment="1">
      <alignment vertical="center" wrapText="1"/>
    </xf>
    <xf numFmtId="1" fontId="39" fillId="0" borderId="54" xfId="0" applyNumberFormat="1" applyFont="1" applyBorder="1" applyAlignment="1">
      <alignment horizontal="center" vertical="center" wrapText="1"/>
    </xf>
    <xf numFmtId="3" fontId="39" fillId="0" borderId="15" xfId="0" applyNumberFormat="1" applyFont="1" applyBorder="1" applyAlignment="1">
      <alignment vertical="center" wrapText="1"/>
    </xf>
    <xf numFmtId="3" fontId="15" fillId="0" borderId="30" xfId="0" applyNumberFormat="1" applyFont="1" applyBorder="1" applyAlignment="1">
      <alignment vertical="center" wrapText="1"/>
    </xf>
    <xf numFmtId="3" fontId="15" fillId="0" borderId="15" xfId="0" applyNumberFormat="1" applyFont="1" applyBorder="1" applyAlignment="1">
      <alignment vertical="center" wrapText="1"/>
    </xf>
    <xf numFmtId="3" fontId="39" fillId="0" borderId="55" xfId="0" applyNumberFormat="1" applyFont="1" applyBorder="1" applyAlignment="1">
      <alignment vertical="center" wrapText="1"/>
    </xf>
    <xf numFmtId="0" fontId="39" fillId="0" borderId="15" xfId="0" applyFont="1" applyBorder="1" applyAlignment="1">
      <alignment vertical="center" wrapText="1"/>
    </xf>
    <xf numFmtId="3" fontId="39" fillId="0" borderId="33" xfId="0" applyNumberFormat="1" applyFont="1" applyBorder="1" applyAlignment="1">
      <alignment vertical="center" wrapText="1"/>
    </xf>
    <xf numFmtId="1" fontId="39" fillId="0" borderId="101" xfId="0" applyNumberFormat="1" applyFont="1" applyBorder="1" applyAlignment="1">
      <alignment horizontal="center" vertical="center" wrapText="1"/>
    </xf>
    <xf numFmtId="3" fontId="39" fillId="0" borderId="12" xfId="0" applyNumberFormat="1" applyFont="1" applyBorder="1" applyAlignment="1">
      <alignment vertical="center" wrapText="1"/>
    </xf>
    <xf numFmtId="3" fontId="15" fillId="0" borderId="34" xfId="0" applyNumberFormat="1" applyFont="1" applyBorder="1" applyAlignment="1">
      <alignment vertical="center" wrapText="1"/>
    </xf>
    <xf numFmtId="3" fontId="39" fillId="0" borderId="18" xfId="0" applyNumberFormat="1" applyFont="1" applyBorder="1" applyAlignment="1">
      <alignment vertical="center" wrapText="1"/>
    </xf>
    <xf numFmtId="3" fontId="30" fillId="0" borderId="95" xfId="0" applyNumberFormat="1" applyFont="1" applyBorder="1" applyAlignment="1">
      <alignment vertical="center" wrapText="1"/>
    </xf>
    <xf numFmtId="3" fontId="39" fillId="0" borderId="95" xfId="0" applyNumberFormat="1" applyFont="1" applyBorder="1" applyAlignment="1">
      <alignment vertical="center" wrapText="1"/>
    </xf>
    <xf numFmtId="1" fontId="39" fillId="0" borderId="107" xfId="0" applyNumberFormat="1" applyFont="1" applyBorder="1" applyAlignment="1">
      <alignment horizontal="center" vertical="center" wrapText="1"/>
    </xf>
    <xf numFmtId="3" fontId="39" fillId="0" borderId="132" xfId="0" applyNumberFormat="1" applyFont="1" applyBorder="1" applyAlignment="1">
      <alignment vertical="center" wrapText="1"/>
    </xf>
    <xf numFmtId="3" fontId="15" fillId="0" borderId="132" xfId="0" applyNumberFormat="1" applyFont="1" applyBorder="1" applyAlignment="1">
      <alignment vertical="center" wrapText="1"/>
    </xf>
    <xf numFmtId="3" fontId="15" fillId="0" borderId="60" xfId="0" applyNumberFormat="1" applyFont="1" applyBorder="1" applyAlignment="1">
      <alignment vertical="center" wrapText="1"/>
    </xf>
    <xf numFmtId="1" fontId="30" fillId="0" borderId="102" xfId="0" applyNumberFormat="1" applyFont="1" applyBorder="1" applyAlignment="1">
      <alignment horizontal="center" vertical="center" wrapText="1"/>
    </xf>
    <xf numFmtId="0" fontId="65" fillId="0" borderId="56" xfId="0" applyFont="1" applyBorder="1" applyAlignment="1">
      <alignment horizontal="center" wrapText="1"/>
    </xf>
    <xf numFmtId="0" fontId="65" fillId="0" borderId="121" xfId="0" applyFont="1" applyBorder="1" applyAlignment="1">
      <alignment horizontal="center" vertical="top" wrapText="1"/>
    </xf>
    <xf numFmtId="0" fontId="66" fillId="0" borderId="12" xfId="0" applyFont="1" applyBorder="1" applyAlignment="1">
      <alignment horizontal="centerContinuous" vertical="center" wrapText="1"/>
    </xf>
    <xf numFmtId="0" fontId="66" fillId="0" borderId="12" xfId="0" applyFont="1" applyBorder="1" applyAlignment="1">
      <alignment horizontal="centerContinuous" vertical="center" wrapText="1"/>
    </xf>
    <xf numFmtId="0" fontId="67" fillId="0" borderId="12" xfId="0" applyFont="1" applyBorder="1" applyAlignment="1">
      <alignment horizontal="centerContinuous" vertical="center" wrapText="1"/>
    </xf>
    <xf numFmtId="0" fontId="67" fillId="0" borderId="33" xfId="0" applyFont="1" applyBorder="1" applyAlignment="1">
      <alignment horizontal="centerContinuous" vertical="center" wrapText="1"/>
    </xf>
    <xf numFmtId="0" fontId="78" fillId="0" borderId="28" xfId="0" applyFont="1" applyBorder="1" applyAlignment="1">
      <alignment horizontal="center" vertical="center"/>
    </xf>
    <xf numFmtId="164" fontId="7" fillId="0" borderId="37" xfId="0" applyFont="1" applyBorder="1" applyAlignment="1">
      <alignment vertical="center"/>
    </xf>
    <xf numFmtId="164" fontId="8" fillId="0" borderId="28" xfId="0" applyFont="1" applyBorder="1" applyAlignment="1">
      <alignment horizontal="right" vertical="center"/>
    </xf>
    <xf numFmtId="0" fontId="65" fillId="0" borderId="53" xfId="0" applyFont="1" applyBorder="1" applyAlignment="1">
      <alignment horizontal="center" wrapText="1"/>
    </xf>
    <xf numFmtId="0" fontId="78" fillId="0" borderId="53" xfId="0" applyFont="1" applyBorder="1" applyAlignment="1">
      <alignment horizontal="center" wrapText="1"/>
    </xf>
    <xf numFmtId="0" fontId="65" fillId="0" borderId="84" xfId="0" applyFont="1" applyBorder="1" applyAlignment="1">
      <alignment horizontal="center" vertical="top" wrapText="1"/>
    </xf>
    <xf numFmtId="0" fontId="66" fillId="0" borderId="29" xfId="0" applyFont="1" applyBorder="1" applyAlignment="1">
      <alignment horizontal="centerContinuous" vertical="center" wrapText="1"/>
    </xf>
    <xf numFmtId="0" fontId="65" fillId="0" borderId="44" xfId="0" applyFont="1" applyBorder="1" applyAlignment="1">
      <alignment horizontal="centerContinuous" vertical="center" wrapText="1"/>
    </xf>
    <xf numFmtId="0" fontId="66" fillId="0" borderId="110" xfId="0" applyFont="1" applyBorder="1" applyAlignment="1">
      <alignment horizontal="center" vertical="center" wrapText="1"/>
    </xf>
    <xf numFmtId="0" fontId="67" fillId="0" borderId="34" xfId="0" applyFont="1" applyBorder="1" applyAlignment="1">
      <alignment horizontal="center" vertical="center"/>
    </xf>
    <xf numFmtId="0" fontId="65" fillId="0" borderId="37" xfId="0" applyFont="1" applyBorder="1" applyAlignment="1">
      <alignment horizontal="center" vertical="center" wrapText="1"/>
    </xf>
    <xf numFmtId="164" fontId="9" fillId="0" borderId="38" xfId="0" applyFont="1" applyBorder="1" applyAlignment="1">
      <alignment vertical="center"/>
    </xf>
    <xf numFmtId="0" fontId="65" fillId="0" borderId="81" xfId="0" applyFont="1" applyBorder="1" applyAlignment="1">
      <alignment horizontal="center" vertical="center" wrapText="1"/>
    </xf>
    <xf numFmtId="164" fontId="8" fillId="0" borderId="34" xfId="0" applyFont="1" applyBorder="1" applyAlignment="1">
      <alignment vertical="center"/>
    </xf>
    <xf numFmtId="164" fontId="7" fillId="0" borderId="28" xfId="0" applyFont="1" applyBorder="1" applyAlignment="1">
      <alignment vertical="center"/>
    </xf>
    <xf numFmtId="0" fontId="47" fillId="0" borderId="0" xfId="0" applyFont="1" applyAlignment="1">
      <alignment horizontal="left" vertical="top"/>
    </xf>
    <xf numFmtId="0" fontId="15" fillId="0" borderId="0" xfId="0" applyFont="1" applyAlignment="1">
      <alignment/>
    </xf>
    <xf numFmtId="164" fontId="19" fillId="0" borderId="12" xfId="0" applyNumberFormat="1" applyFont="1" applyBorder="1" applyAlignment="1">
      <alignment horizontal="left" vertical="center" wrapText="1"/>
    </xf>
    <xf numFmtId="2" fontId="23" fillId="0" borderId="0" xfId="0" applyNumberFormat="1" applyFont="1" applyAlignment="1">
      <alignment/>
    </xf>
    <xf numFmtId="0" fontId="72" fillId="0" borderId="0" xfId="0" applyFont="1" applyBorder="1" applyAlignment="1">
      <alignment/>
    </xf>
    <xf numFmtId="0" fontId="1" fillId="0" borderId="0" xfId="0" applyFont="1" applyAlignment="1">
      <alignment horizontal="center" vertical="center"/>
    </xf>
    <xf numFmtId="0" fontId="5" fillId="0" borderId="0" xfId="0" applyFont="1" applyAlignment="1">
      <alignment vertical="center"/>
    </xf>
    <xf numFmtId="0" fontId="5" fillId="0" borderId="0" xfId="0" applyFont="1" applyAlignment="1">
      <alignment/>
    </xf>
    <xf numFmtId="0" fontId="1" fillId="0" borderId="0" xfId="0" applyFont="1" applyAlignment="1">
      <alignment horizontal="right" vertical="center"/>
    </xf>
    <xf numFmtId="0" fontId="4" fillId="0" borderId="55" xfId="0" applyFont="1" applyBorder="1" applyAlignment="1">
      <alignment horizontal="centerContinuous" vertical="center"/>
    </xf>
    <xf numFmtId="0" fontId="8" fillId="0" borderId="6" xfId="0" applyFont="1" applyBorder="1" applyAlignment="1">
      <alignment horizontal="center" vertical="center" wrapText="1"/>
    </xf>
    <xf numFmtId="0" fontId="101" fillId="0" borderId="0" xfId="0" applyFont="1" applyBorder="1" applyAlignment="1">
      <alignment horizontal="center" vertical="center"/>
    </xf>
    <xf numFmtId="0" fontId="73" fillId="0" borderId="101" xfId="0" applyFont="1" applyBorder="1" applyAlignment="1">
      <alignment horizontal="center" vertical="center"/>
    </xf>
    <xf numFmtId="0" fontId="73" fillId="0" borderId="12" xfId="0" applyFont="1" applyBorder="1" applyAlignment="1">
      <alignment horizontal="center" vertical="center"/>
    </xf>
    <xf numFmtId="0" fontId="79" fillId="0" borderId="12" xfId="0" applyFont="1" applyBorder="1" applyAlignment="1">
      <alignment vertical="center"/>
    </xf>
    <xf numFmtId="165" fontId="73" fillId="0" borderId="80" xfId="0" applyNumberFormat="1" applyFont="1" applyBorder="1" applyAlignment="1">
      <alignment vertical="center"/>
    </xf>
    <xf numFmtId="0" fontId="68" fillId="0" borderId="0" xfId="0" applyFont="1" applyBorder="1" applyAlignment="1">
      <alignment/>
    </xf>
    <xf numFmtId="0" fontId="7" fillId="0" borderId="29" xfId="0" applyFont="1" applyBorder="1" applyAlignment="1">
      <alignment horizontal="center" vertical="center" wrapText="1"/>
    </xf>
    <xf numFmtId="0" fontId="14" fillId="0" borderId="41" xfId="0" applyFont="1" applyBorder="1" applyAlignment="1">
      <alignment horizontal="center" vertical="center"/>
    </xf>
    <xf numFmtId="0" fontId="4" fillId="0" borderId="46" xfId="0" applyFont="1" applyBorder="1" applyAlignment="1">
      <alignment vertical="center"/>
    </xf>
    <xf numFmtId="164" fontId="4" fillId="0" borderId="46" xfId="0" applyNumberFormat="1" applyFont="1" applyBorder="1" applyAlignment="1">
      <alignment vertical="center"/>
    </xf>
    <xf numFmtId="0" fontId="4" fillId="0" borderId="36" xfId="0" applyFont="1" applyBorder="1" applyAlignment="1">
      <alignment horizontal="left" vertical="center" wrapText="1"/>
    </xf>
    <xf numFmtId="0" fontId="14" fillId="0" borderId="9" xfId="0" applyFont="1" applyBorder="1" applyAlignment="1">
      <alignment horizontal="left" vertical="center"/>
    </xf>
    <xf numFmtId="0" fontId="74" fillId="0" borderId="9" xfId="0" applyFont="1" applyBorder="1" applyAlignment="1">
      <alignment horizontal="center" vertical="center" wrapText="1"/>
    </xf>
    <xf numFmtId="164" fontId="14" fillId="0" borderId="9" xfId="0" applyNumberFormat="1" applyFont="1" applyBorder="1" applyAlignment="1">
      <alignment vertical="center"/>
    </xf>
    <xf numFmtId="165" fontId="14" fillId="0" borderId="9" xfId="0" applyNumberFormat="1" applyFont="1" applyBorder="1" applyAlignment="1">
      <alignment vertical="center"/>
    </xf>
    <xf numFmtId="0" fontId="4" fillId="0" borderId="41" xfId="0" applyFont="1" applyBorder="1" applyAlignment="1">
      <alignment horizontal="left" vertical="center" wrapText="1"/>
    </xf>
    <xf numFmtId="0" fontId="14" fillId="0" borderId="39" xfId="0" applyFont="1" applyBorder="1" applyAlignment="1">
      <alignment horizontal="center" vertical="center"/>
    </xf>
    <xf numFmtId="0" fontId="74" fillId="0" borderId="39" xfId="0" applyFont="1" applyBorder="1" applyAlignment="1">
      <alignment horizontal="center" vertical="center" wrapText="1"/>
    </xf>
    <xf numFmtId="164" fontId="14" fillId="0" borderId="39" xfId="0" applyNumberFormat="1" applyFont="1" applyBorder="1" applyAlignment="1">
      <alignment vertical="center"/>
    </xf>
    <xf numFmtId="165" fontId="14" fillId="0" borderId="39" xfId="0" applyNumberFormat="1" applyFont="1" applyBorder="1" applyAlignment="1">
      <alignment vertical="center"/>
    </xf>
    <xf numFmtId="0" fontId="4" fillId="0" borderId="46" xfId="0" applyFont="1" applyBorder="1" applyAlignment="1">
      <alignment horizontal="center" vertical="center"/>
    </xf>
    <xf numFmtId="164" fontId="4" fillId="0" borderId="45" xfId="0" applyNumberFormat="1" applyFont="1" applyBorder="1" applyAlignment="1">
      <alignment vertical="center"/>
    </xf>
    <xf numFmtId="0" fontId="4" fillId="0" borderId="27" xfId="0" applyFont="1" applyBorder="1" applyAlignment="1">
      <alignment horizontal="left" vertical="center" wrapText="1"/>
    </xf>
    <xf numFmtId="0" fontId="4" fillId="0" borderId="9" xfId="0" applyFont="1" applyBorder="1" applyAlignment="1">
      <alignment vertical="center"/>
    </xf>
    <xf numFmtId="0" fontId="4" fillId="0" borderId="77" xfId="0" applyFont="1" applyBorder="1" applyAlignment="1">
      <alignment horizontal="left" vertical="center" wrapText="1"/>
    </xf>
    <xf numFmtId="0" fontId="4" fillId="0" borderId="48" xfId="0" applyFont="1" applyBorder="1" applyAlignment="1">
      <alignment horizontal="center" vertical="center"/>
    </xf>
    <xf numFmtId="0" fontId="4" fillId="0" borderId="39" xfId="0" applyFont="1" applyBorder="1" applyAlignment="1">
      <alignment vertical="center"/>
    </xf>
    <xf numFmtId="0" fontId="7" fillId="0" borderId="6" xfId="0" applyFont="1" applyBorder="1" applyAlignment="1">
      <alignment horizontal="center" vertical="center" wrapText="1"/>
    </xf>
    <xf numFmtId="165" fontId="4" fillId="0" borderId="6" xfId="0" applyNumberFormat="1" applyFont="1" applyBorder="1" applyAlignment="1">
      <alignment vertical="center"/>
    </xf>
    <xf numFmtId="0" fontId="14" fillId="0" borderId="77" xfId="0" applyFont="1" applyBorder="1" applyAlignment="1">
      <alignment horizontal="center" vertical="center"/>
    </xf>
    <xf numFmtId="0" fontId="4" fillId="0" borderId="9" xfId="0" applyFont="1" applyBorder="1" applyAlignment="1">
      <alignment vertical="center" wrapText="1"/>
    </xf>
    <xf numFmtId="164" fontId="4" fillId="0" borderId="9" xfId="0" applyNumberFormat="1" applyFont="1" applyBorder="1" applyAlignment="1">
      <alignment vertical="center" wrapText="1"/>
    </xf>
    <xf numFmtId="0" fontId="4" fillId="0" borderId="119" xfId="0" applyFont="1" applyBorder="1" applyAlignment="1">
      <alignment vertical="center" wrapText="1"/>
    </xf>
    <xf numFmtId="0" fontId="4" fillId="0" borderId="36" xfId="0" applyFont="1" applyBorder="1" applyAlignment="1">
      <alignment horizontal="left" vertical="top" wrapText="1"/>
    </xf>
    <xf numFmtId="0" fontId="15" fillId="0" borderId="0" xfId="0" applyNumberFormat="1" applyFont="1" applyFill="1" applyBorder="1" applyAlignment="1" applyProtection="1">
      <alignment vertical="center" wrapText="1"/>
      <protection locked="0"/>
    </xf>
    <xf numFmtId="0" fontId="4" fillId="0" borderId="77" xfId="0" applyFont="1" applyBorder="1" applyAlignment="1">
      <alignment vertical="center" wrapText="1"/>
    </xf>
    <xf numFmtId="0" fontId="4" fillId="0" borderId="46" xfId="0" applyFont="1" applyBorder="1" applyAlignment="1">
      <alignment vertical="center"/>
    </xf>
    <xf numFmtId="0" fontId="80" fillId="0" borderId="77" xfId="0" applyFont="1" applyBorder="1" applyAlignment="1">
      <alignment horizontal="left" vertical="center" wrapText="1"/>
    </xf>
    <xf numFmtId="0" fontId="14" fillId="0" borderId="27" xfId="0" applyFont="1" applyBorder="1" applyAlignment="1">
      <alignment horizontal="center" vertical="center"/>
    </xf>
    <xf numFmtId="0" fontId="4" fillId="0" borderId="77" xfId="0" applyFont="1" applyBorder="1" applyAlignment="1">
      <alignment horizontal="left" wrapText="1"/>
    </xf>
    <xf numFmtId="0" fontId="73" fillId="0" borderId="96" xfId="0" applyFont="1" applyBorder="1" applyAlignment="1">
      <alignment horizontal="center" vertical="center"/>
    </xf>
    <xf numFmtId="0" fontId="73" fillId="0" borderId="135" xfId="0" applyFont="1" applyBorder="1" applyAlignment="1">
      <alignment horizontal="center" vertical="center"/>
    </xf>
    <xf numFmtId="0" fontId="79" fillId="0" borderId="93" xfId="0" applyFont="1" applyBorder="1" applyAlignment="1">
      <alignment horizontal="center" vertical="center"/>
    </xf>
    <xf numFmtId="164" fontId="73" fillId="0" borderId="93" xfId="0" applyNumberFormat="1" applyFont="1" applyBorder="1" applyAlignment="1">
      <alignment vertical="center"/>
    </xf>
    <xf numFmtId="165" fontId="73" fillId="0" borderId="135" xfId="0" applyNumberFormat="1" applyFont="1" applyBorder="1" applyAlignment="1">
      <alignment vertical="center"/>
    </xf>
    <xf numFmtId="0" fontId="80" fillId="0" borderId="95" xfId="0" applyFont="1" applyBorder="1" applyAlignment="1">
      <alignment horizontal="center" vertical="center"/>
    </xf>
    <xf numFmtId="0" fontId="3" fillId="0" borderId="0" xfId="0" applyFont="1" applyBorder="1" applyAlignment="1">
      <alignment vertical="center"/>
    </xf>
    <xf numFmtId="0" fontId="14" fillId="0" borderId="31" xfId="0" applyFont="1" applyBorder="1" applyAlignment="1">
      <alignment horizontal="center" vertical="center"/>
    </xf>
    <xf numFmtId="0" fontId="14" fillId="0" borderId="9" xfId="0" applyFont="1" applyBorder="1" applyAlignment="1">
      <alignment vertical="center"/>
    </xf>
    <xf numFmtId="165" fontId="14" fillId="0" borderId="46" xfId="0" applyNumberFormat="1" applyFont="1" applyBorder="1" applyAlignment="1">
      <alignment vertical="center"/>
    </xf>
    <xf numFmtId="0" fontId="14" fillId="0" borderId="9" xfId="0" applyFont="1" applyBorder="1" applyAlignment="1">
      <alignment horizontal="center" vertical="center"/>
    </xf>
    <xf numFmtId="0" fontId="4" fillId="0" borderId="9" xfId="0" applyFont="1" applyBorder="1" applyAlignment="1">
      <alignment horizontal="left" vertical="center" wrapText="1"/>
    </xf>
    <xf numFmtId="0" fontId="0" fillId="0" borderId="94" xfId="0" applyBorder="1" applyAlignment="1">
      <alignment/>
    </xf>
    <xf numFmtId="0" fontId="26" fillId="0" borderId="92" xfId="0" applyFont="1" applyBorder="1" applyAlignment="1">
      <alignment horizontal="left" vertical="center" wrapText="1"/>
    </xf>
    <xf numFmtId="164" fontId="16" fillId="0" borderId="102" xfId="0" applyFont="1" applyBorder="1" applyAlignment="1">
      <alignment horizontal="center" vertical="center" wrapText="1"/>
    </xf>
    <xf numFmtId="164" fontId="16" fillId="0" borderId="110" xfId="0" applyFont="1" applyBorder="1" applyAlignment="1">
      <alignment horizontal="center" vertical="center" wrapText="1"/>
    </xf>
    <xf numFmtId="0" fontId="0" fillId="0" borderId="98" xfId="0" applyFont="1" applyBorder="1" applyAlignment="1">
      <alignment horizontal="center" vertical="center"/>
    </xf>
    <xf numFmtId="0" fontId="4" fillId="0" borderId="9" xfId="0" applyFont="1" applyBorder="1" applyAlignment="1">
      <alignment horizontal="left" vertical="center"/>
    </xf>
    <xf numFmtId="0" fontId="4" fillId="0" borderId="123" xfId="0" applyFont="1" applyBorder="1" applyAlignment="1">
      <alignment horizontal="center" vertical="center"/>
    </xf>
    <xf numFmtId="0" fontId="49" fillId="0" borderId="123" xfId="0" applyFont="1" applyBorder="1" applyAlignment="1">
      <alignment horizontal="center" vertical="center"/>
    </xf>
    <xf numFmtId="165" fontId="74" fillId="0" borderId="9" xfId="0" applyNumberFormat="1" applyFont="1" applyBorder="1" applyAlignment="1">
      <alignment vertical="center"/>
    </xf>
    <xf numFmtId="0" fontId="4" fillId="0" borderId="36" xfId="0" applyFont="1" applyBorder="1" applyAlignment="1">
      <alignment vertical="center" wrapText="1"/>
    </xf>
    <xf numFmtId="0" fontId="14" fillId="0" borderId="46" xfId="0" applyFont="1" applyBorder="1" applyAlignment="1">
      <alignment horizontal="center" vertical="center"/>
    </xf>
    <xf numFmtId="0" fontId="14" fillId="0" borderId="106" xfId="0" applyFont="1" applyBorder="1" applyAlignment="1">
      <alignment horizontal="center" vertical="center"/>
    </xf>
    <xf numFmtId="0" fontId="75" fillId="0" borderId="0" xfId="0" applyFont="1" applyBorder="1" applyAlignment="1">
      <alignment vertical="center"/>
    </xf>
    <xf numFmtId="0" fontId="0" fillId="0" borderId="34" xfId="0" applyFont="1" applyBorder="1" applyAlignment="1">
      <alignment vertical="center"/>
    </xf>
    <xf numFmtId="164" fontId="5" fillId="0" borderId="34" xfId="0" applyNumberFormat="1" applyFont="1" applyBorder="1" applyAlignment="1">
      <alignment vertical="center"/>
    </xf>
    <xf numFmtId="165" fontId="5" fillId="0" borderId="80" xfId="0" applyNumberFormat="1" applyFont="1" applyBorder="1" applyAlignment="1">
      <alignment vertical="center"/>
    </xf>
    <xf numFmtId="0" fontId="4" fillId="0" borderId="33" xfId="0" applyFont="1" applyBorder="1" applyAlignment="1">
      <alignment horizontal="left" vertical="center" wrapText="1"/>
    </xf>
    <xf numFmtId="0" fontId="5" fillId="0" borderId="102" xfId="0" applyFont="1" applyBorder="1" applyAlignment="1">
      <alignment horizontal="centerContinuous" vertical="center" wrapText="1"/>
    </xf>
    <xf numFmtId="164" fontId="5" fillId="0" borderId="12" xfId="0" applyNumberFormat="1" applyFont="1" applyBorder="1" applyAlignment="1">
      <alignment horizontal="center" vertical="center"/>
    </xf>
    <xf numFmtId="164" fontId="4" fillId="0" borderId="0" xfId="0" applyNumberFormat="1" applyFont="1" applyAlignment="1">
      <alignment vertical="center"/>
    </xf>
    <xf numFmtId="164" fontId="7" fillId="0" borderId="0" xfId="0" applyNumberFormat="1" applyFont="1" applyAlignment="1">
      <alignment horizontal="center" vertical="center" wrapText="1"/>
    </xf>
    <xf numFmtId="0" fontId="14" fillId="0" borderId="0" xfId="0" applyFont="1" applyAlignment="1">
      <alignment horizontal="right"/>
    </xf>
    <xf numFmtId="0" fontId="2" fillId="0" borderId="0" xfId="0" applyFont="1" applyAlignment="1">
      <alignment horizontal="centerContinuous" vertical="center"/>
    </xf>
    <xf numFmtId="0" fontId="6" fillId="0" borderId="112" xfId="0" applyFont="1" applyBorder="1" applyAlignment="1">
      <alignment horizontal="center" vertical="center" wrapText="1"/>
    </xf>
    <xf numFmtId="0" fontId="6" fillId="0" borderId="15" xfId="0" applyFont="1" applyBorder="1" applyAlignment="1">
      <alignment horizontal="centerContinuous" vertical="center"/>
    </xf>
    <xf numFmtId="0" fontId="6" fillId="0" borderId="52" xfId="0" applyFont="1" applyBorder="1" applyAlignment="1">
      <alignment horizontal="center" vertical="center"/>
    </xf>
    <xf numFmtId="0" fontId="6" fillId="0" borderId="6" xfId="0" applyFont="1" applyBorder="1" applyAlignment="1">
      <alignment horizontal="centerContinuous" vertical="center"/>
    </xf>
    <xf numFmtId="0" fontId="6" fillId="0" borderId="59" xfId="0" applyFont="1" applyBorder="1" applyAlignment="1">
      <alignment horizontal="center" vertical="center"/>
    </xf>
    <xf numFmtId="0" fontId="6" fillId="0" borderId="85" xfId="0" applyFont="1" applyBorder="1" applyAlignment="1">
      <alignment horizontal="center" vertical="center" wrapText="1"/>
    </xf>
    <xf numFmtId="0" fontId="7" fillId="0" borderId="46" xfId="0" applyFont="1" applyBorder="1" applyAlignment="1">
      <alignment horizontal="center" vertical="center"/>
    </xf>
    <xf numFmtId="0" fontId="6" fillId="0" borderId="84" xfId="0" applyFont="1" applyBorder="1" applyAlignment="1">
      <alignment horizontal="center" vertical="center"/>
    </xf>
    <xf numFmtId="0" fontId="67" fillId="0" borderId="106" xfId="0" applyFont="1" applyBorder="1" applyAlignment="1">
      <alignment horizontal="center" vertical="center"/>
    </xf>
    <xf numFmtId="0" fontId="67" fillId="0" borderId="9" xfId="0" applyFont="1" applyBorder="1" applyAlignment="1">
      <alignment horizontal="center" vertical="center" wrapText="1"/>
    </xf>
    <xf numFmtId="166" fontId="31" fillId="0" borderId="94" xfId="0" applyFont="1" applyBorder="1" applyAlignment="1">
      <alignment horizontal="right"/>
    </xf>
    <xf numFmtId="0" fontId="67" fillId="0" borderId="46" xfId="0" applyFont="1" applyBorder="1" applyAlignment="1">
      <alignment horizontal="center" vertical="center"/>
    </xf>
    <xf numFmtId="0" fontId="67" fillId="0" borderId="77" xfId="0" applyFont="1" applyBorder="1" applyAlignment="1">
      <alignment horizontal="center" vertical="center"/>
    </xf>
    <xf numFmtId="0" fontId="6" fillId="0" borderId="9" xfId="0" applyFont="1" applyBorder="1" applyAlignment="1">
      <alignment horizontal="left" vertical="center" wrapText="1"/>
    </xf>
    <xf numFmtId="164" fontId="6" fillId="0" borderId="9" xfId="0" applyNumberFormat="1" applyFont="1" applyBorder="1" applyAlignment="1">
      <alignment horizontal="right" vertical="center"/>
    </xf>
    <xf numFmtId="164" fontId="14" fillId="0" borderId="9" xfId="0" applyNumberFormat="1" applyFont="1" applyBorder="1" applyAlignment="1">
      <alignment horizontal="right" vertical="center" wrapText="1"/>
    </xf>
    <xf numFmtId="3" fontId="14" fillId="0" borderId="9" xfId="0" applyNumberFormat="1" applyFont="1" applyBorder="1" applyAlignment="1">
      <alignment horizontal="right" vertical="center"/>
    </xf>
    <xf numFmtId="0" fontId="4" fillId="0" borderId="87" xfId="0" applyFont="1" applyBorder="1" applyAlignment="1">
      <alignment/>
    </xf>
    <xf numFmtId="0" fontId="6" fillId="0" borderId="46" xfId="0" applyFont="1" applyBorder="1" applyAlignment="1">
      <alignment horizontal="left" vertical="center" wrapText="1"/>
    </xf>
    <xf numFmtId="164" fontId="6" fillId="0" borderId="46" xfId="0" applyNumberFormat="1" applyFont="1" applyBorder="1" applyAlignment="1">
      <alignment horizontal="right" vertical="center"/>
    </xf>
    <xf numFmtId="164" fontId="14" fillId="0" borderId="46" xfId="0" applyNumberFormat="1" applyFont="1" applyBorder="1" applyAlignment="1">
      <alignment horizontal="right" vertical="center" wrapText="1"/>
    </xf>
    <xf numFmtId="3" fontId="14" fillId="0" borderId="46" xfId="0" applyNumberFormat="1" applyFont="1" applyBorder="1" applyAlignment="1">
      <alignment horizontal="right" vertical="center"/>
    </xf>
    <xf numFmtId="0" fontId="4" fillId="0" borderId="27" xfId="0" applyFont="1" applyBorder="1" applyAlignment="1">
      <alignment vertical="center" wrapText="1"/>
    </xf>
    <xf numFmtId="0" fontId="6" fillId="0" borderId="9" xfId="0" applyFont="1" applyBorder="1" applyAlignment="1">
      <alignment vertical="center" wrapText="1"/>
    </xf>
    <xf numFmtId="0" fontId="6" fillId="0" borderId="39" xfId="0" applyFont="1" applyBorder="1" applyAlignment="1">
      <alignment horizontal="left" vertical="center" wrapText="1"/>
    </xf>
    <xf numFmtId="164" fontId="6" fillId="0" borderId="39" xfId="0" applyNumberFormat="1" applyFont="1" applyBorder="1" applyAlignment="1">
      <alignment horizontal="right" vertical="center"/>
    </xf>
    <xf numFmtId="164" fontId="14" fillId="0" borderId="39" xfId="0" applyNumberFormat="1" applyFont="1" applyBorder="1" applyAlignment="1">
      <alignment horizontal="right" vertical="center" wrapText="1"/>
    </xf>
    <xf numFmtId="3" fontId="14" fillId="0" borderId="39" xfId="0" applyNumberFormat="1" applyFont="1" applyBorder="1" applyAlignment="1">
      <alignment horizontal="right" vertical="center"/>
    </xf>
    <xf numFmtId="0" fontId="4" fillId="0" borderId="102" xfId="0" applyFont="1" applyBorder="1" applyAlignment="1">
      <alignment vertical="center"/>
    </xf>
    <xf numFmtId="0" fontId="5" fillId="0" borderId="103" xfId="0" applyFont="1" applyBorder="1" applyAlignment="1">
      <alignment vertical="center" wrapText="1"/>
    </xf>
    <xf numFmtId="164" fontId="5" fillId="0" borderId="12" xfId="0" applyNumberFormat="1" applyFont="1" applyBorder="1" applyAlignment="1">
      <alignment vertical="center" wrapText="1"/>
    </xf>
    <xf numFmtId="164" fontId="73" fillId="0" borderId="12" xfId="0" applyNumberFormat="1" applyFont="1" applyBorder="1" applyAlignment="1">
      <alignment vertical="center" wrapText="1"/>
    </xf>
    <xf numFmtId="3" fontId="80" fillId="0" borderId="80" xfId="0" applyNumberFormat="1" applyFont="1" applyBorder="1" applyAlignment="1">
      <alignment horizontal="right" vertical="center"/>
    </xf>
    <xf numFmtId="0" fontId="4" fillId="0" borderId="110" xfId="0" applyFont="1" applyBorder="1" applyAlignment="1">
      <alignment vertical="center"/>
    </xf>
    <xf numFmtId="0" fontId="15" fillId="0" borderId="100" xfId="0" applyFont="1" applyBorder="1" applyAlignment="1">
      <alignment vertical="center" wrapText="1"/>
    </xf>
    <xf numFmtId="0" fontId="15" fillId="0" borderId="98" xfId="0" applyFont="1" applyBorder="1" applyAlignment="1">
      <alignment horizontal="center" vertical="center"/>
    </xf>
    <xf numFmtId="0" fontId="15" fillId="0" borderId="46" xfId="0" applyFont="1" applyBorder="1" applyAlignment="1">
      <alignment vertical="center" wrapText="1"/>
    </xf>
    <xf numFmtId="164" fontId="15" fillId="0" borderId="46" xfId="0" applyNumberFormat="1" applyFont="1" applyBorder="1" applyAlignment="1">
      <alignment horizontal="right" vertical="center" wrapText="1"/>
    </xf>
    <xf numFmtId="164" fontId="15" fillId="0" borderId="46" xfId="0" applyNumberFormat="1" applyFont="1" applyBorder="1" applyAlignment="1">
      <alignment vertical="center"/>
    </xf>
    <xf numFmtId="0" fontId="15" fillId="0" borderId="76" xfId="0" applyFont="1" applyBorder="1" applyAlignment="1">
      <alignment vertical="center" wrapText="1"/>
    </xf>
    <xf numFmtId="0" fontId="15" fillId="0" borderId="113" xfId="0" applyFont="1" applyBorder="1" applyAlignment="1">
      <alignment vertical="center" wrapText="1"/>
    </xf>
    <xf numFmtId="0" fontId="4" fillId="0" borderId="18" xfId="17" applyFont="1" applyBorder="1" applyAlignment="1">
      <alignment vertical="center" wrapText="1"/>
      <protection/>
    </xf>
    <xf numFmtId="0" fontId="89" fillId="0" borderId="0" xfId="0" applyFont="1" applyAlignment="1">
      <alignment horizontal="right" wrapText="1"/>
    </xf>
    <xf numFmtId="0" fontId="4" fillId="0" borderId="15" xfId="17" applyFont="1" applyBorder="1" applyAlignment="1">
      <alignment vertical="center" wrapText="1"/>
      <protection/>
    </xf>
    <xf numFmtId="0" fontId="4"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centerContinuous" vertical="center" wrapText="1"/>
    </xf>
    <xf numFmtId="0" fontId="3" fillId="0" borderId="0" xfId="0" applyFont="1" applyFill="1" applyAlignment="1">
      <alignment/>
    </xf>
    <xf numFmtId="0" fontId="4" fillId="0" borderId="0" xfId="0" applyFont="1" applyFill="1" applyAlignment="1">
      <alignment horizontal="center"/>
    </xf>
    <xf numFmtId="0" fontId="15" fillId="0" borderId="1" xfId="0" applyFont="1" applyBorder="1" applyAlignment="1">
      <alignment/>
    </xf>
    <xf numFmtId="0" fontId="5" fillId="0" borderId="2" xfId="0" applyFont="1" applyFill="1" applyBorder="1" applyAlignment="1">
      <alignment horizontal="center"/>
    </xf>
    <xf numFmtId="0" fontId="6" fillId="0" borderId="2" xfId="0" applyFont="1" applyFill="1" applyBorder="1" applyAlignment="1">
      <alignment horizontal="centerContinuous" vertical="center"/>
    </xf>
    <xf numFmtId="0" fontId="8" fillId="0" borderId="2" xfId="0" applyFont="1" applyFill="1" applyBorder="1" applyAlignment="1">
      <alignment horizontal="centerContinuous" vertical="center"/>
    </xf>
    <xf numFmtId="0" fontId="8" fillId="0" borderId="91" xfId="0" applyFont="1" applyFill="1" applyBorder="1" applyAlignment="1">
      <alignment horizontal="center"/>
    </xf>
    <xf numFmtId="0" fontId="30" fillId="0" borderId="5" xfId="0" applyFont="1" applyBorder="1" applyAlignment="1">
      <alignment/>
    </xf>
    <xf numFmtId="0" fontId="11" fillId="0" borderId="93" xfId="0" applyFont="1" applyFill="1" applyBorder="1" applyAlignment="1">
      <alignment vertical="center"/>
    </xf>
    <xf numFmtId="0" fontId="11" fillId="0" borderId="132" xfId="0" applyFont="1" applyFill="1" applyBorder="1" applyAlignment="1">
      <alignment horizontal="center" vertical="center"/>
    </xf>
    <xf numFmtId="1" fontId="11" fillId="0" borderId="97" xfId="0" applyNumberFormat="1" applyFont="1" applyFill="1" applyBorder="1" applyAlignment="1">
      <alignment horizontal="center" vertical="center"/>
    </xf>
    <xf numFmtId="0" fontId="11" fillId="0" borderId="0" xfId="0" applyFont="1" applyFill="1" applyAlignment="1">
      <alignment/>
    </xf>
    <xf numFmtId="0" fontId="103" fillId="0" borderId="0" xfId="0" applyFont="1" applyAlignment="1">
      <alignment/>
    </xf>
    <xf numFmtId="0" fontId="15" fillId="0" borderId="11" xfId="0" applyFont="1" applyBorder="1" applyAlignment="1">
      <alignment/>
    </xf>
    <xf numFmtId="0" fontId="9" fillId="0" borderId="93" xfId="0" applyFont="1" applyFill="1" applyBorder="1" applyAlignment="1">
      <alignment horizontal="center" vertical="center"/>
    </xf>
    <xf numFmtId="0" fontId="9" fillId="0" borderId="97" xfId="0" applyFont="1" applyFill="1" applyBorder="1" applyAlignment="1">
      <alignment horizontal="center" vertical="center"/>
    </xf>
    <xf numFmtId="0" fontId="9" fillId="0" borderId="0" xfId="0" applyFont="1" applyFill="1" applyAlignment="1">
      <alignment/>
    </xf>
    <xf numFmtId="0" fontId="16" fillId="0" borderId="5" xfId="0" applyFont="1" applyBorder="1" applyAlignment="1">
      <alignment/>
    </xf>
    <xf numFmtId="0" fontId="5" fillId="0" borderId="43" xfId="0" applyFont="1" applyFill="1" applyBorder="1" applyAlignment="1">
      <alignment/>
    </xf>
    <xf numFmtId="0" fontId="1" fillId="0" borderId="43" xfId="0" applyFont="1" applyFill="1" applyBorder="1" applyAlignment="1">
      <alignment horizontal="right"/>
    </xf>
    <xf numFmtId="0" fontId="1" fillId="0" borderId="49" xfId="0" applyFont="1" applyFill="1" applyBorder="1" applyAlignment="1">
      <alignment/>
    </xf>
    <xf numFmtId="0" fontId="1" fillId="0" borderId="0" xfId="0" applyFont="1" applyFill="1" applyAlignment="1">
      <alignment/>
    </xf>
    <xf numFmtId="0" fontId="39" fillId="0" borderId="5" xfId="0" applyFont="1" applyBorder="1" applyAlignment="1">
      <alignment horizontal="right"/>
    </xf>
    <xf numFmtId="0" fontId="12" fillId="0" borderId="43" xfId="0" applyFont="1" applyFill="1" applyBorder="1" applyAlignment="1">
      <alignment/>
    </xf>
    <xf numFmtId="164" fontId="12" fillId="0" borderId="43" xfId="0" applyNumberFormat="1" applyFont="1" applyFill="1" applyBorder="1" applyAlignment="1">
      <alignment/>
    </xf>
    <xf numFmtId="165" fontId="12" fillId="0" borderId="49" xfId="0" applyNumberFormat="1" applyFont="1" applyFill="1" applyBorder="1" applyAlignment="1">
      <alignment horizontal="right"/>
    </xf>
    <xf numFmtId="0" fontId="12" fillId="0" borderId="0" xfId="0" applyFont="1" applyFill="1" applyAlignment="1">
      <alignment/>
    </xf>
    <xf numFmtId="164" fontId="12" fillId="0" borderId="43" xfId="0" applyNumberFormat="1" applyFont="1" applyFill="1" applyBorder="1" applyAlignment="1">
      <alignment horizontal="right"/>
    </xf>
    <xf numFmtId="0" fontId="4" fillId="0" borderId="43" xfId="0" applyFont="1" applyFill="1" applyBorder="1" applyAlignment="1">
      <alignment/>
    </xf>
    <xf numFmtId="164" fontId="4" fillId="0" borderId="43" xfId="0" applyNumberFormat="1" applyFont="1" applyFill="1" applyBorder="1" applyAlignment="1">
      <alignment horizontal="right"/>
    </xf>
    <xf numFmtId="0" fontId="16" fillId="0" borderId="35" xfId="0" applyFont="1" applyBorder="1" applyAlignment="1">
      <alignment/>
    </xf>
    <xf numFmtId="0" fontId="5" fillId="0" borderId="38" xfId="0" applyFont="1" applyFill="1" applyBorder="1" applyAlignment="1">
      <alignment/>
    </xf>
    <xf numFmtId="164" fontId="1" fillId="0" borderId="38" xfId="0" applyNumberFormat="1" applyFont="1" applyFill="1" applyBorder="1" applyAlignment="1">
      <alignment horizontal="right"/>
    </xf>
    <xf numFmtId="165" fontId="12" fillId="0" borderId="83" xfId="0" applyNumberFormat="1" applyFont="1" applyFill="1" applyBorder="1" applyAlignment="1">
      <alignment horizontal="right"/>
    </xf>
    <xf numFmtId="0" fontId="30" fillId="0" borderId="35" xfId="0" applyFont="1" applyBorder="1" applyAlignment="1">
      <alignment vertical="center"/>
    </xf>
    <xf numFmtId="0" fontId="5" fillId="0" borderId="38" xfId="0" applyFont="1" applyFill="1" applyBorder="1" applyAlignment="1">
      <alignment wrapText="1"/>
    </xf>
    <xf numFmtId="0" fontId="99" fillId="0" borderId="0" xfId="0" applyFont="1" applyFill="1" applyAlignment="1">
      <alignment/>
    </xf>
    <xf numFmtId="0" fontId="39" fillId="0" borderId="26" xfId="0" applyFont="1" applyBorder="1" applyAlignment="1">
      <alignment horizontal="right"/>
    </xf>
    <xf numFmtId="0" fontId="12" fillId="0" borderId="45" xfId="0" applyFont="1" applyFill="1" applyBorder="1" applyAlignment="1">
      <alignment/>
    </xf>
    <xf numFmtId="164" fontId="12" fillId="0" borderId="45" xfId="0" applyNumberFormat="1" applyFont="1" applyFill="1" applyBorder="1" applyAlignment="1">
      <alignment horizontal="right"/>
    </xf>
    <xf numFmtId="165" fontId="12" fillId="0" borderId="86" xfId="0" applyNumberFormat="1" applyFont="1" applyFill="1" applyBorder="1" applyAlignment="1">
      <alignment horizontal="right"/>
    </xf>
    <xf numFmtId="0" fontId="5" fillId="0" borderId="43" xfId="0" applyFont="1" applyFill="1" applyBorder="1" applyAlignment="1">
      <alignment wrapText="1"/>
    </xf>
    <xf numFmtId="164" fontId="1" fillId="0" borderId="43" xfId="0" applyNumberFormat="1" applyFont="1" applyFill="1" applyBorder="1" applyAlignment="1">
      <alignment horizontal="right"/>
    </xf>
    <xf numFmtId="0" fontId="5" fillId="0" borderId="43" xfId="0" applyFont="1" applyFill="1" applyBorder="1" applyAlignment="1">
      <alignment horizontal="left" vertical="center" wrapText="1"/>
    </xf>
    <xf numFmtId="0" fontId="30" fillId="0" borderId="5" xfId="0" applyFont="1" applyBorder="1" applyAlignment="1">
      <alignment vertical="center"/>
    </xf>
    <xf numFmtId="0" fontId="5" fillId="0" borderId="0" xfId="0" applyFont="1" applyFill="1" applyAlignment="1">
      <alignment vertical="center"/>
    </xf>
    <xf numFmtId="0" fontId="39" fillId="0" borderId="35" xfId="0" applyFont="1" applyBorder="1" applyAlignment="1">
      <alignment/>
    </xf>
    <xf numFmtId="0" fontId="5" fillId="0" borderId="38" xfId="0" applyFont="1" applyFill="1" applyBorder="1" applyAlignment="1">
      <alignment horizontal="left"/>
    </xf>
    <xf numFmtId="164" fontId="4" fillId="0" borderId="38" xfId="0" applyNumberFormat="1" applyFont="1" applyFill="1" applyBorder="1" applyAlignment="1">
      <alignment horizontal="right"/>
    </xf>
    <xf numFmtId="0" fontId="30" fillId="0" borderId="5" xfId="0" applyFont="1" applyBorder="1" applyAlignment="1">
      <alignment horizontal="right"/>
    </xf>
    <xf numFmtId="0" fontId="11" fillId="0" borderId="43" xfId="0" applyFont="1" applyFill="1" applyBorder="1" applyAlignment="1">
      <alignment/>
    </xf>
    <xf numFmtId="164" fontId="5" fillId="0" borderId="43" xfId="0" applyNumberFormat="1" applyFont="1" applyFill="1" applyBorder="1" applyAlignment="1">
      <alignment horizontal="right"/>
    </xf>
    <xf numFmtId="165" fontId="11" fillId="0" borderId="49" xfId="0" applyNumberFormat="1" applyFont="1" applyFill="1" applyBorder="1" applyAlignment="1">
      <alignment horizontal="right"/>
    </xf>
    <xf numFmtId="164" fontId="5" fillId="0" borderId="6" xfId="0" applyNumberFormat="1" applyFont="1" applyFill="1" applyBorder="1" applyAlignment="1">
      <alignment horizontal="right"/>
    </xf>
    <xf numFmtId="0" fontId="30" fillId="0" borderId="136" xfId="0" applyFont="1" applyBorder="1" applyAlignment="1">
      <alignment horizontal="right"/>
    </xf>
    <xf numFmtId="0" fontId="11" fillId="0" borderId="66" xfId="0" applyFont="1" applyFill="1" applyBorder="1" applyAlignment="1">
      <alignment/>
    </xf>
    <xf numFmtId="164" fontId="5" fillId="0" borderId="67" xfId="0" applyNumberFormat="1" applyFont="1" applyFill="1" applyBorder="1" applyAlignment="1">
      <alignment horizontal="right"/>
    </xf>
    <xf numFmtId="164" fontId="5" fillId="0" borderId="66" xfId="0" applyNumberFormat="1" applyFont="1" applyFill="1" applyBorder="1" applyAlignment="1">
      <alignment horizontal="right"/>
    </xf>
    <xf numFmtId="165" fontId="11" fillId="0" borderId="70" xfId="0" applyNumberFormat="1" applyFont="1" applyFill="1" applyBorder="1" applyAlignment="1">
      <alignment horizontal="right"/>
    </xf>
    <xf numFmtId="0" fontId="6" fillId="0" borderId="0" xfId="0" applyFont="1" applyFill="1" applyAlignment="1">
      <alignment horizontal="left"/>
    </xf>
    <xf numFmtId="164" fontId="4" fillId="0" borderId="0" xfId="0" applyNumberFormat="1" applyFont="1" applyFill="1" applyAlignment="1">
      <alignment horizontal="right"/>
    </xf>
    <xf numFmtId="0" fontId="4" fillId="0" borderId="0" xfId="0" applyFont="1" applyFill="1" applyAlignment="1">
      <alignment horizontal="left"/>
    </xf>
    <xf numFmtId="0" fontId="0" fillId="0" borderId="0" xfId="0" applyFont="1" applyFill="1" applyAlignment="1">
      <alignment/>
    </xf>
    <xf numFmtId="0" fontId="4" fillId="0" borderId="0" xfId="0" applyFont="1" applyFill="1" applyAlignment="1">
      <alignment horizontal="right"/>
    </xf>
    <xf numFmtId="0" fontId="3" fillId="0" borderId="0" xfId="0" applyFont="1" applyAlignment="1">
      <alignment horizontal="centerContinuous" vertical="center"/>
    </xf>
    <xf numFmtId="0" fontId="3" fillId="0" borderId="0" xfId="0" applyFont="1" applyAlignment="1">
      <alignment vertical="center"/>
    </xf>
    <xf numFmtId="0" fontId="76" fillId="0" borderId="0" xfId="0" applyFont="1" applyAlignment="1">
      <alignment horizontal="centerContinuous"/>
    </xf>
    <xf numFmtId="0" fontId="5" fillId="0" borderId="15" xfId="0" applyFont="1" applyBorder="1" applyAlignment="1">
      <alignment horizontal="centerContinuous" vertical="center"/>
    </xf>
    <xf numFmtId="0" fontId="5" fillId="0" borderId="55" xfId="0" applyFont="1" applyBorder="1" applyAlignment="1">
      <alignment horizontal="centerContinuous" vertical="center"/>
    </xf>
    <xf numFmtId="0" fontId="5" fillId="0" borderId="30" xfId="0" applyFont="1" applyBorder="1" applyAlignment="1">
      <alignment horizontal="centerContinuous" vertical="center"/>
    </xf>
    <xf numFmtId="0" fontId="6" fillId="0" borderId="55" xfId="0" applyFont="1" applyBorder="1" applyAlignment="1">
      <alignment horizontal="centerContinuous" vertical="center"/>
    </xf>
    <xf numFmtId="0" fontId="6" fillId="0" borderId="30" xfId="0" applyFont="1" applyBorder="1" applyAlignment="1">
      <alignment horizontal="center" vertical="center"/>
    </xf>
    <xf numFmtId="0" fontId="5" fillId="0" borderId="52" xfId="0" applyFont="1" applyBorder="1" applyAlignment="1">
      <alignment horizontal="center" vertical="center"/>
    </xf>
    <xf numFmtId="0" fontId="10" fillId="0" borderId="9" xfId="0" applyFont="1" applyBorder="1" applyAlignment="1">
      <alignment horizontal="center" vertical="center"/>
    </xf>
    <xf numFmtId="0" fontId="10" fillId="0" borderId="77" xfId="0" applyFont="1" applyBorder="1" applyAlignment="1">
      <alignment horizontal="center" vertical="center"/>
    </xf>
    <xf numFmtId="0" fontId="4" fillId="0" borderId="75" xfId="0" applyFont="1" applyBorder="1" applyAlignment="1">
      <alignment horizontal="center" vertical="center"/>
    </xf>
    <xf numFmtId="0" fontId="4" fillId="0" borderId="77" xfId="0" applyFont="1" applyBorder="1" applyAlignment="1">
      <alignment horizontal="center" vertical="center"/>
    </xf>
    <xf numFmtId="0" fontId="4" fillId="0" borderId="9" xfId="0" applyFont="1" applyBorder="1" applyAlignment="1">
      <alignment horizontal="center" vertical="center"/>
    </xf>
    <xf numFmtId="0" fontId="5" fillId="0" borderId="84" xfId="0" applyFont="1" applyBorder="1" applyAlignment="1">
      <alignment horizontal="center" vertical="center"/>
    </xf>
    <xf numFmtId="0" fontId="4" fillId="0" borderId="6"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59" xfId="0" applyFont="1" applyBorder="1" applyAlignment="1">
      <alignment horizontal="center" vertical="center"/>
    </xf>
    <xf numFmtId="1" fontId="10" fillId="0" borderId="12" xfId="0" applyNumberFormat="1"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110" xfId="0" applyFont="1" applyBorder="1" applyAlignment="1">
      <alignment horizontal="center" vertical="center"/>
    </xf>
    <xf numFmtId="0" fontId="10" fillId="0" borderId="0" xfId="0" applyFont="1" applyAlignment="1">
      <alignment vertical="center"/>
    </xf>
    <xf numFmtId="0" fontId="11" fillId="0" borderId="114" xfId="0" applyFont="1" applyBorder="1" applyAlignment="1">
      <alignment horizontal="center" vertical="center"/>
    </xf>
    <xf numFmtId="0" fontId="11" fillId="0" borderId="100" xfId="0" applyFont="1" applyBorder="1" applyAlignment="1">
      <alignment vertical="center"/>
    </xf>
    <xf numFmtId="1" fontId="12" fillId="0" borderId="100" xfId="0" applyNumberFormat="1" applyFont="1" applyBorder="1" applyAlignment="1">
      <alignment horizontal="center" vertical="center"/>
    </xf>
    <xf numFmtId="3" fontId="12" fillId="0" borderId="31" xfId="0" applyNumberFormat="1" applyFont="1" applyBorder="1" applyAlignment="1">
      <alignment horizontal="center" vertical="center"/>
    </xf>
    <xf numFmtId="3" fontId="12" fillId="0" borderId="29" xfId="0" applyNumberFormat="1" applyFont="1" applyBorder="1" applyAlignment="1">
      <alignment horizontal="center" vertical="center"/>
    </xf>
    <xf numFmtId="4" fontId="12" fillId="0" borderId="31" xfId="0" applyNumberFormat="1" applyFont="1" applyBorder="1" applyAlignment="1">
      <alignment vertical="center"/>
    </xf>
    <xf numFmtId="4" fontId="12" fillId="0" borderId="29" xfId="0" applyNumberFormat="1" applyFont="1" applyBorder="1" applyAlignment="1">
      <alignment vertical="center"/>
    </xf>
    <xf numFmtId="3" fontId="11" fillId="0" borderId="100" xfId="0" applyNumberFormat="1" applyFont="1" applyBorder="1" applyAlignment="1">
      <alignment horizontal="center" vertical="center"/>
    </xf>
    <xf numFmtId="4" fontId="11" fillId="0" borderId="31" xfId="0" applyNumberFormat="1" applyFont="1" applyBorder="1" applyAlignment="1">
      <alignment vertical="center"/>
    </xf>
    <xf numFmtId="3" fontId="11" fillId="0" borderId="109" xfId="0" applyNumberFormat="1" applyFont="1" applyBorder="1" applyAlignment="1">
      <alignment horizontal="center" vertical="center"/>
    </xf>
    <xf numFmtId="0" fontId="12" fillId="0" borderId="0" xfId="0" applyFont="1" applyAlignment="1">
      <alignment vertical="center"/>
    </xf>
    <xf numFmtId="0" fontId="11" fillId="0" borderId="106" xfId="0" applyFont="1" applyBorder="1" applyAlignment="1">
      <alignment horizontal="center" vertical="center"/>
    </xf>
    <xf numFmtId="0" fontId="11" fillId="0" borderId="9" xfId="0" applyFont="1" applyBorder="1" applyAlignment="1">
      <alignment vertical="center"/>
    </xf>
    <xf numFmtId="1" fontId="12" fillId="0" borderId="9" xfId="0" applyNumberFormat="1" applyFont="1" applyBorder="1" applyAlignment="1">
      <alignment horizontal="center" vertical="center"/>
    </xf>
    <xf numFmtId="3" fontId="12" fillId="0" borderId="77" xfId="0" applyNumberFormat="1" applyFont="1" applyBorder="1" applyAlignment="1">
      <alignment horizontal="center" vertical="center"/>
    </xf>
    <xf numFmtId="3" fontId="12" fillId="0" borderId="75" xfId="0" applyNumberFormat="1" applyFont="1" applyBorder="1" applyAlignment="1">
      <alignment horizontal="center" vertical="center"/>
    </xf>
    <xf numFmtId="4" fontId="12" fillId="0" borderId="77" xfId="0" applyNumberFormat="1" applyFont="1" applyBorder="1" applyAlignment="1">
      <alignment vertical="center"/>
    </xf>
    <xf numFmtId="4" fontId="12" fillId="0" borderId="75" xfId="0" applyNumberFormat="1" applyFont="1" applyBorder="1" applyAlignment="1">
      <alignment vertical="center"/>
    </xf>
    <xf numFmtId="3" fontId="11" fillId="0" borderId="9" xfId="0" applyNumberFormat="1" applyFont="1" applyBorder="1" applyAlignment="1">
      <alignment horizontal="center" vertical="center"/>
    </xf>
    <xf numFmtId="4" fontId="11" fillId="0" borderId="77" xfId="0" applyNumberFormat="1" applyFont="1" applyBorder="1" applyAlignment="1">
      <alignment vertical="center"/>
    </xf>
    <xf numFmtId="3" fontId="11" fillId="0" borderId="116" xfId="0" applyNumberFormat="1" applyFont="1" applyBorder="1" applyAlignment="1">
      <alignment horizontal="center" vertical="center"/>
    </xf>
    <xf numFmtId="0" fontId="49" fillId="0" borderId="98" xfId="0" applyFont="1" applyBorder="1" applyAlignment="1">
      <alignment horizontal="center" vertical="center"/>
    </xf>
    <xf numFmtId="0" fontId="14" fillId="0" borderId="46" xfId="0" applyFont="1" applyBorder="1" applyAlignment="1">
      <alignment vertical="center"/>
    </xf>
    <xf numFmtId="1" fontId="14" fillId="0" borderId="46" xfId="0" applyNumberFormat="1" applyFont="1" applyBorder="1" applyAlignment="1">
      <alignment horizontal="center" vertical="center"/>
    </xf>
    <xf numFmtId="3" fontId="14" fillId="0" borderId="27" xfId="0" applyNumberFormat="1" applyFont="1" applyBorder="1" applyAlignment="1">
      <alignment horizontal="center" vertical="center"/>
    </xf>
    <xf numFmtId="3" fontId="14" fillId="0" borderId="45" xfId="0" applyNumberFormat="1" applyFont="1" applyBorder="1" applyAlignment="1">
      <alignment horizontal="center" vertical="center"/>
    </xf>
    <xf numFmtId="4" fontId="14" fillId="0" borderId="27" xfId="0" applyNumberFormat="1" applyFont="1" applyBorder="1" applyAlignment="1">
      <alignment vertical="center"/>
    </xf>
    <xf numFmtId="4" fontId="14" fillId="0" borderId="45" xfId="0" applyNumberFormat="1" applyFont="1" applyBorder="1" applyAlignment="1">
      <alignment vertical="center"/>
    </xf>
    <xf numFmtId="3" fontId="49" fillId="0" borderId="46" xfId="0" applyNumberFormat="1" applyFont="1" applyBorder="1" applyAlignment="1">
      <alignment horizontal="center" vertical="center"/>
    </xf>
    <xf numFmtId="4" fontId="49" fillId="0" borderId="27" xfId="0" applyNumberFormat="1" applyFont="1" applyBorder="1" applyAlignment="1">
      <alignment vertical="center"/>
    </xf>
    <xf numFmtId="3" fontId="49" fillId="0" borderId="84" xfId="0" applyNumberFormat="1" applyFont="1" applyBorder="1" applyAlignment="1">
      <alignment horizontal="center" vertical="center"/>
    </xf>
    <xf numFmtId="0" fontId="11" fillId="0" borderId="9" xfId="0" applyFont="1" applyBorder="1" applyAlignment="1">
      <alignment vertical="center" wrapText="1"/>
    </xf>
    <xf numFmtId="0" fontId="49" fillId="0" borderId="60" xfId="0" applyFont="1" applyBorder="1" applyAlignment="1">
      <alignment horizontal="center" vertical="center"/>
    </xf>
    <xf numFmtId="0" fontId="14" fillId="0" borderId="6" xfId="0" applyFont="1" applyBorder="1" applyAlignment="1">
      <alignment vertical="center"/>
    </xf>
    <xf numFmtId="1" fontId="14" fillId="0" borderId="6"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43" xfId="0" applyNumberFormat="1" applyFont="1" applyBorder="1" applyAlignment="1">
      <alignment horizontal="center" vertical="center"/>
    </xf>
    <xf numFmtId="4" fontId="14" fillId="0" borderId="41" xfId="0" applyNumberFormat="1" applyFont="1" applyBorder="1" applyAlignment="1">
      <alignment vertical="center"/>
    </xf>
    <xf numFmtId="4" fontId="14" fillId="0" borderId="43" xfId="0" applyNumberFormat="1" applyFont="1" applyBorder="1" applyAlignment="1">
      <alignment vertical="center"/>
    </xf>
    <xf numFmtId="3" fontId="49" fillId="0" borderId="6" xfId="0" applyNumberFormat="1" applyFont="1" applyBorder="1" applyAlignment="1">
      <alignment horizontal="center" vertical="center"/>
    </xf>
    <xf numFmtId="4" fontId="49" fillId="0" borderId="41" xfId="0" applyNumberFormat="1" applyFont="1" applyBorder="1" applyAlignment="1">
      <alignment vertical="center"/>
    </xf>
    <xf numFmtId="3" fontId="49" fillId="0" borderId="42" xfId="0" applyNumberFormat="1" applyFont="1" applyBorder="1" applyAlignment="1">
      <alignment horizontal="center" vertical="center"/>
    </xf>
    <xf numFmtId="0" fontId="6" fillId="0" borderId="102" xfId="0" applyFont="1" applyBorder="1" applyAlignment="1">
      <alignment horizontal="center" vertical="center"/>
    </xf>
    <xf numFmtId="0" fontId="2" fillId="0" borderId="34" xfId="0" applyFont="1" applyBorder="1" applyAlignment="1">
      <alignment vertical="center" wrapText="1"/>
    </xf>
    <xf numFmtId="3" fontId="11" fillId="0" borderId="12" xfId="0" applyNumberFormat="1" applyFont="1" applyBorder="1" applyAlignment="1">
      <alignment horizontal="center" vertical="center"/>
    </xf>
    <xf numFmtId="3" fontId="11" fillId="0" borderId="33" xfId="0" applyNumberFormat="1" applyFont="1" applyBorder="1" applyAlignment="1">
      <alignment horizontal="center" vertical="center"/>
    </xf>
    <xf numFmtId="3" fontId="11" fillId="0" borderId="34" xfId="0" applyNumberFormat="1" applyFont="1" applyBorder="1" applyAlignment="1">
      <alignment horizontal="center" vertical="center"/>
    </xf>
    <xf numFmtId="4" fontId="11" fillId="0" borderId="33" xfId="0" applyNumberFormat="1" applyFont="1" applyBorder="1" applyAlignment="1">
      <alignment vertical="center"/>
    </xf>
    <xf numFmtId="4" fontId="11" fillId="0" borderId="34" xfId="0" applyNumberFormat="1" applyFont="1" applyBorder="1" applyAlignment="1">
      <alignment vertical="center"/>
    </xf>
    <xf numFmtId="0" fontId="6" fillId="0" borderId="61" xfId="0" applyFont="1" applyBorder="1" applyAlignment="1">
      <alignment horizontal="center" vertical="center"/>
    </xf>
    <xf numFmtId="0" fontId="14" fillId="0" borderId="43" xfId="0" applyFont="1" applyBorder="1" applyAlignment="1">
      <alignment vertical="center"/>
    </xf>
    <xf numFmtId="3" fontId="14" fillId="0" borderId="6" xfId="0" applyNumberFormat="1" applyFont="1" applyBorder="1" applyAlignment="1">
      <alignment horizontal="center" vertical="center"/>
    </xf>
    <xf numFmtId="3" fontId="14" fillId="0" borderId="42" xfId="0" applyNumberFormat="1" applyFont="1" applyBorder="1" applyAlignment="1">
      <alignment horizontal="center" vertical="center"/>
    </xf>
    <xf numFmtId="0" fontId="49" fillId="0" borderId="121" xfId="0" applyFont="1" applyBorder="1" applyAlignment="1">
      <alignment horizontal="center" vertical="center"/>
    </xf>
    <xf numFmtId="0" fontId="14" fillId="0" borderId="93" xfId="0" applyFont="1" applyBorder="1" applyAlignment="1">
      <alignment vertical="center"/>
    </xf>
    <xf numFmtId="1" fontId="14" fillId="0" borderId="18" xfId="0" applyNumberFormat="1" applyFont="1" applyBorder="1" applyAlignment="1">
      <alignment horizontal="center" vertical="center"/>
    </xf>
    <xf numFmtId="3" fontId="14" fillId="0" borderId="95" xfId="0" applyNumberFormat="1" applyFont="1" applyBorder="1" applyAlignment="1">
      <alignment horizontal="center" vertical="center"/>
    </xf>
    <xf numFmtId="3" fontId="14" fillId="0" borderId="93" xfId="0" applyNumberFormat="1" applyFont="1" applyBorder="1" applyAlignment="1">
      <alignment horizontal="center" vertical="center"/>
    </xf>
    <xf numFmtId="4" fontId="14" fillId="0" borderId="95" xfId="0" applyNumberFormat="1" applyFont="1" applyBorder="1" applyAlignment="1">
      <alignment vertical="center"/>
    </xf>
    <xf numFmtId="4" fontId="14" fillId="0" borderId="93" xfId="0" applyNumberFormat="1" applyFont="1" applyBorder="1" applyAlignment="1">
      <alignment vertical="center"/>
    </xf>
    <xf numFmtId="3" fontId="14" fillId="0" borderId="18" xfId="0" applyNumberFormat="1" applyFont="1" applyBorder="1" applyAlignment="1">
      <alignment horizontal="center" vertical="center"/>
    </xf>
    <xf numFmtId="3" fontId="14" fillId="0" borderId="111" xfId="0" applyNumberFormat="1" applyFont="1" applyBorder="1" applyAlignment="1">
      <alignment horizontal="center" vertical="center"/>
    </xf>
    <xf numFmtId="3" fontId="4" fillId="0" borderId="0" xfId="0" applyNumberFormat="1" applyFont="1" applyBorder="1" applyAlignment="1">
      <alignment horizontal="centerContinuous" vertical="center"/>
    </xf>
    <xf numFmtId="3" fontId="4" fillId="0" borderId="82" xfId="0" applyNumberFormat="1" applyFont="1" applyFill="1" applyBorder="1" applyAlignment="1" applyProtection="1">
      <alignment vertical="center"/>
      <protection locked="0"/>
    </xf>
    <xf numFmtId="3" fontId="4" fillId="0" borderId="85" xfId="0" applyNumberFormat="1" applyFont="1" applyFill="1" applyBorder="1" applyAlignment="1" applyProtection="1">
      <alignment vertical="center"/>
      <protection locked="0"/>
    </xf>
    <xf numFmtId="3" fontId="6" fillId="0" borderId="46" xfId="0" applyNumberFormat="1" applyFont="1" applyFill="1" applyBorder="1" applyAlignment="1" applyProtection="1">
      <alignment horizontal="right" vertical="center"/>
      <protection locked="0"/>
    </xf>
    <xf numFmtId="164" fontId="8" fillId="0" borderId="27" xfId="0" applyNumberFormat="1" applyFont="1" applyFill="1" applyBorder="1" applyAlignment="1" applyProtection="1">
      <alignment horizontal="right" vertical="center"/>
      <protection locked="0"/>
    </xf>
    <xf numFmtId="164" fontId="49" fillId="0" borderId="41" xfId="0" applyNumberFormat="1" applyFont="1" applyFill="1" applyBorder="1" applyAlignment="1" applyProtection="1">
      <alignment vertical="center"/>
      <protection locked="0"/>
    </xf>
    <xf numFmtId="164" fontId="49" fillId="0" borderId="59" xfId="0" applyNumberFormat="1" applyFont="1" applyFill="1" applyBorder="1" applyAlignment="1" applyProtection="1">
      <alignment vertical="center"/>
      <protection locked="0"/>
    </xf>
    <xf numFmtId="164" fontId="10" fillId="0" borderId="59" xfId="0" applyNumberFormat="1" applyFont="1" applyFill="1" applyBorder="1" applyAlignment="1" applyProtection="1">
      <alignment horizontal="right" vertical="center"/>
      <protection locked="0"/>
    </xf>
    <xf numFmtId="164" fontId="10" fillId="0" borderId="87" xfId="0" applyNumberFormat="1" applyFont="1" applyBorder="1" applyAlignment="1">
      <alignment/>
    </xf>
    <xf numFmtId="1" fontId="10" fillId="0" borderId="60" xfId="0" applyNumberFormat="1" applyFont="1" applyBorder="1" applyAlignment="1">
      <alignment horizontal="centerContinuous" vertical="center"/>
    </xf>
    <xf numFmtId="1" fontId="8" fillId="0" borderId="60" xfId="0" applyNumberFormat="1" applyFont="1" applyFill="1" applyBorder="1" applyAlignment="1" applyProtection="1">
      <alignment horizontal="center" vertical="center"/>
      <protection locked="0"/>
    </xf>
    <xf numFmtId="164" fontId="6" fillId="0" borderId="41" xfId="0" applyNumberFormat="1" applyFont="1" applyFill="1" applyBorder="1" applyAlignment="1" applyProtection="1">
      <alignment horizontal="right" vertical="center"/>
      <protection locked="0"/>
    </xf>
    <xf numFmtId="3" fontId="6" fillId="0" borderId="115" xfId="0" applyNumberFormat="1" applyFont="1" applyFill="1" applyBorder="1" applyAlignment="1" applyProtection="1">
      <alignment vertical="center"/>
      <protection locked="0"/>
    </xf>
    <xf numFmtId="164" fontId="10" fillId="0" borderId="41" xfId="19" applyNumberFormat="1" applyFont="1" applyFill="1" applyBorder="1" applyAlignment="1" applyProtection="1">
      <alignment vertical="center" wrapText="1"/>
      <protection locked="0"/>
    </xf>
    <xf numFmtId="164" fontId="10" fillId="0" borderId="27" xfId="19" applyNumberFormat="1" applyFont="1" applyFill="1" applyBorder="1" applyAlignment="1" applyProtection="1">
      <alignment vertical="center" wrapText="1"/>
      <protection locked="0"/>
    </xf>
    <xf numFmtId="164" fontId="10" fillId="0" borderId="36" xfId="19" applyNumberFormat="1" applyFont="1" applyFill="1" applyBorder="1" applyAlignment="1" applyProtection="1">
      <alignment vertical="center" wrapText="1"/>
      <protection locked="0"/>
    </xf>
    <xf numFmtId="1" fontId="10" fillId="0" borderId="96" xfId="0" applyNumberFormat="1" applyFont="1" applyFill="1" applyBorder="1" applyAlignment="1" applyProtection="1">
      <alignment horizontal="centerContinuous" vertical="center"/>
      <protection locked="0"/>
    </xf>
    <xf numFmtId="164" fontId="13" fillId="0" borderId="92" xfId="0" applyNumberFormat="1" applyFont="1" applyFill="1" applyBorder="1" applyAlignment="1" applyProtection="1">
      <alignment horizontal="right" vertical="center"/>
      <protection locked="0"/>
    </xf>
    <xf numFmtId="1" fontId="8" fillId="0" borderId="48" xfId="0" applyNumberFormat="1" applyFont="1" applyFill="1" applyBorder="1" applyAlignment="1" applyProtection="1">
      <alignment horizontal="centerContinuous" vertical="center"/>
      <protection locked="0"/>
    </xf>
    <xf numFmtId="164" fontId="8" fillId="0" borderId="82" xfId="19" applyNumberFormat="1" applyFont="1" applyFill="1" applyBorder="1" applyAlignment="1" applyProtection="1">
      <alignment vertical="center" wrapText="1"/>
      <protection locked="0"/>
    </xf>
    <xf numFmtId="3" fontId="6" fillId="0" borderId="48" xfId="0" applyNumberFormat="1" applyFont="1" applyFill="1" applyBorder="1" applyAlignment="1" applyProtection="1">
      <alignment vertical="center"/>
      <protection locked="0"/>
    </xf>
    <xf numFmtId="3" fontId="6" fillId="0" borderId="122" xfId="0" applyNumberFormat="1" applyFont="1" applyFill="1" applyBorder="1" applyAlignment="1" applyProtection="1">
      <alignment vertical="center"/>
      <protection locked="0"/>
    </xf>
    <xf numFmtId="3" fontId="6" fillId="0" borderId="38" xfId="0" applyNumberFormat="1" applyFont="1" applyFill="1" applyBorder="1" applyAlignment="1" applyProtection="1">
      <alignment vertical="center"/>
      <protection locked="0"/>
    </xf>
    <xf numFmtId="164" fontId="10" fillId="0" borderId="117" xfId="0" applyNumberFormat="1" applyFont="1" applyBorder="1" applyAlignment="1">
      <alignment/>
    </xf>
    <xf numFmtId="3" fontId="6" fillId="0" borderId="0" xfId="0" applyNumberFormat="1" applyFont="1" applyFill="1" applyBorder="1" applyAlignment="1" applyProtection="1">
      <alignment vertical="center"/>
      <protection locked="0"/>
    </xf>
    <xf numFmtId="164" fontId="10" fillId="0" borderId="0" xfId="0" applyNumberFormat="1" applyFont="1" applyFill="1" applyBorder="1" applyAlignment="1" applyProtection="1">
      <alignment horizontal="right" vertical="center"/>
      <protection locked="0"/>
    </xf>
    <xf numFmtId="164" fontId="8" fillId="0" borderId="116" xfId="0" applyNumberFormat="1" applyFont="1" applyFill="1" applyBorder="1" applyAlignment="1" applyProtection="1">
      <alignment vertical="center"/>
      <protection locked="0"/>
    </xf>
    <xf numFmtId="164" fontId="8" fillId="0" borderId="6" xfId="19" applyNumberFormat="1" applyFont="1" applyFill="1" applyBorder="1" applyAlignment="1" applyProtection="1">
      <alignment vertical="center" wrapText="1"/>
      <protection locked="0"/>
    </xf>
    <xf numFmtId="164" fontId="8" fillId="0" borderId="0" xfId="0" applyNumberFormat="1" applyFont="1" applyFill="1" applyBorder="1" applyAlignment="1" applyProtection="1">
      <alignment horizontal="right" vertical="center"/>
      <protection locked="0"/>
    </xf>
    <xf numFmtId="3" fontId="6" fillId="0" borderId="61" xfId="0" applyNumberFormat="1" applyFont="1" applyFill="1" applyBorder="1" applyAlignment="1" applyProtection="1">
      <alignment vertical="center"/>
      <protection locked="0"/>
    </xf>
    <xf numFmtId="164" fontId="8" fillId="0" borderId="59" xfId="0" applyNumberFormat="1" applyFont="1" applyFill="1" applyBorder="1" applyAlignment="1" applyProtection="1">
      <alignment horizontal="right" vertical="center"/>
      <protection locked="0"/>
    </xf>
    <xf numFmtId="164" fontId="6" fillId="0" borderId="59" xfId="0" applyNumberFormat="1" applyFont="1" applyFill="1" applyBorder="1" applyAlignment="1" applyProtection="1">
      <alignment horizontal="right" vertical="center"/>
      <protection locked="0"/>
    </xf>
    <xf numFmtId="164" fontId="74" fillId="0" borderId="41" xfId="0" applyNumberFormat="1" applyFont="1" applyFill="1" applyBorder="1" applyAlignment="1" applyProtection="1">
      <alignment horizontal="right" vertical="center"/>
      <protection locked="0"/>
    </xf>
    <xf numFmtId="164" fontId="10" fillId="0" borderId="18" xfId="19" applyNumberFormat="1" applyFont="1" applyFill="1" applyBorder="1" applyAlignment="1" applyProtection="1">
      <alignment vertical="center" wrapText="1"/>
      <protection locked="0"/>
    </xf>
    <xf numFmtId="164" fontId="13" fillId="0" borderId="95" xfId="0" applyNumberFormat="1" applyFont="1" applyFill="1" applyBorder="1" applyAlignment="1" applyProtection="1">
      <alignment horizontal="right" vertical="center"/>
      <protection locked="0"/>
    </xf>
    <xf numFmtId="164" fontId="10" fillId="0" borderId="92" xfId="0" applyNumberFormat="1" applyFont="1" applyFill="1" applyBorder="1" applyAlignment="1" applyProtection="1">
      <alignment vertical="center"/>
      <protection locked="0"/>
    </xf>
    <xf numFmtId="3" fontId="4" fillId="0" borderId="93" xfId="0" applyNumberFormat="1" applyFont="1" applyFill="1" applyBorder="1" applyAlignment="1" applyProtection="1">
      <alignment vertical="center"/>
      <protection locked="0"/>
    </xf>
    <xf numFmtId="164" fontId="10" fillId="0" borderId="95" xfId="0" applyNumberFormat="1" applyFont="1" applyFill="1" applyBorder="1" applyAlignment="1" applyProtection="1">
      <alignment vertical="center"/>
      <protection locked="0"/>
    </xf>
    <xf numFmtId="3" fontId="4" fillId="0" borderId="94" xfId="0" applyNumberFormat="1" applyFont="1" applyFill="1" applyBorder="1" applyAlignment="1" applyProtection="1">
      <alignment vertical="center"/>
      <protection locked="0"/>
    </xf>
    <xf numFmtId="164" fontId="87" fillId="0" borderId="95" xfId="0" applyNumberFormat="1" applyFont="1" applyFill="1" applyBorder="1" applyAlignment="1" applyProtection="1">
      <alignment horizontal="right" vertical="center"/>
      <protection locked="0"/>
    </xf>
    <xf numFmtId="164" fontId="14" fillId="0" borderId="92" xfId="0" applyNumberFormat="1" applyFont="1" applyFill="1" applyBorder="1" applyAlignment="1" applyProtection="1">
      <alignment horizontal="right" vertical="center"/>
      <protection locked="0"/>
    </xf>
    <xf numFmtId="1" fontId="8" fillId="0" borderId="96" xfId="0" applyNumberFormat="1" applyFont="1" applyFill="1" applyBorder="1" applyAlignment="1" applyProtection="1">
      <alignment horizontal="center" vertical="center"/>
      <protection locked="0"/>
    </xf>
    <xf numFmtId="164" fontId="8" fillId="0" borderId="18" xfId="19" applyNumberFormat="1" applyFont="1" applyFill="1" applyBorder="1" applyAlignment="1" applyProtection="1">
      <alignment vertical="center" wrapText="1"/>
      <protection locked="0"/>
    </xf>
    <xf numFmtId="3" fontId="6" fillId="0" borderId="96" xfId="0" applyNumberFormat="1" applyFont="1" applyFill="1" applyBorder="1" applyAlignment="1" applyProtection="1">
      <alignment vertical="center"/>
      <protection locked="0"/>
    </xf>
    <xf numFmtId="3" fontId="6" fillId="0" borderId="18" xfId="0" applyNumberFormat="1" applyFont="1" applyFill="1" applyBorder="1" applyAlignment="1" applyProtection="1">
      <alignment vertical="center"/>
      <protection locked="0"/>
    </xf>
    <xf numFmtId="3" fontId="6" fillId="0" borderId="93" xfId="0" applyNumberFormat="1" applyFont="1" applyFill="1" applyBorder="1" applyAlignment="1" applyProtection="1">
      <alignment vertical="center"/>
      <protection locked="0"/>
    </xf>
    <xf numFmtId="164" fontId="8" fillId="0" borderId="95" xfId="0" applyNumberFormat="1" applyFont="1" applyFill="1" applyBorder="1" applyAlignment="1" applyProtection="1">
      <alignment vertical="center"/>
      <protection locked="0"/>
    </xf>
    <xf numFmtId="164" fontId="14" fillId="0" borderId="95" xfId="0" applyNumberFormat="1" applyFont="1" applyFill="1" applyBorder="1" applyAlignment="1" applyProtection="1">
      <alignment horizontal="right" vertical="center"/>
      <protection locked="0"/>
    </xf>
    <xf numFmtId="164" fontId="4" fillId="0" borderId="92" xfId="0" applyNumberFormat="1" applyFont="1" applyFill="1" applyBorder="1" applyAlignment="1" applyProtection="1">
      <alignment vertical="center"/>
      <protection locked="0"/>
    </xf>
    <xf numFmtId="1" fontId="14" fillId="0" borderId="61" xfId="0" applyNumberFormat="1" applyFont="1" applyFill="1" applyBorder="1" applyAlignment="1" applyProtection="1">
      <alignment horizontal="centerContinuous" vertical="center"/>
      <protection locked="0"/>
    </xf>
    <xf numFmtId="1" fontId="14" fillId="0" borderId="0" xfId="0" applyNumberFormat="1" applyFont="1" applyFill="1" applyBorder="1" applyAlignment="1" applyProtection="1">
      <alignment horizontal="left" vertical="center" wrapText="1"/>
      <protection locked="0"/>
    </xf>
    <xf numFmtId="1" fontId="13" fillId="0" borderId="61" xfId="0" applyNumberFormat="1" applyFont="1" applyFill="1" applyBorder="1" applyAlignment="1" applyProtection="1">
      <alignment horizontal="centerContinuous" vertical="center"/>
      <protection locked="0"/>
    </xf>
    <xf numFmtId="1" fontId="13" fillId="0" borderId="0" xfId="0" applyNumberFormat="1" applyFont="1" applyFill="1" applyBorder="1" applyAlignment="1" applyProtection="1">
      <alignment horizontal="left" vertical="center" wrapText="1"/>
      <protection locked="0"/>
    </xf>
    <xf numFmtId="3" fontId="13" fillId="0" borderId="61" xfId="0" applyNumberFormat="1" applyFont="1" applyFill="1" applyBorder="1" applyAlignment="1" applyProtection="1">
      <alignment vertical="center"/>
      <protection locked="0"/>
    </xf>
    <xf numFmtId="1" fontId="49" fillId="0" borderId="121" xfId="0" applyNumberFormat="1" applyFont="1" applyFill="1" applyBorder="1" applyAlignment="1" applyProtection="1">
      <alignment horizontal="centerContinuous" vertical="center"/>
      <protection locked="0"/>
    </xf>
    <xf numFmtId="1" fontId="49" fillId="0" borderId="94" xfId="0" applyNumberFormat="1" applyFont="1" applyFill="1" applyBorder="1" applyAlignment="1" applyProtection="1">
      <alignment horizontal="left" vertical="center" wrapText="1"/>
      <protection locked="0"/>
    </xf>
    <xf numFmtId="3" fontId="49" fillId="0" borderId="96" xfId="0" applyNumberFormat="1" applyFont="1" applyFill="1" applyBorder="1" applyAlignment="1" applyProtection="1">
      <alignment vertical="center"/>
      <protection locked="0"/>
    </xf>
    <xf numFmtId="164" fontId="77" fillId="0" borderId="94" xfId="0" applyNumberFormat="1" applyFont="1" applyFill="1" applyBorder="1" applyAlignment="1" applyProtection="1">
      <alignment horizontal="right" vertical="center"/>
      <protection locked="0"/>
    </xf>
    <xf numFmtId="3" fontId="77" fillId="0" borderId="18" xfId="0" applyNumberFormat="1" applyFont="1" applyFill="1" applyBorder="1" applyAlignment="1" applyProtection="1">
      <alignment vertical="center"/>
      <protection locked="0"/>
    </xf>
    <xf numFmtId="3" fontId="49" fillId="0" borderId="93" xfId="0" applyNumberFormat="1" applyFont="1" applyFill="1" applyBorder="1" applyAlignment="1" applyProtection="1">
      <alignment vertical="center"/>
      <protection locked="0"/>
    </xf>
    <xf numFmtId="164" fontId="49" fillId="0" borderId="95" xfId="0" applyNumberFormat="1" applyFont="1" applyFill="1" applyBorder="1" applyAlignment="1" applyProtection="1">
      <alignment horizontal="right" vertical="center"/>
      <protection locked="0"/>
    </xf>
    <xf numFmtId="0" fontId="26" fillId="0" borderId="121" xfId="0" applyFont="1" applyBorder="1" applyAlignment="1">
      <alignment horizontal="left" vertical="center" wrapText="1"/>
    </xf>
    <xf numFmtId="0" fontId="0" fillId="0" borderId="92" xfId="0" applyBorder="1" applyAlignment="1">
      <alignment horizontal="left" vertical="center"/>
    </xf>
    <xf numFmtId="164" fontId="33" fillId="0" borderId="102" xfId="0" applyFont="1" applyBorder="1" applyAlignment="1">
      <alignment horizontal="center" vertical="center" wrapText="1"/>
    </xf>
    <xf numFmtId="164" fontId="33" fillId="0" borderId="110" xfId="0" applyFont="1" applyBorder="1" applyAlignment="1">
      <alignment horizontal="center" vertical="center" wrapText="1"/>
    </xf>
    <xf numFmtId="0" fontId="7" fillId="0" borderId="56" xfId="0" applyFont="1" applyBorder="1" applyAlignment="1">
      <alignment horizontal="left" vertical="center" wrapText="1"/>
    </xf>
    <xf numFmtId="0" fontId="7" fillId="0" borderId="105" xfId="0" applyFont="1" applyBorder="1" applyAlignment="1">
      <alignment horizontal="left" vertical="center" wrapText="1"/>
    </xf>
    <xf numFmtId="0" fontId="7" fillId="0" borderId="61" xfId="0" applyFont="1" applyBorder="1" applyAlignment="1">
      <alignment horizontal="left" vertical="center" wrapText="1"/>
    </xf>
    <xf numFmtId="0" fontId="0" fillId="0" borderId="59" xfId="0" applyBorder="1" applyAlignment="1">
      <alignment horizontal="left" vertical="center" wrapText="1"/>
    </xf>
    <xf numFmtId="164" fontId="16" fillId="0" borderId="0" xfId="0" applyFont="1" applyAlignment="1">
      <alignment horizontal="right" wrapText="1"/>
    </xf>
    <xf numFmtId="0" fontId="5" fillId="0" borderId="0" xfId="0" applyFont="1" applyAlignment="1">
      <alignment horizontal="center" wrapText="1"/>
    </xf>
    <xf numFmtId="0" fontId="6" fillId="0" borderId="0" xfId="0" applyFont="1" applyBorder="1" applyAlignment="1">
      <alignment horizontal="right"/>
    </xf>
    <xf numFmtId="4" fontId="6" fillId="2" borderId="53" xfId="0" applyNumberFormat="1" applyFont="1" applyFill="1" applyBorder="1" applyAlignment="1">
      <alignment horizontal="center" vertical="center" wrapText="1"/>
    </xf>
    <xf numFmtId="4" fontId="6" fillId="2" borderId="111" xfId="0" applyNumberFormat="1" applyFont="1" applyFill="1" applyBorder="1" applyAlignment="1">
      <alignment horizontal="center" vertical="center" wrapText="1"/>
    </xf>
    <xf numFmtId="3" fontId="5" fillId="0" borderId="102" xfId="0" applyNumberFormat="1" applyFont="1" applyBorder="1" applyAlignment="1">
      <alignment horizontal="center" vertical="center" wrapText="1"/>
    </xf>
    <xf numFmtId="3" fontId="5" fillId="0" borderId="103" xfId="0" applyNumberFormat="1" applyFont="1" applyBorder="1" applyAlignment="1">
      <alignment horizontal="center" vertical="center" wrapText="1"/>
    </xf>
    <xf numFmtId="3" fontId="5" fillId="0" borderId="110" xfId="0" applyNumberFormat="1" applyFont="1" applyBorder="1" applyAlignment="1">
      <alignment horizontal="center" vertical="center" wrapText="1"/>
    </xf>
    <xf numFmtId="0" fontId="6" fillId="0" borderId="0" xfId="0" applyFont="1" applyAlignment="1">
      <alignment horizontal="right"/>
    </xf>
    <xf numFmtId="0" fontId="89" fillId="0" borderId="0" xfId="0" applyFont="1" applyAlignment="1">
      <alignment horizontal="right"/>
    </xf>
    <xf numFmtId="0" fontId="10" fillId="0" borderId="94" xfId="0" applyFont="1" applyBorder="1" applyAlignment="1">
      <alignment horizontal="center"/>
    </xf>
    <xf numFmtId="0" fontId="69" fillId="0" borderId="94" xfId="0" applyFont="1" applyBorder="1" applyAlignment="1">
      <alignment horizontal="center"/>
    </xf>
    <xf numFmtId="0" fontId="6" fillId="0" borderId="0" xfId="0" applyFont="1" applyAlignment="1">
      <alignment horizontal="right" vertical="center"/>
    </xf>
    <xf numFmtId="0" fontId="89" fillId="0" borderId="0" xfId="0" applyFont="1" applyAlignment="1">
      <alignment horizontal="right" vertical="center"/>
    </xf>
    <xf numFmtId="0" fontId="4" fillId="0" borderId="94" xfId="0" applyFont="1" applyBorder="1" applyAlignment="1">
      <alignment horizontal="center"/>
    </xf>
    <xf numFmtId="0" fontId="0" fillId="0" borderId="94" xfId="0" applyBorder="1" applyAlignment="1">
      <alignment horizontal="center"/>
    </xf>
    <xf numFmtId="1" fontId="47" fillId="0"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4" fillId="0" borderId="0" xfId="0" applyFont="1" applyAlignment="1">
      <alignment/>
    </xf>
    <xf numFmtId="3" fontId="5" fillId="0" borderId="99" xfId="0" applyNumberFormat="1" applyFont="1" applyFill="1" applyBorder="1" applyAlignment="1" applyProtection="1">
      <alignment horizontal="center" vertical="center"/>
      <protection locked="0"/>
    </xf>
    <xf numFmtId="0" fontId="0" fillId="0" borderId="113" xfId="0" applyBorder="1" applyAlignment="1">
      <alignment vertical="center"/>
    </xf>
    <xf numFmtId="0" fontId="0" fillId="0" borderId="109" xfId="0" applyBorder="1" applyAlignment="1">
      <alignment vertical="center"/>
    </xf>
    <xf numFmtId="164" fontId="9" fillId="0" borderId="0" xfId="0" applyNumberFormat="1" applyFont="1" applyBorder="1" applyAlignment="1">
      <alignment horizontal="right"/>
    </xf>
    <xf numFmtId="164" fontId="5" fillId="0" borderId="55" xfId="19" applyNumberFormat="1" applyFont="1" applyFill="1" applyBorder="1" applyAlignment="1" applyProtection="1">
      <alignment horizontal="center" vertical="center" wrapText="1"/>
      <protection locked="0"/>
    </xf>
    <xf numFmtId="0" fontId="83" fillId="0" borderId="41" xfId="0" applyFont="1" applyBorder="1" applyAlignment="1">
      <alignment/>
    </xf>
    <xf numFmtId="0" fontId="83" fillId="0" borderId="95" xfId="0" applyFont="1" applyBorder="1" applyAlignment="1">
      <alignment/>
    </xf>
    <xf numFmtId="0" fontId="91" fillId="0" borderId="113" xfId="0" applyFont="1" applyBorder="1" applyAlignment="1">
      <alignment/>
    </xf>
    <xf numFmtId="0" fontId="91" fillId="0" borderId="109" xfId="0" applyFont="1" applyBorder="1" applyAlignment="1">
      <alignment/>
    </xf>
    <xf numFmtId="3" fontId="11" fillId="0" borderId="123" xfId="0" applyNumberFormat="1" applyFont="1" applyFill="1" applyBorder="1" applyAlignment="1" applyProtection="1">
      <alignment horizontal="center" vertical="center"/>
      <protection locked="0"/>
    </xf>
    <xf numFmtId="0" fontId="99" fillId="0" borderId="119" xfId="0" applyFont="1" applyBorder="1" applyAlignment="1">
      <alignment horizontal="center" vertical="center"/>
    </xf>
    <xf numFmtId="0" fontId="99" fillId="0" borderId="116" xfId="0" applyFont="1" applyBorder="1" applyAlignment="1">
      <alignment horizontal="center" vertical="center"/>
    </xf>
    <xf numFmtId="164" fontId="11" fillId="0" borderId="98" xfId="0" applyNumberFormat="1" applyFont="1" applyBorder="1" applyAlignment="1">
      <alignment horizontal="center" vertical="center"/>
    </xf>
    <xf numFmtId="164" fontId="11" fillId="0" borderId="46" xfId="0" applyNumberFormat="1" applyFont="1" applyBorder="1" applyAlignment="1">
      <alignment horizontal="center" vertical="center"/>
    </xf>
    <xf numFmtId="164" fontId="11" fillId="0" borderId="27" xfId="0" applyNumberFormat="1" applyFont="1" applyBorder="1" applyAlignment="1">
      <alignment horizontal="center" vertical="center"/>
    </xf>
    <xf numFmtId="0" fontId="78" fillId="0" borderId="55" xfId="0" applyFont="1" applyBorder="1" applyAlignment="1">
      <alignment horizontal="center" vertical="center" wrapText="1"/>
    </xf>
    <xf numFmtId="0" fontId="78" fillId="0" borderId="95"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10" xfId="0" applyFont="1" applyBorder="1" applyAlignment="1">
      <alignment horizontal="center" vertical="center" wrapText="1"/>
    </xf>
    <xf numFmtId="0" fontId="12" fillId="0" borderId="0" xfId="0" applyFont="1" applyAlignment="1">
      <alignment horizontal="center"/>
    </xf>
    <xf numFmtId="0" fontId="47" fillId="0" borderId="0" xfId="0" applyFont="1" applyAlignment="1">
      <alignment horizontal="center" vertical="center" wrapText="1"/>
    </xf>
    <xf numFmtId="0" fontId="78" fillId="0" borderId="53" xfId="0" applyFont="1" applyBorder="1" applyAlignment="1">
      <alignment horizontal="center" vertical="center" wrapText="1"/>
    </xf>
    <xf numFmtId="0" fontId="78" fillId="0" borderId="111" xfId="0" applyFont="1" applyBorder="1" applyAlignment="1">
      <alignment horizontal="center" vertical="center" wrapText="1"/>
    </xf>
    <xf numFmtId="0" fontId="78" fillId="0" borderId="55" xfId="0" applyFont="1" applyBorder="1" applyAlignment="1">
      <alignment horizontal="center" vertical="center" wrapText="1"/>
    </xf>
    <xf numFmtId="0" fontId="78" fillId="0" borderId="95" xfId="0" applyFont="1" applyBorder="1" applyAlignment="1">
      <alignment horizontal="center" vertical="center" wrapText="1"/>
    </xf>
    <xf numFmtId="0" fontId="65" fillId="0" borderId="102" xfId="0" applyFont="1" applyBorder="1" applyAlignment="1">
      <alignment horizontal="center" vertical="center" wrapText="1"/>
    </xf>
    <xf numFmtId="0" fontId="65" fillId="0" borderId="110" xfId="0" applyFont="1" applyBorder="1" applyAlignment="1">
      <alignment horizontal="center" vertical="center" wrapText="1"/>
    </xf>
    <xf numFmtId="0" fontId="14" fillId="0" borderId="48" xfId="0" applyFont="1" applyBorder="1" applyAlignment="1">
      <alignment horizontal="center" vertical="center"/>
    </xf>
    <xf numFmtId="0" fontId="14" fillId="0" borderId="60" xfId="0" applyFont="1" applyBorder="1" applyAlignment="1">
      <alignment horizontal="center" vertical="center"/>
    </xf>
    <xf numFmtId="0" fontId="4" fillId="0" borderId="41" xfId="0" applyFont="1" applyBorder="1" applyAlignment="1">
      <alignment horizontal="left" vertical="center" wrapText="1"/>
    </xf>
    <xf numFmtId="0" fontId="4" fillId="0" borderId="27" xfId="0" applyFont="1" applyBorder="1" applyAlignment="1">
      <alignment horizontal="left" vertical="center" wrapText="1"/>
    </xf>
    <xf numFmtId="0" fontId="4" fillId="0" borderId="48" xfId="0" applyFont="1" applyBorder="1" applyAlignment="1">
      <alignment horizontal="center" vertical="center"/>
    </xf>
    <xf numFmtId="0" fontId="0" fillId="0" borderId="60" xfId="0" applyBorder="1" applyAlignment="1">
      <alignment horizontal="center" vertical="center"/>
    </xf>
    <xf numFmtId="0" fontId="0" fillId="0" borderId="98" xfId="0" applyBorder="1" applyAlignment="1">
      <alignment horizontal="center" vertical="center"/>
    </xf>
    <xf numFmtId="0" fontId="4" fillId="0" borderId="36" xfId="0" applyFont="1" applyBorder="1" applyAlignment="1">
      <alignment vertical="center" wrapText="1"/>
    </xf>
    <xf numFmtId="0" fontId="0" fillId="0" borderId="41" xfId="0" applyBorder="1" applyAlignment="1">
      <alignment vertical="center" wrapText="1"/>
    </xf>
    <xf numFmtId="0" fontId="0" fillId="0" borderId="27" xfId="0" applyBorder="1" applyAlignment="1">
      <alignment vertical="center" wrapText="1"/>
    </xf>
    <xf numFmtId="0" fontId="2" fillId="0" borderId="0" xfId="0" applyFont="1" applyAlignment="1">
      <alignment horizontal="left" vertical="center" wrapText="1"/>
    </xf>
    <xf numFmtId="0" fontId="72" fillId="0" borderId="0" xfId="0" applyFont="1" applyAlignment="1">
      <alignment wrapText="1"/>
    </xf>
    <xf numFmtId="0" fontId="4" fillId="0" borderId="36" xfId="0" applyFont="1" applyBorder="1" applyAlignment="1">
      <alignment horizontal="left" vertical="center" wrapText="1"/>
    </xf>
    <xf numFmtId="0" fontId="4" fillId="0" borderId="0" xfId="0" applyFont="1" applyAlignment="1">
      <alignment horizontal="left" vertical="center"/>
    </xf>
  </cellXfs>
  <cellStyles count="7">
    <cellStyle name="Normal" xfId="0"/>
    <cellStyle name="Comma" xfId="15"/>
    <cellStyle name="Comma [0]" xfId="16"/>
    <cellStyle name="Normalny_ARK2WYD"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27"/>
  <sheetViews>
    <sheetView workbookViewId="0" topLeftCell="A22">
      <selection activeCell="G4" sqref="G4"/>
    </sheetView>
  </sheetViews>
  <sheetFormatPr defaultColWidth="9.00390625" defaultRowHeight="12.75"/>
  <cols>
    <col min="1" max="1" width="4.00390625" style="1" customWidth="1"/>
    <col min="2" max="2" width="23.875" style="1" customWidth="1"/>
    <col min="3" max="3" width="14.00390625" style="1" customWidth="1"/>
    <col min="4" max="4" width="13.25390625" style="1" customWidth="1"/>
    <col min="5" max="5" width="13.375" style="1" customWidth="1"/>
    <col min="6" max="6" width="13.75390625" style="1" customWidth="1"/>
    <col min="7" max="7" width="6.625" style="1" customWidth="1"/>
    <col min="8" max="9" width="5.75390625" style="1" customWidth="1"/>
    <col min="10" max="16384" width="17.00390625" style="1" customWidth="1"/>
  </cols>
  <sheetData>
    <row r="1" ht="18.75">
      <c r="C1" s="2" t="s">
        <v>66</v>
      </c>
    </row>
    <row r="2" spans="1:9" s="9" customFormat="1" ht="16.5" customHeight="1">
      <c r="A2" s="3"/>
      <c r="B2" s="3"/>
      <c r="C2" s="4" t="s">
        <v>67</v>
      </c>
      <c r="D2" s="5"/>
      <c r="E2" s="5"/>
      <c r="F2" s="6"/>
      <c r="G2" s="6"/>
      <c r="H2" s="7"/>
      <c r="I2" s="8"/>
    </row>
    <row r="3" spans="1:9" s="9" customFormat="1" ht="14.25" customHeight="1">
      <c r="A3" s="3"/>
      <c r="B3" s="3"/>
      <c r="C3" s="4" t="s">
        <v>402</v>
      </c>
      <c r="D3" s="5"/>
      <c r="E3" s="5"/>
      <c r="F3" s="6"/>
      <c r="G3" s="6"/>
      <c r="H3" s="7"/>
      <c r="I3" s="8"/>
    </row>
    <row r="4" spans="8:9" ht="16.5" thickBot="1">
      <c r="H4" s="10" t="s">
        <v>68</v>
      </c>
      <c r="I4" s="10"/>
    </row>
    <row r="5" spans="1:9" ht="15.75">
      <c r="A5" s="11"/>
      <c r="B5" s="12"/>
      <c r="C5" s="12"/>
      <c r="D5" s="13" t="s">
        <v>403</v>
      </c>
      <c r="E5" s="14"/>
      <c r="F5" s="14"/>
      <c r="G5" s="14"/>
      <c r="H5" s="15"/>
      <c r="I5" s="16"/>
    </row>
    <row r="6" spans="1:9" ht="54.75" customHeight="1">
      <c r="A6" s="17" t="s">
        <v>69</v>
      </c>
      <c r="B6" s="18" t="s">
        <v>70</v>
      </c>
      <c r="C6" s="19" t="s">
        <v>404</v>
      </c>
      <c r="D6" s="20" t="s">
        <v>71</v>
      </c>
      <c r="E6" s="21" t="s">
        <v>72</v>
      </c>
      <c r="F6" s="21" t="s">
        <v>73</v>
      </c>
      <c r="G6" s="22" t="s">
        <v>74</v>
      </c>
      <c r="H6" s="23" t="s">
        <v>75</v>
      </c>
      <c r="I6" s="24" t="s">
        <v>76</v>
      </c>
    </row>
    <row r="7" spans="1:256" s="29" customFormat="1" ht="9.75" customHeight="1" thickBot="1">
      <c r="A7" s="25">
        <v>1</v>
      </c>
      <c r="B7" s="26">
        <v>2</v>
      </c>
      <c r="C7" s="26">
        <v>3</v>
      </c>
      <c r="D7" s="26">
        <v>4</v>
      </c>
      <c r="E7" s="26">
        <v>5</v>
      </c>
      <c r="F7" s="26">
        <v>6</v>
      </c>
      <c r="G7" s="26">
        <v>7</v>
      </c>
      <c r="H7" s="26">
        <v>8</v>
      </c>
      <c r="I7" s="27">
        <v>9</v>
      </c>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9" s="36" customFormat="1" ht="16.5" thickBot="1" thickTop="1">
      <c r="A8" s="30" t="s">
        <v>77</v>
      </c>
      <c r="B8" s="31" t="s">
        <v>78</v>
      </c>
      <c r="C8" s="32">
        <f>C10+C14</f>
        <v>123626943</v>
      </c>
      <c r="D8" s="32">
        <f>D10+D14</f>
        <v>267028596</v>
      </c>
      <c r="E8" s="32">
        <f>E10+E14</f>
        <v>281438490</v>
      </c>
      <c r="F8" s="32">
        <f>F10+F14</f>
        <v>150754277</v>
      </c>
      <c r="G8" s="33">
        <f>F8/C8*100</f>
        <v>121.94289799756677</v>
      </c>
      <c r="H8" s="34">
        <f>F8/D8*100</f>
        <v>56.45622950434866</v>
      </c>
      <c r="I8" s="35">
        <f>F8/E8*100</f>
        <v>53.56562174562548</v>
      </c>
    </row>
    <row r="9" spans="1:9" s="43" customFormat="1" ht="13.5" customHeight="1" thickTop="1">
      <c r="A9" s="37"/>
      <c r="B9" s="38" t="s">
        <v>79</v>
      </c>
      <c r="C9" s="39"/>
      <c r="D9" s="39"/>
      <c r="E9" s="39"/>
      <c r="F9" s="39"/>
      <c r="G9" s="40"/>
      <c r="H9" s="41"/>
      <c r="I9" s="42"/>
    </row>
    <row r="10" spans="1:9" s="36" customFormat="1" ht="25.5">
      <c r="A10" s="44" t="s">
        <v>80</v>
      </c>
      <c r="B10" s="45" t="s">
        <v>81</v>
      </c>
      <c r="C10" s="46">
        <f>SUM(C11:C13)</f>
        <v>109391553</v>
      </c>
      <c r="D10" s="46">
        <f>SUM(D11:D13)</f>
        <v>233851571</v>
      </c>
      <c r="E10" s="46">
        <f>SUM(E11:E13)</f>
        <v>243036072</v>
      </c>
      <c r="F10" s="46">
        <f>SUM(F11:F13)</f>
        <v>131588850</v>
      </c>
      <c r="G10" s="47">
        <f>F10/C10*100</f>
        <v>120.29160057724017</v>
      </c>
      <c r="H10" s="48">
        <f aca="true" t="shared" si="0" ref="H10:H17">F10/D10*100</f>
        <v>56.270244171248265</v>
      </c>
      <c r="I10" s="49">
        <f aca="true" t="shared" si="1" ref="I10:I25">F10/E10*100</f>
        <v>54.14375278415461</v>
      </c>
    </row>
    <row r="11" spans="1:9" s="56" customFormat="1" ht="25.5">
      <c r="A11" s="50" t="s">
        <v>82</v>
      </c>
      <c r="B11" s="51" t="s">
        <v>83</v>
      </c>
      <c r="C11" s="52">
        <v>109353459</v>
      </c>
      <c r="D11" s="52">
        <v>233843071</v>
      </c>
      <c r="E11" s="52">
        <f>243027572-683649</f>
        <v>242343923</v>
      </c>
      <c r="F11" s="52">
        <f>131580350-655271</f>
        <v>130925079</v>
      </c>
      <c r="G11" s="53">
        <f>F11/C11*100</f>
        <v>119.72650906269</v>
      </c>
      <c r="H11" s="54">
        <f t="shared" si="0"/>
        <v>55.988436364659265</v>
      </c>
      <c r="I11" s="55">
        <f t="shared" si="1"/>
        <v>54.024494354661414</v>
      </c>
    </row>
    <row r="12" spans="1:9" s="57" customFormat="1" ht="63.75">
      <c r="A12" s="50" t="s">
        <v>84</v>
      </c>
      <c r="B12" s="51" t="s">
        <v>405</v>
      </c>
      <c r="C12" s="52">
        <f>29594+8500</f>
        <v>38094</v>
      </c>
      <c r="D12" s="52">
        <v>8500</v>
      </c>
      <c r="E12" s="52">
        <v>8500</v>
      </c>
      <c r="F12" s="52">
        <v>8500</v>
      </c>
      <c r="G12" s="53">
        <f>F12/C12*100</f>
        <v>22.313225179818343</v>
      </c>
      <c r="H12" s="54">
        <f t="shared" si="0"/>
        <v>100</v>
      </c>
      <c r="I12" s="55">
        <f t="shared" si="1"/>
        <v>100</v>
      </c>
    </row>
    <row r="13" spans="1:9" s="57" customFormat="1" ht="51">
      <c r="A13" s="50" t="s">
        <v>85</v>
      </c>
      <c r="B13" s="51" t="s">
        <v>406</v>
      </c>
      <c r="C13" s="52"/>
      <c r="D13" s="52"/>
      <c r="E13" s="52">
        <f>54225+629424</f>
        <v>683649</v>
      </c>
      <c r="F13" s="52">
        <v>655271</v>
      </c>
      <c r="G13" s="53" t="s">
        <v>179</v>
      </c>
      <c r="H13" s="54" t="s">
        <v>179</v>
      </c>
      <c r="I13" s="55">
        <f t="shared" si="1"/>
        <v>95.8490394924881</v>
      </c>
    </row>
    <row r="14" spans="1:9" s="62" customFormat="1" ht="14.25">
      <c r="A14" s="44" t="s">
        <v>86</v>
      </c>
      <c r="B14" s="45" t="s">
        <v>87</v>
      </c>
      <c r="C14" s="58">
        <f>SUM(C15:C16)</f>
        <v>14235390</v>
      </c>
      <c r="D14" s="58">
        <f>SUM(D15:D16)</f>
        <v>33177025</v>
      </c>
      <c r="E14" s="58">
        <f>SUM(E15:E16)</f>
        <v>38402418</v>
      </c>
      <c r="F14" s="58">
        <f>SUM(F15:F16)</f>
        <v>19165427</v>
      </c>
      <c r="G14" s="59">
        <f>F14/C14*100</f>
        <v>134.63225805545193</v>
      </c>
      <c r="H14" s="60">
        <f t="shared" si="0"/>
        <v>57.767165681672786</v>
      </c>
      <c r="I14" s="61">
        <f t="shared" si="1"/>
        <v>49.906823575536315</v>
      </c>
    </row>
    <row r="15" spans="1:9" s="57" customFormat="1" ht="38.25">
      <c r="A15" s="50" t="s">
        <v>82</v>
      </c>
      <c r="B15" s="51" t="s">
        <v>88</v>
      </c>
      <c r="C15" s="52">
        <v>10840967</v>
      </c>
      <c r="D15" s="52">
        <v>27290425</v>
      </c>
      <c r="E15" s="52">
        <v>32359275</v>
      </c>
      <c r="F15" s="52">
        <v>15529276</v>
      </c>
      <c r="G15" s="53">
        <f aca="true" t="shared" si="2" ref="G15:G25">F15/C15*100</f>
        <v>143.2462251753003</v>
      </c>
      <c r="H15" s="54">
        <f t="shared" si="0"/>
        <v>56.90375287303148</v>
      </c>
      <c r="I15" s="55">
        <f t="shared" si="1"/>
        <v>47.99018519419857</v>
      </c>
    </row>
    <row r="16" spans="1:9" s="56" customFormat="1" ht="39" thickBot="1">
      <c r="A16" s="50" t="s">
        <v>84</v>
      </c>
      <c r="B16" s="51" t="s">
        <v>89</v>
      </c>
      <c r="C16" s="52">
        <v>3394423</v>
      </c>
      <c r="D16" s="52">
        <v>5886600</v>
      </c>
      <c r="E16" s="52">
        <v>6043143</v>
      </c>
      <c r="F16" s="52">
        <v>3636151</v>
      </c>
      <c r="G16" s="53">
        <f t="shared" si="2"/>
        <v>107.12132813146742</v>
      </c>
      <c r="H16" s="54">
        <f t="shared" si="0"/>
        <v>61.76996908232256</v>
      </c>
      <c r="I16" s="55">
        <f t="shared" si="1"/>
        <v>60.169865250582355</v>
      </c>
    </row>
    <row r="17" spans="1:9" s="36" customFormat="1" ht="16.5" thickBot="1" thickTop="1">
      <c r="A17" s="30" t="s">
        <v>90</v>
      </c>
      <c r="B17" s="31" t="s">
        <v>91</v>
      </c>
      <c r="C17" s="63">
        <f>C19+C23</f>
        <v>116354632</v>
      </c>
      <c r="D17" s="63">
        <f>D19+D23</f>
        <v>307369996</v>
      </c>
      <c r="E17" s="63">
        <f>E19+E23</f>
        <v>323466100</v>
      </c>
      <c r="F17" s="63">
        <f>F19+F23</f>
        <v>132106713</v>
      </c>
      <c r="G17" s="33">
        <f>F17/C17*100</f>
        <v>113.53799219613363</v>
      </c>
      <c r="H17" s="34">
        <f t="shared" si="0"/>
        <v>42.979703523176674</v>
      </c>
      <c r="I17" s="35">
        <f t="shared" si="1"/>
        <v>40.840976225947635</v>
      </c>
    </row>
    <row r="18" spans="1:9" s="36" customFormat="1" ht="12.75" customHeight="1" thickTop="1">
      <c r="A18" s="37"/>
      <c r="B18" s="38" t="s">
        <v>79</v>
      </c>
      <c r="C18" s="58"/>
      <c r="D18" s="58"/>
      <c r="E18" s="58"/>
      <c r="F18" s="58"/>
      <c r="G18" s="59"/>
      <c r="H18" s="60"/>
      <c r="I18" s="61"/>
    </row>
    <row r="19" spans="1:9" s="36" customFormat="1" ht="25.5">
      <c r="A19" s="44" t="s">
        <v>80</v>
      </c>
      <c r="B19" s="45" t="s">
        <v>92</v>
      </c>
      <c r="C19" s="58">
        <f>SUM(C20:C22)</f>
        <v>103304682</v>
      </c>
      <c r="D19" s="58">
        <f>SUM(D20:D22)</f>
        <v>274192971</v>
      </c>
      <c r="E19" s="58">
        <f>SUM(E20:E22)</f>
        <v>285063682</v>
      </c>
      <c r="F19" s="58">
        <f>SUM(F20:F22)</f>
        <v>119154104</v>
      </c>
      <c r="G19" s="59">
        <f>F19/C19*100</f>
        <v>115.34240432587556</v>
      </c>
      <c r="H19" s="60">
        <f aca="true" t="shared" si="3" ref="H19:H25">F19/D19*100</f>
        <v>43.456294144024575</v>
      </c>
      <c r="I19" s="61">
        <f>F19/E19*100</f>
        <v>41.79911771433584</v>
      </c>
    </row>
    <row r="20" spans="1:9" s="56" customFormat="1" ht="25.5">
      <c r="A20" s="50" t="s">
        <v>82</v>
      </c>
      <c r="B20" s="51" t="s">
        <v>93</v>
      </c>
      <c r="C20" s="52">
        <v>103279399</v>
      </c>
      <c r="D20" s="52">
        <v>274184471</v>
      </c>
      <c r="E20" s="52">
        <f>285055182-1849032</f>
        <v>283206150</v>
      </c>
      <c r="F20" s="52">
        <f>119147698-868848</f>
        <v>118278850</v>
      </c>
      <c r="G20" s="53">
        <f t="shared" si="2"/>
        <v>114.52317804444235</v>
      </c>
      <c r="H20" s="54">
        <f t="shared" si="3"/>
        <v>43.13842048333948</v>
      </c>
      <c r="I20" s="55">
        <f t="shared" si="1"/>
        <v>41.764223693588576</v>
      </c>
    </row>
    <row r="21" spans="1:9" s="56" customFormat="1" ht="63.75">
      <c r="A21" s="50" t="s">
        <v>84</v>
      </c>
      <c r="B21" s="51" t="s">
        <v>407</v>
      </c>
      <c r="C21" s="52">
        <f>16797+8486</f>
        <v>25283</v>
      </c>
      <c r="D21" s="52">
        <v>8500</v>
      </c>
      <c r="E21" s="52">
        <v>8500</v>
      </c>
      <c r="F21" s="52">
        <v>6406</v>
      </c>
      <c r="G21" s="53">
        <f>F21/C21*100</f>
        <v>25.337183087450065</v>
      </c>
      <c r="H21" s="54">
        <f t="shared" si="3"/>
        <v>75.36470588235295</v>
      </c>
      <c r="I21" s="55">
        <f>F21/E21*100</f>
        <v>75.36470588235295</v>
      </c>
    </row>
    <row r="22" spans="1:9" s="57" customFormat="1" ht="51">
      <c r="A22" s="50" t="s">
        <v>85</v>
      </c>
      <c r="B22" s="51" t="s">
        <v>408</v>
      </c>
      <c r="C22" s="52"/>
      <c r="D22" s="52"/>
      <c r="E22" s="52">
        <v>1849032</v>
      </c>
      <c r="F22" s="52">
        <v>868848</v>
      </c>
      <c r="G22" s="53" t="s">
        <v>179</v>
      </c>
      <c r="H22" s="54" t="s">
        <v>179</v>
      </c>
      <c r="I22" s="55">
        <f>F22/E22*100</f>
        <v>46.98934361330686</v>
      </c>
    </row>
    <row r="23" spans="1:9" s="62" customFormat="1" ht="14.25">
      <c r="A23" s="44" t="s">
        <v>86</v>
      </c>
      <c r="B23" s="45" t="s">
        <v>94</v>
      </c>
      <c r="C23" s="58">
        <f>SUM(C24:C25)</f>
        <v>13049950</v>
      </c>
      <c r="D23" s="58">
        <f>SUM(D24:D25)</f>
        <v>33177025</v>
      </c>
      <c r="E23" s="58">
        <f>SUM(E24:E25)</f>
        <v>38402418</v>
      </c>
      <c r="F23" s="58">
        <f>SUM(F24:F25)</f>
        <v>12952609</v>
      </c>
      <c r="G23" s="59">
        <f>F23/C23*100</f>
        <v>99.2540890961268</v>
      </c>
      <c r="H23" s="60">
        <f t="shared" si="3"/>
        <v>39.040899538159316</v>
      </c>
      <c r="I23" s="61">
        <f>F23/E23*100</f>
        <v>33.72862875457477</v>
      </c>
    </row>
    <row r="24" spans="1:9" s="57" customFormat="1" ht="38.25">
      <c r="A24" s="50" t="s">
        <v>82</v>
      </c>
      <c r="B24" s="51" t="s">
        <v>95</v>
      </c>
      <c r="C24" s="52">
        <v>10223182</v>
      </c>
      <c r="D24" s="52">
        <v>27290425</v>
      </c>
      <c r="E24" s="52">
        <v>32359275</v>
      </c>
      <c r="F24" s="52">
        <v>9992704</v>
      </c>
      <c r="G24" s="53">
        <f t="shared" si="2"/>
        <v>97.74553558764777</v>
      </c>
      <c r="H24" s="54">
        <f t="shared" si="3"/>
        <v>36.61615383417444</v>
      </c>
      <c r="I24" s="55">
        <f t="shared" si="1"/>
        <v>30.880494077818494</v>
      </c>
    </row>
    <row r="25" spans="1:9" s="56" customFormat="1" ht="51.75" thickBot="1">
      <c r="A25" s="50" t="s">
        <v>84</v>
      </c>
      <c r="B25" s="51" t="s">
        <v>96</v>
      </c>
      <c r="C25" s="52">
        <v>2826768</v>
      </c>
      <c r="D25" s="52">
        <v>5886600</v>
      </c>
      <c r="E25" s="52">
        <v>6043143</v>
      </c>
      <c r="F25" s="52">
        <v>2959905</v>
      </c>
      <c r="G25" s="53">
        <f t="shared" si="2"/>
        <v>104.70986653308655</v>
      </c>
      <c r="H25" s="54">
        <f t="shared" si="3"/>
        <v>50.282081337274484</v>
      </c>
      <c r="I25" s="55">
        <f t="shared" si="1"/>
        <v>48.97956245615899</v>
      </c>
    </row>
    <row r="26" spans="1:256" s="71" customFormat="1" ht="18" customHeight="1" thickTop="1">
      <c r="A26" s="64" t="s">
        <v>97</v>
      </c>
      <c r="B26" s="65" t="s">
        <v>98</v>
      </c>
      <c r="C26" s="66"/>
      <c r="D26" s="66">
        <f>D8-D17</f>
        <v>-40341400</v>
      </c>
      <c r="E26" s="66">
        <f>E8-E17</f>
        <v>-42027610</v>
      </c>
      <c r="F26" s="66"/>
      <c r="G26" s="67"/>
      <c r="H26" s="68"/>
      <c r="I26" s="69"/>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row r="27" spans="1:9" ht="17.25" customHeight="1" thickBot="1">
      <c r="A27" s="72"/>
      <c r="B27" s="73" t="s">
        <v>99</v>
      </c>
      <c r="C27" s="74">
        <f>C8-C17</f>
        <v>7272311</v>
      </c>
      <c r="D27" s="74"/>
      <c r="E27" s="74"/>
      <c r="F27" s="74">
        <f>F8-F17</f>
        <v>18647564</v>
      </c>
      <c r="G27" s="75"/>
      <c r="H27" s="76"/>
      <c r="I27" s="77"/>
    </row>
    <row r="28" ht="16.5" thickTop="1"/>
  </sheetData>
  <printOptions horizontalCentered="1"/>
  <pageMargins left="0" right="0" top="0.7874015748031497" bottom="0.5905511811023623" header="0.31496062992125984" footer="0.5118110236220472"/>
  <pageSetup firstPageNumber="2" useFirstPageNumber="1" horizontalDpi="600" verticalDpi="600" orientation="portrait" paperSize="9" r:id="rId1"/>
  <headerFooter alignWithMargins="0">
    <oddHeader>&amp;C &amp;"Times New Roman,Normalny"&amp;P</oddHeader>
  </headerFooter>
</worksheet>
</file>

<file path=xl/worksheets/sheet10.xml><?xml version="1.0" encoding="utf-8"?>
<worksheet xmlns="http://schemas.openxmlformats.org/spreadsheetml/2006/main" xmlns:r="http://schemas.openxmlformats.org/officeDocument/2006/relationships">
  <dimension ref="A1:K29"/>
  <sheetViews>
    <sheetView workbookViewId="0" topLeftCell="A1">
      <selection activeCell="C10" sqref="C10"/>
    </sheetView>
  </sheetViews>
  <sheetFormatPr defaultColWidth="9.00390625" defaultRowHeight="12.75"/>
  <cols>
    <col min="1" max="1" width="9.00390625" style="767" customWidth="1"/>
    <col min="2" max="2" width="8.00390625" style="889" customWidth="1"/>
    <col min="3" max="3" width="30.625" style="768" customWidth="1"/>
    <col min="4" max="5" width="15.375" style="769" customWidth="1"/>
    <col min="6" max="6" width="8.625" style="770" customWidth="1"/>
    <col min="7" max="8" width="0.12890625" style="771" hidden="1" customWidth="1"/>
    <col min="9" max="9" width="11.25390625" style="772" bestFit="1" customWidth="1"/>
    <col min="10" max="16384" width="9.125" style="772" customWidth="1"/>
  </cols>
  <sheetData>
    <row r="1" spans="1:2" ht="12">
      <c r="A1" s="766"/>
      <c r="B1" s="767"/>
    </row>
    <row r="2" spans="1:11" s="778" customFormat="1" ht="52.5" customHeight="1">
      <c r="A2" s="2999" t="s">
        <v>547</v>
      </c>
      <c r="B2" s="3000"/>
      <c r="C2" s="3000"/>
      <c r="D2" s="3000"/>
      <c r="E2" s="3000"/>
      <c r="F2" s="3000"/>
      <c r="G2" s="3000"/>
      <c r="H2" s="3000"/>
      <c r="I2" s="3000"/>
      <c r="J2" s="940"/>
      <c r="K2" s="940"/>
    </row>
    <row r="3" spans="1:11" s="778" customFormat="1" ht="37.5" customHeight="1">
      <c r="A3" s="2400"/>
      <c r="B3" s="940"/>
      <c r="C3" s="940"/>
      <c r="D3" s="940"/>
      <c r="E3" s="2991" t="s">
        <v>286</v>
      </c>
      <c r="F3" s="3001"/>
      <c r="G3" s="940"/>
      <c r="H3" s="940"/>
      <c r="I3" s="940"/>
      <c r="J3" s="940"/>
      <c r="K3" s="940"/>
    </row>
    <row r="4" spans="1:8" ht="15.75" customHeight="1" thickBot="1">
      <c r="A4" s="779"/>
      <c r="B4" s="780"/>
      <c r="C4" s="781"/>
      <c r="D4" s="782"/>
      <c r="E4" s="782"/>
      <c r="F4" s="2401" t="s">
        <v>68</v>
      </c>
      <c r="G4" s="784"/>
      <c r="H4" s="787"/>
    </row>
    <row r="5" spans="2:7" s="799" customFormat="1" ht="23.25" customHeight="1" thickTop="1">
      <c r="B5" s="788" t="s">
        <v>287</v>
      </c>
      <c r="C5" s="789" t="s">
        <v>590</v>
      </c>
      <c r="D5" s="3002" t="s">
        <v>228</v>
      </c>
      <c r="E5" s="3003"/>
      <c r="F5" s="3004"/>
      <c r="G5" s="792"/>
    </row>
    <row r="6" spans="2:7" s="807" customFormat="1" ht="27" customHeight="1" thickBot="1">
      <c r="B6" s="800" t="s">
        <v>289</v>
      </c>
      <c r="C6" s="1320" t="s">
        <v>290</v>
      </c>
      <c r="D6" s="2404" t="s">
        <v>291</v>
      </c>
      <c r="E6" s="2405" t="s">
        <v>231</v>
      </c>
      <c r="F6" s="2406" t="s">
        <v>548</v>
      </c>
      <c r="G6" s="804" t="s">
        <v>548</v>
      </c>
    </row>
    <row r="7" spans="2:6" s="809" customFormat="1" ht="12" customHeight="1" thickBot="1" thickTop="1">
      <c r="B7" s="1333">
        <v>1</v>
      </c>
      <c r="C7" s="2407">
        <v>2</v>
      </c>
      <c r="D7" s="2408">
        <v>3</v>
      </c>
      <c r="E7" s="2407">
        <v>4</v>
      </c>
      <c r="F7" s="2409">
        <v>5</v>
      </c>
    </row>
    <row r="8" spans="2:7" s="1404" customFormat="1" ht="27" customHeight="1" thickBot="1" thickTop="1">
      <c r="B8" s="810">
        <v>600</v>
      </c>
      <c r="C8" s="811" t="s">
        <v>121</v>
      </c>
      <c r="D8" s="812">
        <f>D9</f>
        <v>16668</v>
      </c>
      <c r="E8" s="1767">
        <f>E9</f>
        <v>4175</v>
      </c>
      <c r="F8" s="2410">
        <f>E8/D8*100</f>
        <v>25.04799616030717</v>
      </c>
      <c r="G8" s="804" t="s">
        <v>548</v>
      </c>
    </row>
    <row r="9" spans="2:7" s="809" customFormat="1" ht="26.25" customHeight="1" thickBot="1" thickTop="1">
      <c r="B9" s="818">
        <v>60004</v>
      </c>
      <c r="C9" s="819" t="s">
        <v>713</v>
      </c>
      <c r="D9" s="820">
        <f>D10</f>
        <v>16668</v>
      </c>
      <c r="E9" s="2411">
        <f>E10</f>
        <v>4175</v>
      </c>
      <c r="F9" s="2412">
        <f aca="true" t="shared" si="0" ref="F9:F15">E9/D9*100</f>
        <v>25.04799616030717</v>
      </c>
      <c r="G9" s="1335">
        <v>6</v>
      </c>
    </row>
    <row r="10" spans="2:7" s="817" customFormat="1" ht="55.5" customHeight="1" thickBot="1" thickTop="1">
      <c r="B10" s="827">
        <v>2310</v>
      </c>
      <c r="C10" s="828" t="s">
        <v>549</v>
      </c>
      <c r="D10" s="832">
        <v>16668</v>
      </c>
      <c r="E10" s="2413">
        <v>4175</v>
      </c>
      <c r="F10" s="2414">
        <f t="shared" si="0"/>
        <v>25.04799616030717</v>
      </c>
      <c r="G10" s="814">
        <f aca="true" t="shared" si="1" ref="G10:G16">F8/D8*100</f>
        <v>0.1502759548854522</v>
      </c>
    </row>
    <row r="11" spans="2:7" s="817" customFormat="1" ht="27" customHeight="1" thickBot="1" thickTop="1">
      <c r="B11" s="810">
        <v>803</v>
      </c>
      <c r="C11" s="2415" t="s">
        <v>146</v>
      </c>
      <c r="D11" s="812">
        <f>D12</f>
        <v>37557</v>
      </c>
      <c r="E11" s="1767">
        <f>E12</f>
        <v>37560</v>
      </c>
      <c r="F11" s="2410">
        <f t="shared" si="0"/>
        <v>100.00798785845515</v>
      </c>
      <c r="G11" s="822">
        <f t="shared" si="1"/>
        <v>0.1502759548854522</v>
      </c>
    </row>
    <row r="12" spans="2:7" s="835" customFormat="1" ht="30" customHeight="1" thickBot="1" thickTop="1">
      <c r="B12" s="818">
        <v>80309</v>
      </c>
      <c r="C12" s="837" t="s">
        <v>904</v>
      </c>
      <c r="D12" s="820">
        <f>SUM(D13:D14)</f>
        <v>37557</v>
      </c>
      <c r="E12" s="2411">
        <f>SUM(E13:E14)</f>
        <v>37560</v>
      </c>
      <c r="F12" s="2412">
        <f t="shared" si="0"/>
        <v>100.00798785845515</v>
      </c>
      <c r="G12" s="831">
        <f t="shared" si="1"/>
        <v>0.1502759548854522</v>
      </c>
    </row>
    <row r="13" spans="2:7" s="817" customFormat="1" ht="85.5" customHeight="1" thickBot="1" thickTop="1">
      <c r="B13" s="881">
        <v>2888</v>
      </c>
      <c r="C13" s="868" t="s">
        <v>550</v>
      </c>
      <c r="D13" s="864">
        <v>28170</v>
      </c>
      <c r="E13" s="2416">
        <v>28170</v>
      </c>
      <c r="F13" s="2417">
        <f t="shared" si="0"/>
        <v>100</v>
      </c>
      <c r="G13" s="814">
        <f t="shared" si="1"/>
        <v>0.26628321713250563</v>
      </c>
    </row>
    <row r="14" spans="2:7" s="835" customFormat="1" ht="82.5" customHeight="1" thickBot="1" thickTop="1">
      <c r="B14" s="860">
        <v>2889</v>
      </c>
      <c r="C14" s="848" t="s">
        <v>550</v>
      </c>
      <c r="D14" s="861">
        <v>9387</v>
      </c>
      <c r="E14" s="2418">
        <v>9390</v>
      </c>
      <c r="F14" s="2419">
        <f t="shared" si="0"/>
        <v>100.03195909236177</v>
      </c>
      <c r="G14" s="822">
        <f t="shared" si="1"/>
        <v>0.26628321713250563</v>
      </c>
    </row>
    <row r="15" spans="2:7" s="817" customFormat="1" ht="28.5" customHeight="1" thickBot="1" thickTop="1">
      <c r="B15" s="2420"/>
      <c r="C15" s="2421" t="s">
        <v>102</v>
      </c>
      <c r="D15" s="2422">
        <f>D8+D11</f>
        <v>54225</v>
      </c>
      <c r="E15" s="2423">
        <f>E8+E11</f>
        <v>41735</v>
      </c>
      <c r="F15" s="2410">
        <f t="shared" si="0"/>
        <v>76.9663439372983</v>
      </c>
      <c r="G15" s="870">
        <f t="shared" si="1"/>
        <v>0.3549875754348598</v>
      </c>
    </row>
    <row r="16" spans="2:7" s="817" customFormat="1" ht="17.25" customHeight="1" thickTop="1">
      <c r="B16" s="2424"/>
      <c r="C16" s="2425"/>
      <c r="D16" s="835"/>
      <c r="E16" s="835"/>
      <c r="F16" s="835"/>
      <c r="G16" s="863">
        <f t="shared" si="1"/>
        <v>1.0656435399207602</v>
      </c>
    </row>
    <row r="17" spans="2:4" s="835" customFormat="1" ht="77.25" customHeight="1">
      <c r="B17" s="817"/>
      <c r="C17" s="817"/>
      <c r="D17" s="817"/>
    </row>
    <row r="18" spans="2:4" s="835" customFormat="1" ht="75.75" customHeight="1">
      <c r="B18" s="817"/>
      <c r="C18" s="817"/>
      <c r="D18" s="817"/>
    </row>
    <row r="19" spans="2:4" s="817" customFormat="1" ht="32.25" customHeight="1">
      <c r="B19" s="835"/>
      <c r="C19" s="835"/>
      <c r="D19" s="835"/>
    </row>
    <row r="20" s="817" customFormat="1" ht="21" customHeight="1"/>
    <row r="21" spans="2:6" s="835" customFormat="1" ht="64.5" customHeight="1">
      <c r="B21" s="889"/>
      <c r="C21" s="768"/>
      <c r="D21" s="769"/>
      <c r="E21" s="770"/>
      <c r="F21" s="770"/>
    </row>
    <row r="22" spans="2:6" s="817" customFormat="1" ht="24" customHeight="1">
      <c r="B22" s="889"/>
      <c r="C22" s="768"/>
      <c r="D22" s="769"/>
      <c r="E22" s="770"/>
      <c r="F22" s="770"/>
    </row>
    <row r="23" spans="5:8" ht="12">
      <c r="E23" s="770"/>
      <c r="G23" s="772"/>
      <c r="H23" s="772"/>
    </row>
    <row r="24" spans="5:7" ht="12">
      <c r="E24" s="770"/>
      <c r="G24" s="891"/>
    </row>
    <row r="25" ht="12">
      <c r="G25" s="891"/>
    </row>
    <row r="26" ht="12">
      <c r="G26" s="891"/>
    </row>
    <row r="27" ht="12">
      <c r="G27" s="891"/>
    </row>
    <row r="28" ht="12">
      <c r="G28" s="891"/>
    </row>
    <row r="29" ht="12">
      <c r="G29" s="891"/>
    </row>
  </sheetData>
  <mergeCells count="3">
    <mergeCell ref="A2:I2"/>
    <mergeCell ref="E3:F3"/>
    <mergeCell ref="D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1"/>
  <sheetViews>
    <sheetView workbookViewId="0" topLeftCell="A1">
      <selection activeCell="E10" sqref="E10"/>
    </sheetView>
  </sheetViews>
  <sheetFormatPr defaultColWidth="9.00390625" defaultRowHeight="12.75"/>
  <cols>
    <col min="1" max="1" width="5.875" style="767" customWidth="1"/>
    <col min="2" max="2" width="30.00390625" style="889" customWidth="1"/>
    <col min="3" max="3" width="10.875" style="768" customWidth="1"/>
    <col min="4" max="4" width="11.25390625" style="769" customWidth="1"/>
    <col min="5" max="5" width="8.00390625" style="770" customWidth="1"/>
    <col min="6" max="7" width="0.12890625" style="771" hidden="1" customWidth="1"/>
    <col min="8" max="8" width="11.25390625" style="772" bestFit="1" customWidth="1"/>
    <col min="9" max="9" width="10.75390625" style="772" customWidth="1"/>
    <col min="10" max="10" width="7.625" style="772" customWidth="1"/>
    <col min="11" max="16384" width="9.125" style="772" customWidth="1"/>
  </cols>
  <sheetData>
    <row r="1" spans="1:10" s="778" customFormat="1" ht="47.25" customHeight="1">
      <c r="A1" s="2999" t="s">
        <v>551</v>
      </c>
      <c r="B1" s="3000"/>
      <c r="C1" s="3000"/>
      <c r="D1" s="3000"/>
      <c r="E1" s="3000"/>
      <c r="F1" s="3000"/>
      <c r="G1" s="3000"/>
      <c r="H1" s="3000"/>
      <c r="I1" s="3000"/>
      <c r="J1" s="3000"/>
    </row>
    <row r="2" spans="1:10" s="778" customFormat="1" ht="15" customHeight="1">
      <c r="A2" s="2400"/>
      <c r="B2" s="940"/>
      <c r="C2" s="940"/>
      <c r="D2" s="940"/>
      <c r="E2" s="940"/>
      <c r="F2" s="940"/>
      <c r="G2" s="940"/>
      <c r="H2" s="940"/>
      <c r="I2" s="2991" t="s">
        <v>328</v>
      </c>
      <c r="J2" s="2991"/>
    </row>
    <row r="3" spans="1:10" ht="15" customHeight="1" thickBot="1">
      <c r="A3" s="779"/>
      <c r="B3" s="780"/>
      <c r="C3" s="781"/>
      <c r="D3" s="782"/>
      <c r="E3" s="783"/>
      <c r="F3" s="784"/>
      <c r="G3" s="787"/>
      <c r="I3" s="3005" t="s">
        <v>68</v>
      </c>
      <c r="J3" s="3005"/>
    </row>
    <row r="4" spans="1:10" ht="19.5" customHeight="1" thickTop="1">
      <c r="A4" s="2426"/>
      <c r="B4" s="3006" t="s">
        <v>290</v>
      </c>
      <c r="C4" s="3002" t="s">
        <v>228</v>
      </c>
      <c r="D4" s="3009"/>
      <c r="E4" s="3009"/>
      <c r="F4" s="3009"/>
      <c r="G4" s="3009"/>
      <c r="H4" s="3009"/>
      <c r="I4" s="3009"/>
      <c r="J4" s="3010"/>
    </row>
    <row r="5" spans="1:10" s="799" customFormat="1" ht="18.75" customHeight="1">
      <c r="A5" s="2427" t="s">
        <v>287</v>
      </c>
      <c r="B5" s="3007"/>
      <c r="C5" s="3011" t="s">
        <v>552</v>
      </c>
      <c r="D5" s="3012"/>
      <c r="E5" s="3013"/>
      <c r="H5" s="3014" t="s">
        <v>553</v>
      </c>
      <c r="I5" s="3015"/>
      <c r="J5" s="3016"/>
    </row>
    <row r="6" spans="1:10" s="807" customFormat="1" ht="27" customHeight="1" thickBot="1">
      <c r="A6" s="800" t="s">
        <v>289</v>
      </c>
      <c r="B6" s="3008"/>
      <c r="C6" s="802" t="s">
        <v>291</v>
      </c>
      <c r="D6" s="803" t="s">
        <v>231</v>
      </c>
      <c r="E6" s="804" t="s">
        <v>548</v>
      </c>
      <c r="H6" s="2428" t="s">
        <v>291</v>
      </c>
      <c r="I6" s="2429" t="s">
        <v>231</v>
      </c>
      <c r="J6" s="2430" t="s">
        <v>548</v>
      </c>
    </row>
    <row r="7" spans="1:10" s="809" customFormat="1" ht="12" customHeight="1" thickBot="1" thickTop="1">
      <c r="A7" s="1331">
        <v>1</v>
      </c>
      <c r="B7" s="1332">
        <v>2</v>
      </c>
      <c r="C7" s="1333">
        <v>3</v>
      </c>
      <c r="D7" s="1334">
        <v>4</v>
      </c>
      <c r="E7" s="1335">
        <v>5</v>
      </c>
      <c r="H7" s="2408">
        <v>6</v>
      </c>
      <c r="I7" s="2431">
        <v>7</v>
      </c>
      <c r="J7" s="2409">
        <v>8</v>
      </c>
    </row>
    <row r="8" spans="1:10" s="809" customFormat="1" ht="25.5" customHeight="1" thickBot="1" thickTop="1">
      <c r="A8" s="810">
        <v>750</v>
      </c>
      <c r="B8" s="811" t="s">
        <v>130</v>
      </c>
      <c r="C8" s="812"/>
      <c r="D8" s="813"/>
      <c r="E8" s="814"/>
      <c r="F8" s="814"/>
      <c r="G8" s="2432"/>
      <c r="H8" s="2433">
        <f>H9</f>
        <v>1168472</v>
      </c>
      <c r="I8" s="653">
        <f>I9</f>
        <v>584238</v>
      </c>
      <c r="J8" s="814">
        <f aca="true" t="shared" si="0" ref="J8:J16">I8/H8*100</f>
        <v>50.00017116370782</v>
      </c>
    </row>
    <row r="9" spans="1:10" s="1404" customFormat="1" ht="18.75" customHeight="1" thickTop="1">
      <c r="A9" s="2434">
        <v>75020</v>
      </c>
      <c r="B9" s="2435" t="s">
        <v>298</v>
      </c>
      <c r="C9" s="820"/>
      <c r="D9" s="821"/>
      <c r="E9" s="822"/>
      <c r="F9" s="822"/>
      <c r="G9" s="2436"/>
      <c r="H9" s="2437">
        <f>H10</f>
        <v>1168472</v>
      </c>
      <c r="I9" s="2438">
        <f>I10</f>
        <v>584238</v>
      </c>
      <c r="J9" s="822">
        <f t="shared" si="0"/>
        <v>50.00017116370782</v>
      </c>
    </row>
    <row r="10" spans="1:10" s="809" customFormat="1" ht="55.5" customHeight="1" thickBot="1">
      <c r="A10" s="2439">
        <v>2320</v>
      </c>
      <c r="B10" s="2440" t="s">
        <v>554</v>
      </c>
      <c r="D10" s="2441"/>
      <c r="E10" s="2442"/>
      <c r="F10" s="2442"/>
      <c r="G10" s="2443"/>
      <c r="H10" s="2444">
        <v>1168472</v>
      </c>
      <c r="I10" s="982">
        <v>584238</v>
      </c>
      <c r="J10" s="831">
        <f t="shared" si="0"/>
        <v>50.00017116370782</v>
      </c>
    </row>
    <row r="11" spans="1:10" s="817" customFormat="1" ht="21.75" customHeight="1" thickBot="1" thickTop="1">
      <c r="A11" s="810">
        <v>852</v>
      </c>
      <c r="B11" s="811" t="s">
        <v>150</v>
      </c>
      <c r="C11" s="812">
        <f>C14</f>
        <v>76200</v>
      </c>
      <c r="D11" s="813">
        <f>D14</f>
        <v>72313</v>
      </c>
      <c r="E11" s="814">
        <f aca="true" t="shared" si="1" ref="E11:E24">D11/C11*100</f>
        <v>94.89895013123359</v>
      </c>
      <c r="H11" s="2445">
        <f>H12+H14</f>
        <v>680560</v>
      </c>
      <c r="I11" s="653">
        <f>I12+I14</f>
        <v>284610</v>
      </c>
      <c r="J11" s="814">
        <f t="shared" si="0"/>
        <v>41.819971787939345</v>
      </c>
    </row>
    <row r="12" spans="1:10" s="817" customFormat="1" ht="19.5" customHeight="1" thickTop="1">
      <c r="A12" s="2434">
        <v>85201</v>
      </c>
      <c r="B12" s="2435" t="s">
        <v>628</v>
      </c>
      <c r="C12" s="820"/>
      <c r="D12" s="821"/>
      <c r="E12" s="822"/>
      <c r="F12" s="2436"/>
      <c r="G12" s="2436"/>
      <c r="H12" s="2437">
        <f>H13</f>
        <v>590560</v>
      </c>
      <c r="I12" s="2438">
        <f>I13</f>
        <v>228468</v>
      </c>
      <c r="J12" s="846">
        <f t="shared" si="0"/>
        <v>38.68667027905717</v>
      </c>
    </row>
    <row r="13" spans="1:10" s="835" customFormat="1" ht="56.25" customHeight="1">
      <c r="A13" s="827">
        <v>2320</v>
      </c>
      <c r="B13" s="2446" t="s">
        <v>554</v>
      </c>
      <c r="C13" s="832"/>
      <c r="D13" s="830"/>
      <c r="E13" s="831"/>
      <c r="H13" s="2447">
        <v>590560</v>
      </c>
      <c r="I13" s="957">
        <v>228468</v>
      </c>
      <c r="J13" s="831">
        <f t="shared" si="0"/>
        <v>38.68667027905717</v>
      </c>
    </row>
    <row r="14" spans="1:10" s="817" customFormat="1" ht="17.25" customHeight="1">
      <c r="A14" s="818">
        <v>85204</v>
      </c>
      <c r="B14" s="2435" t="s">
        <v>555</v>
      </c>
      <c r="C14" s="823">
        <f>C15</f>
        <v>76200</v>
      </c>
      <c r="D14" s="845">
        <f>D15</f>
        <v>72313</v>
      </c>
      <c r="E14" s="846">
        <f t="shared" si="1"/>
        <v>94.89895013123359</v>
      </c>
      <c r="F14" s="2448"/>
      <c r="G14" s="2448"/>
      <c r="H14" s="2449">
        <f>H16</f>
        <v>90000</v>
      </c>
      <c r="I14" s="2450">
        <f>I16</f>
        <v>56142</v>
      </c>
      <c r="J14" s="1483">
        <f t="shared" si="0"/>
        <v>62.38</v>
      </c>
    </row>
    <row r="15" spans="1:10" s="817" customFormat="1" ht="54" customHeight="1">
      <c r="A15" s="827">
        <v>2320</v>
      </c>
      <c r="B15" s="2451" t="s">
        <v>556</v>
      </c>
      <c r="C15" s="864">
        <v>76200</v>
      </c>
      <c r="D15" s="830">
        <v>72313</v>
      </c>
      <c r="E15" s="831">
        <f>D15/C15*100</f>
        <v>94.89895013123359</v>
      </c>
      <c r="H15" s="2452"/>
      <c r="I15" s="674"/>
      <c r="J15" s="844"/>
    </row>
    <row r="16" spans="1:10" s="835" customFormat="1" ht="57.75" customHeight="1" thickBot="1">
      <c r="A16" s="827">
        <v>2320</v>
      </c>
      <c r="B16" s="2453" t="s">
        <v>554</v>
      </c>
      <c r="C16" s="2454"/>
      <c r="D16" s="2455"/>
      <c r="E16" s="2456"/>
      <c r="H16" s="2447">
        <v>90000</v>
      </c>
      <c r="I16" s="957">
        <v>56142</v>
      </c>
      <c r="J16" s="831">
        <f t="shared" si="0"/>
        <v>62.38</v>
      </c>
    </row>
    <row r="17" spans="1:10" s="817" customFormat="1" ht="28.5" customHeight="1" thickBot="1" thickTop="1">
      <c r="A17" s="810">
        <v>854</v>
      </c>
      <c r="B17" s="836" t="s">
        <v>154</v>
      </c>
      <c r="C17" s="812">
        <f>C18</f>
        <v>533224</v>
      </c>
      <c r="D17" s="813">
        <f>D18</f>
        <v>533223</v>
      </c>
      <c r="E17" s="814">
        <f t="shared" si="1"/>
        <v>99.99981246155461</v>
      </c>
      <c r="H17" s="2457"/>
      <c r="I17" s="2458"/>
      <c r="J17" s="2459"/>
    </row>
    <row r="18" spans="1:10" s="817" customFormat="1" ht="17.25" customHeight="1" thickTop="1">
      <c r="A18" s="818">
        <v>85415</v>
      </c>
      <c r="B18" s="837" t="s">
        <v>48</v>
      </c>
      <c r="C18" s="820">
        <f>SUM(C19:C20)</f>
        <v>533224</v>
      </c>
      <c r="D18" s="821">
        <f>SUM(D19:D20)</f>
        <v>533223</v>
      </c>
      <c r="E18" s="822">
        <f t="shared" si="1"/>
        <v>99.99981246155461</v>
      </c>
      <c r="H18" s="2460"/>
      <c r="I18" s="2461"/>
      <c r="J18" s="2462"/>
    </row>
    <row r="19" spans="1:10" s="835" customFormat="1" ht="62.25" customHeight="1">
      <c r="A19" s="881">
        <v>2888</v>
      </c>
      <c r="B19" s="1718" t="s">
        <v>550</v>
      </c>
      <c r="C19" s="864">
        <v>362859</v>
      </c>
      <c r="D19" s="869">
        <v>362858</v>
      </c>
      <c r="E19" s="870">
        <f t="shared" si="1"/>
        <v>99.99972441085932</v>
      </c>
      <c r="H19" s="2463"/>
      <c r="I19" s="2464"/>
      <c r="J19" s="2465"/>
    </row>
    <row r="20" spans="1:10" s="835" customFormat="1" ht="66" customHeight="1" thickBot="1">
      <c r="A20" s="882">
        <v>2889</v>
      </c>
      <c r="B20" s="1698" t="s">
        <v>550</v>
      </c>
      <c r="C20" s="832">
        <v>170365</v>
      </c>
      <c r="D20" s="830">
        <v>170365</v>
      </c>
      <c r="E20" s="831">
        <f t="shared" si="1"/>
        <v>100</v>
      </c>
      <c r="H20" s="2454"/>
      <c r="I20" s="2455"/>
      <c r="J20" s="2466"/>
    </row>
    <row r="21" spans="1:10" s="817" customFormat="1" ht="27.75" customHeight="1" thickBot="1" thickTop="1">
      <c r="A21" s="2467">
        <v>921</v>
      </c>
      <c r="B21" s="2468" t="s">
        <v>158</v>
      </c>
      <c r="C21" s="812">
        <f>C22</f>
        <v>20000</v>
      </c>
      <c r="D21" s="1459">
        <f>D22</f>
        <v>8000</v>
      </c>
      <c r="E21" s="1460">
        <f t="shared" si="1"/>
        <v>40</v>
      </c>
      <c r="H21" s="2457"/>
      <c r="I21" s="2458"/>
      <c r="J21" s="2459"/>
    </row>
    <row r="22" spans="1:10" s="817" customFormat="1" ht="15.75" customHeight="1" thickTop="1">
      <c r="A22" s="2469">
        <v>92116</v>
      </c>
      <c r="B22" s="2470" t="s">
        <v>324</v>
      </c>
      <c r="C22" s="838">
        <f>C23</f>
        <v>20000</v>
      </c>
      <c r="D22" s="1568">
        <f>D23</f>
        <v>8000</v>
      </c>
      <c r="E22" s="844">
        <f t="shared" si="1"/>
        <v>40</v>
      </c>
      <c r="H22" s="2460"/>
      <c r="I22" s="2461"/>
      <c r="J22" s="2462"/>
    </row>
    <row r="23" spans="1:10" s="835" customFormat="1" ht="56.25" customHeight="1" thickBot="1">
      <c r="A23" s="2471">
        <v>2320</v>
      </c>
      <c r="B23" s="828" t="s">
        <v>556</v>
      </c>
      <c r="C23" s="832">
        <v>20000</v>
      </c>
      <c r="D23" s="1514">
        <v>8000</v>
      </c>
      <c r="E23" s="870">
        <f t="shared" si="1"/>
        <v>40</v>
      </c>
      <c r="H23" s="2463"/>
      <c r="I23" s="2464"/>
      <c r="J23" s="2465"/>
    </row>
    <row r="24" spans="1:10" s="817" customFormat="1" ht="19.5" customHeight="1" thickBot="1" thickTop="1">
      <c r="A24" s="2420"/>
      <c r="B24" s="2421" t="s">
        <v>102</v>
      </c>
      <c r="C24" s="2422">
        <f>C11+C17+C21</f>
        <v>629424</v>
      </c>
      <c r="D24" s="2472">
        <f>D11+D17+D21</f>
        <v>613536</v>
      </c>
      <c r="E24" s="814">
        <f t="shared" si="1"/>
        <v>97.47578738656296</v>
      </c>
      <c r="H24" s="2422">
        <f>H11+H17+H21+H8</f>
        <v>1849032</v>
      </c>
      <c r="I24" s="2423">
        <f>I11+I17+I21+I8</f>
        <v>868848</v>
      </c>
      <c r="J24" s="1460">
        <f>I24/H24*100</f>
        <v>46.98934361330686</v>
      </c>
    </row>
    <row r="25" spans="6:7" ht="12.75" thickTop="1">
      <c r="F25" s="772"/>
      <c r="G25" s="772"/>
    </row>
    <row r="26" ht="12">
      <c r="F26" s="891"/>
    </row>
    <row r="27" ht="12">
      <c r="F27" s="891"/>
    </row>
    <row r="28" ht="12">
      <c r="F28" s="891"/>
    </row>
    <row r="29" ht="12">
      <c r="F29" s="891"/>
    </row>
    <row r="30" ht="12">
      <c r="F30" s="891"/>
    </row>
    <row r="31" ht="12">
      <c r="F31" s="891"/>
    </row>
  </sheetData>
  <mergeCells count="7">
    <mergeCell ref="A1:J1"/>
    <mergeCell ref="I2:J2"/>
    <mergeCell ref="I3:J3"/>
    <mergeCell ref="B4:B6"/>
    <mergeCell ref="C4:J4"/>
    <mergeCell ref="C5:E5"/>
    <mergeCell ref="H5:J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34"/>
  <sheetViews>
    <sheetView workbookViewId="0" topLeftCell="A1">
      <selection activeCell="D5" sqref="D5"/>
    </sheetView>
  </sheetViews>
  <sheetFormatPr defaultColWidth="9.00390625" defaultRowHeight="12.75"/>
  <cols>
    <col min="1" max="1" width="48.75390625" style="721" customWidth="1"/>
    <col min="2" max="2" width="17.75390625" style="721" customWidth="1"/>
    <col min="3" max="3" width="16.125" style="721" customWidth="1"/>
    <col min="4" max="16384" width="10.00390625" style="721" customWidth="1"/>
  </cols>
  <sheetData>
    <row r="1" spans="2:3" ht="32.25" customHeight="1">
      <c r="B1" s="722"/>
      <c r="C1" s="723" t="s">
        <v>350</v>
      </c>
    </row>
    <row r="2" spans="2:3" ht="32.25" customHeight="1">
      <c r="B2" s="722"/>
      <c r="C2" s="723"/>
    </row>
    <row r="3" spans="1:3" s="725" customFormat="1" ht="24.75" customHeight="1">
      <c r="A3" s="724" t="s">
        <v>268</v>
      </c>
      <c r="B3" s="724"/>
      <c r="C3" s="724"/>
    </row>
    <row r="4" spans="1:3" s="725" customFormat="1" ht="24.75" customHeight="1">
      <c r="A4" s="724" t="s">
        <v>269</v>
      </c>
      <c r="B4" s="724"/>
      <c r="C4" s="724"/>
    </row>
    <row r="5" spans="1:3" s="725" customFormat="1" ht="23.25" customHeight="1">
      <c r="A5" s="724" t="s">
        <v>557</v>
      </c>
      <c r="B5" s="724"/>
      <c r="C5" s="724"/>
    </row>
    <row r="6" s="726" customFormat="1" ht="38.25" customHeight="1" thickBot="1">
      <c r="C6" s="727" t="s">
        <v>270</v>
      </c>
    </row>
    <row r="7" spans="1:3" s="731" customFormat="1" ht="44.25" customHeight="1" thickBot="1" thickTop="1">
      <c r="A7" s="728" t="s">
        <v>106</v>
      </c>
      <c r="B7" s="729" t="s">
        <v>271</v>
      </c>
      <c r="C7" s="730" t="s">
        <v>272</v>
      </c>
    </row>
    <row r="8" spans="1:3" s="735" customFormat="1" ht="12.75" customHeight="1" thickBot="1" thickTop="1">
      <c r="A8" s="732">
        <v>1</v>
      </c>
      <c r="B8" s="733">
        <v>2</v>
      </c>
      <c r="C8" s="734">
        <v>3</v>
      </c>
    </row>
    <row r="9" spans="1:3" s="739" customFormat="1" ht="13.5" customHeight="1" thickTop="1">
      <c r="A9" s="736"/>
      <c r="B9" s="737"/>
      <c r="C9" s="738"/>
    </row>
    <row r="10" spans="1:3" s="742" customFormat="1" ht="27" customHeight="1">
      <c r="A10" s="740" t="s">
        <v>273</v>
      </c>
      <c r="B10" s="741">
        <v>281438490</v>
      </c>
      <c r="C10" s="2473">
        <v>150754276.8</v>
      </c>
    </row>
    <row r="11" spans="1:3" s="742" customFormat="1" ht="27" customHeight="1">
      <c r="A11" s="740" t="s">
        <v>274</v>
      </c>
      <c r="B11" s="741">
        <f>SUM(B13:B14)</f>
        <v>323466100</v>
      </c>
      <c r="C11" s="2473">
        <f>SUM(C13:C14)</f>
        <v>132106712.66000001</v>
      </c>
    </row>
    <row r="12" spans="1:3" s="742" customFormat="1" ht="16.5" customHeight="1">
      <c r="A12" s="743" t="s">
        <v>275</v>
      </c>
      <c r="B12" s="741"/>
      <c r="C12" s="2473"/>
    </row>
    <row r="13" spans="1:3" s="747" customFormat="1" ht="19.5" customHeight="1">
      <c r="A13" s="744" t="s">
        <v>276</v>
      </c>
      <c r="B13" s="745">
        <v>247943628</v>
      </c>
      <c r="C13" s="2474">
        <v>117975577.76</v>
      </c>
    </row>
    <row r="14" spans="1:3" s="747" customFormat="1" ht="19.5" customHeight="1">
      <c r="A14" s="744" t="s">
        <v>277</v>
      </c>
      <c r="B14" s="745">
        <v>75522472</v>
      </c>
      <c r="C14" s="2474">
        <v>14131134.9</v>
      </c>
    </row>
    <row r="15" spans="1:3" s="750" customFormat="1" ht="28.5" customHeight="1">
      <c r="A15" s="748" t="s">
        <v>278</v>
      </c>
      <c r="B15" s="749">
        <f>B10-B11</f>
        <v>-42027610</v>
      </c>
      <c r="C15" s="2475">
        <f>C10-C11</f>
        <v>18647564.14</v>
      </c>
    </row>
    <row r="16" spans="1:3" s="742" customFormat="1" ht="44.25" customHeight="1">
      <c r="A16" s="740" t="s">
        <v>279</v>
      </c>
      <c r="B16" s="741">
        <f>B17-B21</f>
        <v>42027610</v>
      </c>
      <c r="C16" s="751"/>
    </row>
    <row r="17" spans="1:3" s="754" customFormat="1" ht="22.5" customHeight="1">
      <c r="A17" s="743" t="s">
        <v>280</v>
      </c>
      <c r="B17" s="752">
        <f>SUM(B19:B20)</f>
        <v>63210935</v>
      </c>
      <c r="C17" s="753"/>
    </row>
    <row r="18" spans="1:3" s="754" customFormat="1" ht="22.5" customHeight="1">
      <c r="A18" s="743" t="s">
        <v>275</v>
      </c>
      <c r="B18" s="752"/>
      <c r="C18" s="755"/>
    </row>
    <row r="19" spans="1:3" s="747" customFormat="1" ht="18.75" customHeight="1">
      <c r="A19" s="744" t="s">
        <v>281</v>
      </c>
      <c r="B19" s="745">
        <v>30645380</v>
      </c>
      <c r="C19" s="746"/>
    </row>
    <row r="20" spans="1:6" s="747" customFormat="1" ht="18.75" customHeight="1">
      <c r="A20" s="744" t="s">
        <v>282</v>
      </c>
      <c r="B20" s="745">
        <v>32565555</v>
      </c>
      <c r="C20" s="746"/>
      <c r="D20" s="756"/>
      <c r="E20" s="756"/>
      <c r="F20" s="756"/>
    </row>
    <row r="21" spans="1:4" s="747" customFormat="1" ht="21" customHeight="1">
      <c r="A21" s="743" t="s">
        <v>283</v>
      </c>
      <c r="B21" s="745">
        <f>SUM(B23:B24)</f>
        <v>21183325</v>
      </c>
      <c r="C21" s="757"/>
      <c r="D21" s="756"/>
    </row>
    <row r="22" spans="1:3" s="754" customFormat="1" ht="22.5" customHeight="1">
      <c r="A22" s="743" t="s">
        <v>275</v>
      </c>
      <c r="B22" s="752"/>
      <c r="C22" s="755"/>
    </row>
    <row r="23" spans="1:3" s="747" customFormat="1" ht="26.25" customHeight="1">
      <c r="A23" s="744" t="s">
        <v>284</v>
      </c>
      <c r="B23" s="745">
        <v>21183325</v>
      </c>
      <c r="C23" s="746"/>
    </row>
    <row r="24" spans="1:4" s="747" customFormat="1" ht="26.25" customHeight="1" thickBot="1">
      <c r="A24" s="758" t="s">
        <v>285</v>
      </c>
      <c r="B24" s="759">
        <v>0</v>
      </c>
      <c r="C24" s="760"/>
      <c r="D24" s="756"/>
    </row>
    <row r="25" spans="1:3" ht="18" thickTop="1">
      <c r="A25" s="761"/>
      <c r="B25" s="762"/>
      <c r="C25" s="763"/>
    </row>
    <row r="26" spans="1:3" ht="12.75">
      <c r="A26" s="764"/>
      <c r="C26" s="765"/>
    </row>
    <row r="27" spans="1:3" ht="12.75">
      <c r="A27" s="764"/>
      <c r="C27" s="765"/>
    </row>
    <row r="28" ht="12.75">
      <c r="A28" s="764"/>
    </row>
    <row r="29" ht="12.75">
      <c r="A29" s="764"/>
    </row>
    <row r="30" ht="12.75">
      <c r="A30" s="764"/>
    </row>
    <row r="31" ht="12.75">
      <c r="A31" s="764"/>
    </row>
    <row r="32" ht="12.75">
      <c r="A32" s="764"/>
    </row>
    <row r="33" ht="12.75">
      <c r="A33" s="764"/>
    </row>
    <row r="34" ht="12.75">
      <c r="A34" s="764"/>
    </row>
  </sheetData>
  <printOptions horizontalCentered="1"/>
  <pageMargins left="0" right="0" top="0.984251968503937" bottom="0.984251968503937" header="0.5118110236220472" footer="0.5118110236220472"/>
  <pageSetup firstPageNumber="56" useFirstPageNumber="1" horizontalDpi="600" verticalDpi="600" orientation="portrait" paperSize="9" r:id="rId1"/>
  <headerFooter alignWithMargins="0">
    <oddHeader>&amp;C &amp;"Times New Roman,Normalny"&amp;P</oddHeader>
  </headerFooter>
</worksheet>
</file>

<file path=xl/worksheets/sheet13.xml><?xml version="1.0" encoding="utf-8"?>
<worksheet xmlns="http://schemas.openxmlformats.org/spreadsheetml/2006/main" xmlns:r="http://schemas.openxmlformats.org/officeDocument/2006/relationships">
  <dimension ref="A1:K87"/>
  <sheetViews>
    <sheetView workbookViewId="0" topLeftCell="A1">
      <selection activeCell="G6" sqref="G6"/>
    </sheetView>
  </sheetViews>
  <sheetFormatPr defaultColWidth="9.00390625" defaultRowHeight="12.75"/>
  <cols>
    <col min="1" max="1" width="5.875" style="767" customWidth="1"/>
    <col min="2" max="2" width="26.125" style="889" customWidth="1"/>
    <col min="3" max="3" width="9.875" style="768" customWidth="1"/>
    <col min="4" max="4" width="10.75390625" style="769" customWidth="1"/>
    <col min="5" max="5" width="6.875" style="770" customWidth="1"/>
    <col min="6" max="6" width="9.75390625" style="769" customWidth="1"/>
    <col min="7" max="7" width="9.875" style="769" bestFit="1" customWidth="1"/>
    <col min="8" max="8" width="0.12890625" style="771" hidden="1" customWidth="1"/>
    <col min="9" max="9" width="9.75390625" style="769" customWidth="1"/>
    <col min="10" max="10" width="10.125" style="769" customWidth="1"/>
    <col min="11" max="11" width="0.12890625" style="771" hidden="1" customWidth="1"/>
    <col min="12" max="12" width="11.25390625" style="772" bestFit="1" customWidth="1"/>
    <col min="13" max="16384" width="9.125" style="772" customWidth="1"/>
  </cols>
  <sheetData>
    <row r="1" spans="1:11" s="778" customFormat="1" ht="44.25" customHeight="1">
      <c r="A1" s="773" t="s">
        <v>558</v>
      </c>
      <c r="B1" s="774"/>
      <c r="C1" s="775"/>
      <c r="D1" s="775"/>
      <c r="E1" s="776"/>
      <c r="F1" s="775"/>
      <c r="G1" s="775"/>
      <c r="H1" s="777"/>
      <c r="I1" s="775"/>
      <c r="J1" s="775"/>
      <c r="K1" s="777"/>
    </row>
    <row r="2" spans="1:11" s="778" customFormat="1" ht="23.25" customHeight="1">
      <c r="A2" s="773"/>
      <c r="B2" s="774"/>
      <c r="C2" s="775"/>
      <c r="D2" s="775"/>
      <c r="E2" s="776"/>
      <c r="F2" s="775"/>
      <c r="G2" s="775"/>
      <c r="H2" s="777"/>
      <c r="I2" s="2991" t="s">
        <v>362</v>
      </c>
      <c r="J2" s="2992"/>
      <c r="K2" s="777"/>
    </row>
    <row r="3" spans="1:11" ht="15.75" customHeight="1" thickBot="1">
      <c r="A3" s="779"/>
      <c r="B3" s="780"/>
      <c r="C3" s="781"/>
      <c r="D3" s="782"/>
      <c r="E3" s="783"/>
      <c r="F3" s="782"/>
      <c r="G3" s="782"/>
      <c r="H3" s="784"/>
      <c r="I3" s="785"/>
      <c r="J3" s="786" t="s">
        <v>68</v>
      </c>
      <c r="K3" s="787"/>
    </row>
    <row r="4" spans="1:11" s="799" customFormat="1" ht="23.25" customHeight="1" thickTop="1">
      <c r="A4" s="788" t="s">
        <v>287</v>
      </c>
      <c r="B4" s="789"/>
      <c r="C4" s="790" t="s">
        <v>102</v>
      </c>
      <c r="D4" s="791"/>
      <c r="E4" s="792"/>
      <c r="F4" s="793" t="s">
        <v>103</v>
      </c>
      <c r="G4" s="794"/>
      <c r="H4" s="795"/>
      <c r="I4" s="796" t="s">
        <v>288</v>
      </c>
      <c r="J4" s="797"/>
      <c r="K4" s="798"/>
    </row>
    <row r="5" spans="1:11" s="807" customFormat="1" ht="27" customHeight="1" thickBot="1">
      <c r="A5" s="800" t="s">
        <v>289</v>
      </c>
      <c r="B5" s="801" t="s">
        <v>290</v>
      </c>
      <c r="C5" s="802" t="s">
        <v>291</v>
      </c>
      <c r="D5" s="803" t="s">
        <v>231</v>
      </c>
      <c r="E5" s="804" t="s">
        <v>292</v>
      </c>
      <c r="F5" s="802" t="s">
        <v>291</v>
      </c>
      <c r="G5" s="805" t="s">
        <v>231</v>
      </c>
      <c r="H5" s="804" t="s">
        <v>293</v>
      </c>
      <c r="I5" s="802" t="s">
        <v>291</v>
      </c>
      <c r="J5" s="805" t="s">
        <v>231</v>
      </c>
      <c r="K5" s="806" t="s">
        <v>294</v>
      </c>
    </row>
    <row r="6" spans="1:11" s="809" customFormat="1" ht="12" customHeight="1" thickBot="1" thickTop="1">
      <c r="A6" s="1331">
        <v>1</v>
      </c>
      <c r="B6" s="1332">
        <v>2</v>
      </c>
      <c r="C6" s="1333">
        <v>4</v>
      </c>
      <c r="D6" s="1334">
        <v>5</v>
      </c>
      <c r="E6" s="1335">
        <v>6</v>
      </c>
      <c r="F6" s="1333">
        <v>7</v>
      </c>
      <c r="G6" s="1335">
        <v>8</v>
      </c>
      <c r="H6" s="1335">
        <v>9</v>
      </c>
      <c r="I6" s="1333">
        <v>9</v>
      </c>
      <c r="J6" s="1335">
        <v>10</v>
      </c>
      <c r="K6" s="808">
        <v>15</v>
      </c>
    </row>
    <row r="7" spans="1:11" s="817" customFormat="1" ht="16.5" customHeight="1" thickBot="1" thickTop="1">
      <c r="A7" s="810">
        <v>630</v>
      </c>
      <c r="B7" s="811" t="s">
        <v>123</v>
      </c>
      <c r="C7" s="812">
        <f aca="true" t="shared" si="0" ref="C7:D22">F7+I7</f>
        <v>14000</v>
      </c>
      <c r="D7" s="813">
        <f t="shared" si="0"/>
        <v>5000</v>
      </c>
      <c r="E7" s="814">
        <f>D7/C7*100</f>
        <v>35.714285714285715</v>
      </c>
      <c r="F7" s="812">
        <f>F8</f>
        <v>14000</v>
      </c>
      <c r="G7" s="815">
        <f>G8</f>
        <v>5000</v>
      </c>
      <c r="H7" s="814">
        <f>G7/F7*100</f>
        <v>35.714285714285715</v>
      </c>
      <c r="I7" s="812"/>
      <c r="J7" s="815"/>
      <c r="K7" s="816"/>
    </row>
    <row r="8" spans="1:11" s="817" customFormat="1" ht="27" customHeight="1" thickTop="1">
      <c r="A8" s="818">
        <v>63003</v>
      </c>
      <c r="B8" s="819" t="s">
        <v>295</v>
      </c>
      <c r="C8" s="820">
        <f t="shared" si="0"/>
        <v>14000</v>
      </c>
      <c r="D8" s="821">
        <f t="shared" si="0"/>
        <v>5000</v>
      </c>
      <c r="E8" s="822">
        <f>D8/C8*100</f>
        <v>35.714285714285715</v>
      </c>
      <c r="F8" s="823">
        <f>SUM(F9:F9)</f>
        <v>14000</v>
      </c>
      <c r="G8" s="824">
        <f>SUM(G9:G9)</f>
        <v>5000</v>
      </c>
      <c r="H8" s="825">
        <f>G8/F8*100</f>
        <v>35.714285714285715</v>
      </c>
      <c r="I8" s="823"/>
      <c r="J8" s="824"/>
      <c r="K8" s="826"/>
    </row>
    <row r="9" spans="1:11" s="835" customFormat="1" ht="73.5" customHeight="1" thickBot="1">
      <c r="A9" s="827">
        <v>2820</v>
      </c>
      <c r="B9" s="828" t="s">
        <v>559</v>
      </c>
      <c r="C9" s="829">
        <f t="shared" si="0"/>
        <v>14000</v>
      </c>
      <c r="D9" s="830">
        <f t="shared" si="0"/>
        <v>5000</v>
      </c>
      <c r="E9" s="831">
        <f>D9/C9*100</f>
        <v>35.714285714285715</v>
      </c>
      <c r="F9" s="832">
        <v>14000</v>
      </c>
      <c r="G9" s="833">
        <v>5000</v>
      </c>
      <c r="H9" s="831">
        <f>G9/F9*100</f>
        <v>35.714285714285715</v>
      </c>
      <c r="I9" s="832"/>
      <c r="J9" s="833"/>
      <c r="K9" s="834"/>
    </row>
    <row r="10" spans="1:11" s="817" customFormat="1" ht="27" customHeight="1" thickBot="1" thickTop="1">
      <c r="A10" s="810">
        <v>750</v>
      </c>
      <c r="B10" s="836" t="s">
        <v>130</v>
      </c>
      <c r="C10" s="812">
        <f t="shared" si="0"/>
        <v>1765472</v>
      </c>
      <c r="D10" s="813">
        <f t="shared" si="0"/>
        <v>915238</v>
      </c>
      <c r="E10" s="814">
        <f aca="true" t="shared" si="1" ref="E10:E73">D10/C10*100</f>
        <v>51.840980768882204</v>
      </c>
      <c r="F10" s="812">
        <f>F13+F11</f>
        <v>597000</v>
      </c>
      <c r="G10" s="815">
        <f>G13+G11</f>
        <v>331000</v>
      </c>
      <c r="H10" s="814">
        <f aca="true" t="shared" si="2" ref="H10:H27">G10/F10*100</f>
        <v>55.44388609715243</v>
      </c>
      <c r="I10" s="812">
        <f>I11+I13</f>
        <v>1168472</v>
      </c>
      <c r="J10" s="815">
        <f>J11+J13</f>
        <v>584238</v>
      </c>
      <c r="K10" s="814"/>
    </row>
    <row r="11" spans="1:11" s="817" customFormat="1" ht="15.75" customHeight="1" thickTop="1">
      <c r="A11" s="841">
        <v>75020</v>
      </c>
      <c r="B11" s="842" t="s">
        <v>298</v>
      </c>
      <c r="C11" s="838">
        <f>F11+I11</f>
        <v>1168472</v>
      </c>
      <c r="D11" s="843">
        <f>G11+J11</f>
        <v>584238</v>
      </c>
      <c r="E11" s="825">
        <f>D11/C11*100</f>
        <v>50.00017116370782</v>
      </c>
      <c r="F11" s="838"/>
      <c r="G11" s="839"/>
      <c r="H11" s="825"/>
      <c r="I11" s="838">
        <f>I12</f>
        <v>1168472</v>
      </c>
      <c r="J11" s="839">
        <f>J12</f>
        <v>584238</v>
      </c>
      <c r="K11" s="844"/>
    </row>
    <row r="12" spans="1:11" s="835" customFormat="1" ht="87.75">
      <c r="A12" s="827">
        <v>2320</v>
      </c>
      <c r="B12" s="840" t="s">
        <v>907</v>
      </c>
      <c r="C12" s="832">
        <f>F12+I12</f>
        <v>1168472</v>
      </c>
      <c r="D12" s="830">
        <f>G12+J12</f>
        <v>584238</v>
      </c>
      <c r="E12" s="831">
        <f>D12/C12*100</f>
        <v>50.00017116370782</v>
      </c>
      <c r="F12" s="832"/>
      <c r="G12" s="833"/>
      <c r="H12" s="831"/>
      <c r="I12" s="832">
        <v>1168472</v>
      </c>
      <c r="J12" s="833">
        <v>584238</v>
      </c>
      <c r="K12" s="831"/>
    </row>
    <row r="13" spans="1:11" s="817" customFormat="1" ht="16.5" customHeight="1">
      <c r="A13" s="818">
        <v>75095</v>
      </c>
      <c r="B13" s="837" t="s">
        <v>299</v>
      </c>
      <c r="C13" s="823">
        <f t="shared" si="0"/>
        <v>597000</v>
      </c>
      <c r="D13" s="845">
        <f t="shared" si="0"/>
        <v>331000</v>
      </c>
      <c r="E13" s="846">
        <f t="shared" si="1"/>
        <v>55.44388609715243</v>
      </c>
      <c r="F13" s="823">
        <f>SUM(F14:F15)</f>
        <v>597000</v>
      </c>
      <c r="G13" s="824">
        <f>SUM(G14:G15)</f>
        <v>331000</v>
      </c>
      <c r="H13" s="846">
        <f t="shared" si="2"/>
        <v>55.44388609715243</v>
      </c>
      <c r="I13" s="823"/>
      <c r="J13" s="824"/>
      <c r="K13" s="826"/>
    </row>
    <row r="14" spans="1:11" s="835" customFormat="1" ht="63.75">
      <c r="A14" s="827">
        <v>2810</v>
      </c>
      <c r="B14" s="840" t="s">
        <v>908</v>
      </c>
      <c r="C14" s="832">
        <f t="shared" si="0"/>
        <v>497000</v>
      </c>
      <c r="D14" s="830">
        <f t="shared" si="0"/>
        <v>231000</v>
      </c>
      <c r="E14" s="831">
        <f t="shared" si="1"/>
        <v>46.478873239436616</v>
      </c>
      <c r="F14" s="832">
        <v>497000</v>
      </c>
      <c r="G14" s="833">
        <v>231000</v>
      </c>
      <c r="H14" s="831">
        <f t="shared" si="2"/>
        <v>46.478873239436616</v>
      </c>
      <c r="I14" s="832"/>
      <c r="J14" s="833"/>
      <c r="K14" s="834"/>
    </row>
    <row r="15" spans="1:11" s="835" customFormat="1" ht="64.5" thickBot="1">
      <c r="A15" s="827">
        <v>2819</v>
      </c>
      <c r="B15" s="840" t="s">
        <v>908</v>
      </c>
      <c r="C15" s="832">
        <f t="shared" si="0"/>
        <v>100000</v>
      </c>
      <c r="D15" s="830">
        <f t="shared" si="0"/>
        <v>100000</v>
      </c>
      <c r="E15" s="831">
        <f t="shared" si="1"/>
        <v>100</v>
      </c>
      <c r="F15" s="832">
        <v>100000</v>
      </c>
      <c r="G15" s="833">
        <v>100000</v>
      </c>
      <c r="H15" s="831"/>
      <c r="I15" s="832"/>
      <c r="J15" s="833"/>
      <c r="K15" s="834"/>
    </row>
    <row r="16" spans="1:11" s="817" customFormat="1" ht="39" customHeight="1" thickBot="1" thickTop="1">
      <c r="A16" s="810">
        <v>754</v>
      </c>
      <c r="B16" s="836" t="s">
        <v>136</v>
      </c>
      <c r="C16" s="812">
        <f t="shared" si="0"/>
        <v>10000</v>
      </c>
      <c r="D16" s="813">
        <f t="shared" si="0"/>
        <v>5000</v>
      </c>
      <c r="E16" s="814">
        <f t="shared" si="1"/>
        <v>50</v>
      </c>
      <c r="F16" s="812">
        <f>SUM(F17)</f>
        <v>10000</v>
      </c>
      <c r="G16" s="815">
        <f>SUM(G17)</f>
        <v>5000</v>
      </c>
      <c r="H16" s="814">
        <f t="shared" si="2"/>
        <v>50</v>
      </c>
      <c r="I16" s="812"/>
      <c r="J16" s="815"/>
      <c r="K16" s="814"/>
    </row>
    <row r="17" spans="1:11" s="817" customFormat="1" ht="12.75" customHeight="1" thickTop="1">
      <c r="A17" s="818">
        <v>75412</v>
      </c>
      <c r="B17" s="837" t="s">
        <v>300</v>
      </c>
      <c r="C17" s="823">
        <f t="shared" si="0"/>
        <v>10000</v>
      </c>
      <c r="D17" s="845">
        <f t="shared" si="0"/>
        <v>5000</v>
      </c>
      <c r="E17" s="846">
        <f t="shared" si="1"/>
        <v>50</v>
      </c>
      <c r="F17" s="823">
        <f>SUM(F18)</f>
        <v>10000</v>
      </c>
      <c r="G17" s="824">
        <f>SUM(G18)</f>
        <v>5000</v>
      </c>
      <c r="H17" s="846">
        <f t="shared" si="2"/>
        <v>50</v>
      </c>
      <c r="I17" s="823"/>
      <c r="J17" s="824"/>
      <c r="K17" s="826"/>
    </row>
    <row r="18" spans="1:11" s="835" customFormat="1" ht="75" customHeight="1" thickBot="1">
      <c r="A18" s="847">
        <v>2820</v>
      </c>
      <c r="B18" s="848" t="s">
        <v>909</v>
      </c>
      <c r="C18" s="832">
        <f t="shared" si="0"/>
        <v>10000</v>
      </c>
      <c r="D18" s="830">
        <f t="shared" si="0"/>
        <v>5000</v>
      </c>
      <c r="E18" s="831">
        <f t="shared" si="1"/>
        <v>50</v>
      </c>
      <c r="F18" s="849">
        <v>10000</v>
      </c>
      <c r="G18" s="850">
        <v>5000</v>
      </c>
      <c r="H18" s="831">
        <f t="shared" si="2"/>
        <v>50</v>
      </c>
      <c r="I18" s="849"/>
      <c r="J18" s="850"/>
      <c r="K18" s="851"/>
    </row>
    <row r="19" spans="1:11" s="817" customFormat="1" ht="16.5" customHeight="1" thickBot="1" thickTop="1">
      <c r="A19" s="810">
        <v>801</v>
      </c>
      <c r="B19" s="836" t="s">
        <v>144</v>
      </c>
      <c r="C19" s="812">
        <f t="shared" si="0"/>
        <v>14051019</v>
      </c>
      <c r="D19" s="813">
        <f t="shared" si="0"/>
        <v>7786301</v>
      </c>
      <c r="E19" s="814">
        <f t="shared" si="1"/>
        <v>55.41449342570813</v>
      </c>
      <c r="F19" s="812">
        <f>F20+F22+F24+F26+F28+F30+F32+F34</f>
        <v>11080130</v>
      </c>
      <c r="G19" s="815">
        <f>G20+G22+G24+G26+G28+G30+G32+G34</f>
        <v>6235939</v>
      </c>
      <c r="H19" s="814">
        <f t="shared" si="2"/>
        <v>56.28037757679738</v>
      </c>
      <c r="I19" s="812">
        <f>I20+I22+I24+I26+I28+I30+I32+I34</f>
        <v>2970889</v>
      </c>
      <c r="J19" s="815">
        <f>J20+J22+J24+J26+J28+J30+J32+J34</f>
        <v>1550362</v>
      </c>
      <c r="K19" s="852">
        <f>J19/I19*100</f>
        <v>52.18512034613209</v>
      </c>
    </row>
    <row r="20" spans="1:11" s="817" customFormat="1" ht="17.25" customHeight="1" thickTop="1">
      <c r="A20" s="818">
        <v>80101</v>
      </c>
      <c r="B20" s="837" t="s">
        <v>301</v>
      </c>
      <c r="C20" s="820">
        <f t="shared" si="0"/>
        <v>636351</v>
      </c>
      <c r="D20" s="821">
        <f t="shared" si="0"/>
        <v>295528</v>
      </c>
      <c r="E20" s="822">
        <f t="shared" si="1"/>
        <v>46.44103647200994</v>
      </c>
      <c r="F20" s="823">
        <f>SUM(F21:F21)</f>
        <v>636351</v>
      </c>
      <c r="G20" s="824">
        <f>SUM(G21:G21)</f>
        <v>295528</v>
      </c>
      <c r="H20" s="822">
        <f t="shared" si="2"/>
        <v>46.44103647200994</v>
      </c>
      <c r="I20" s="823"/>
      <c r="J20" s="824"/>
      <c r="K20" s="826"/>
    </row>
    <row r="21" spans="1:11" s="835" customFormat="1" ht="39.75" customHeight="1">
      <c r="A21" s="853">
        <v>2540</v>
      </c>
      <c r="B21" s="854" t="s">
        <v>867</v>
      </c>
      <c r="C21" s="855">
        <f t="shared" si="0"/>
        <v>636351</v>
      </c>
      <c r="D21" s="856">
        <f t="shared" si="0"/>
        <v>295528</v>
      </c>
      <c r="E21" s="857">
        <f t="shared" si="1"/>
        <v>46.44103647200994</v>
      </c>
      <c r="F21" s="855">
        <v>636351</v>
      </c>
      <c r="G21" s="858">
        <v>295528</v>
      </c>
      <c r="H21" s="857">
        <f t="shared" si="2"/>
        <v>46.44103647200994</v>
      </c>
      <c r="I21" s="855"/>
      <c r="J21" s="858"/>
      <c r="K21" s="834"/>
    </row>
    <row r="22" spans="1:11" s="817" customFormat="1" ht="27" customHeight="1">
      <c r="A22" s="859">
        <v>80103</v>
      </c>
      <c r="B22" s="837" t="s">
        <v>302</v>
      </c>
      <c r="C22" s="823">
        <f t="shared" si="0"/>
        <v>70776</v>
      </c>
      <c r="D22" s="845">
        <f t="shared" si="0"/>
        <v>34317</v>
      </c>
      <c r="E22" s="846">
        <f t="shared" si="1"/>
        <v>48.48677517802645</v>
      </c>
      <c r="F22" s="823">
        <f>SUM(F23:F23)</f>
        <v>70776</v>
      </c>
      <c r="G22" s="824">
        <f>SUM(G23:G23)</f>
        <v>34317</v>
      </c>
      <c r="H22" s="846">
        <f t="shared" si="2"/>
        <v>48.48677517802645</v>
      </c>
      <c r="I22" s="823"/>
      <c r="J22" s="824"/>
      <c r="K22" s="826"/>
    </row>
    <row r="23" spans="1:11" s="835" customFormat="1" ht="37.5" customHeight="1">
      <c r="A23" s="2476">
        <v>2540</v>
      </c>
      <c r="B23" s="854" t="s">
        <v>867</v>
      </c>
      <c r="C23" s="855">
        <f aca="true" t="shared" si="3" ref="C23:D52">F23+I23</f>
        <v>70776</v>
      </c>
      <c r="D23" s="856">
        <f t="shared" si="3"/>
        <v>34317</v>
      </c>
      <c r="E23" s="857">
        <f t="shared" si="1"/>
        <v>48.48677517802645</v>
      </c>
      <c r="F23" s="855">
        <v>70776</v>
      </c>
      <c r="G23" s="858">
        <v>34317</v>
      </c>
      <c r="H23" s="857">
        <f t="shared" si="2"/>
        <v>48.48677517802645</v>
      </c>
      <c r="I23" s="855"/>
      <c r="J23" s="858"/>
      <c r="K23" s="834"/>
    </row>
    <row r="24" spans="1:11" s="817" customFormat="1" ht="16.5" customHeight="1">
      <c r="A24" s="859">
        <v>80104</v>
      </c>
      <c r="B24" s="837" t="s">
        <v>303</v>
      </c>
      <c r="C24" s="823">
        <f>F24+I24</f>
        <v>9976600</v>
      </c>
      <c r="D24" s="845">
        <f>G24+J24</f>
        <v>5691400</v>
      </c>
      <c r="E24" s="846">
        <f>D24/C24*100</f>
        <v>57.047491129242424</v>
      </c>
      <c r="F24" s="823">
        <f>F25</f>
        <v>9976600</v>
      </c>
      <c r="G24" s="824">
        <f>G25</f>
        <v>5691400</v>
      </c>
      <c r="H24" s="846">
        <f>G24/F24*100</f>
        <v>57.047491129242424</v>
      </c>
      <c r="I24" s="823"/>
      <c r="J24" s="824"/>
      <c r="K24" s="826"/>
    </row>
    <row r="25" spans="1:11" s="817" customFormat="1" ht="27" customHeight="1">
      <c r="A25" s="867">
        <v>2510</v>
      </c>
      <c r="B25" s="868" t="s">
        <v>297</v>
      </c>
      <c r="C25" s="864">
        <f>F25+I25</f>
        <v>9976600</v>
      </c>
      <c r="D25" s="869">
        <f>G25+J25</f>
        <v>5691400</v>
      </c>
      <c r="E25" s="870">
        <f>D25/C25*100</f>
        <v>57.047491129242424</v>
      </c>
      <c r="F25" s="864">
        <v>9976600</v>
      </c>
      <c r="G25" s="865">
        <v>5691400</v>
      </c>
      <c r="H25" s="870">
        <f>G25/F25*100</f>
        <v>57.047491129242424</v>
      </c>
      <c r="I25" s="864"/>
      <c r="J25" s="865"/>
      <c r="K25" s="834"/>
    </row>
    <row r="26" spans="1:11" s="817" customFormat="1" ht="15" customHeight="1">
      <c r="A26" s="818">
        <v>80110</v>
      </c>
      <c r="B26" s="837" t="s">
        <v>304</v>
      </c>
      <c r="C26" s="823">
        <f t="shared" si="3"/>
        <v>287203</v>
      </c>
      <c r="D26" s="845">
        <f t="shared" si="3"/>
        <v>137994</v>
      </c>
      <c r="E26" s="846">
        <f t="shared" si="1"/>
        <v>48.04754824984418</v>
      </c>
      <c r="F26" s="823">
        <f>SUM(F27:F27)</f>
        <v>287203</v>
      </c>
      <c r="G26" s="824">
        <f>SUM(G27:G27)</f>
        <v>137994</v>
      </c>
      <c r="H26" s="846">
        <f t="shared" si="2"/>
        <v>48.04754824984418</v>
      </c>
      <c r="I26" s="823"/>
      <c r="J26" s="824"/>
      <c r="K26" s="826"/>
    </row>
    <row r="27" spans="1:11" s="817" customFormat="1" ht="40.5" customHeight="1">
      <c r="A27" s="827">
        <v>2540</v>
      </c>
      <c r="B27" s="854" t="s">
        <v>867</v>
      </c>
      <c r="C27" s="832">
        <f t="shared" si="3"/>
        <v>287203</v>
      </c>
      <c r="D27" s="830">
        <f t="shared" si="3"/>
        <v>137994</v>
      </c>
      <c r="E27" s="831">
        <f t="shared" si="1"/>
        <v>48.04754824984418</v>
      </c>
      <c r="F27" s="832">
        <v>287203</v>
      </c>
      <c r="G27" s="833">
        <v>137994</v>
      </c>
      <c r="H27" s="831">
        <f t="shared" si="2"/>
        <v>48.04754824984418</v>
      </c>
      <c r="I27" s="832"/>
      <c r="J27" s="833"/>
      <c r="K27" s="834"/>
    </row>
    <row r="28" spans="1:11" s="871" customFormat="1" ht="15" customHeight="1">
      <c r="A28" s="818">
        <v>80120</v>
      </c>
      <c r="B28" s="837" t="s">
        <v>305</v>
      </c>
      <c r="C28" s="823">
        <f t="shared" si="3"/>
        <v>1486385</v>
      </c>
      <c r="D28" s="845">
        <f t="shared" si="3"/>
        <v>738016</v>
      </c>
      <c r="E28" s="846">
        <f t="shared" si="1"/>
        <v>49.65173895054108</v>
      </c>
      <c r="F28" s="823"/>
      <c r="G28" s="824"/>
      <c r="H28" s="826"/>
      <c r="I28" s="823">
        <f>SUM(I29:I29)</f>
        <v>1486385</v>
      </c>
      <c r="J28" s="824">
        <f>SUM(J29:J29)</f>
        <v>738016</v>
      </c>
      <c r="K28" s="846">
        <f>J28/I28*100</f>
        <v>49.65173895054108</v>
      </c>
    </row>
    <row r="29" spans="1:11" s="872" customFormat="1" ht="38.25" customHeight="1">
      <c r="A29" s="827">
        <v>2540</v>
      </c>
      <c r="B29" s="854" t="s">
        <v>867</v>
      </c>
      <c r="C29" s="832">
        <f t="shared" si="3"/>
        <v>1486385</v>
      </c>
      <c r="D29" s="830">
        <f t="shared" si="3"/>
        <v>738016</v>
      </c>
      <c r="E29" s="831">
        <f t="shared" si="1"/>
        <v>49.65173895054108</v>
      </c>
      <c r="F29" s="832"/>
      <c r="G29" s="833"/>
      <c r="H29" s="834"/>
      <c r="I29" s="832">
        <v>1486385</v>
      </c>
      <c r="J29" s="833">
        <v>738016</v>
      </c>
      <c r="K29" s="831">
        <f>J29/I29*100</f>
        <v>49.65173895054108</v>
      </c>
    </row>
    <row r="30" spans="1:11" s="873" customFormat="1" ht="14.25" customHeight="1">
      <c r="A30" s="818">
        <v>80130</v>
      </c>
      <c r="B30" s="837" t="s">
        <v>307</v>
      </c>
      <c r="C30" s="823">
        <f t="shared" si="3"/>
        <v>1484504</v>
      </c>
      <c r="D30" s="845">
        <f t="shared" si="3"/>
        <v>812346</v>
      </c>
      <c r="E30" s="846">
        <f t="shared" si="1"/>
        <v>54.72171176365978</v>
      </c>
      <c r="F30" s="823"/>
      <c r="G30" s="824"/>
      <c r="H30" s="826"/>
      <c r="I30" s="823">
        <f>SUM(I31:I31)</f>
        <v>1484504</v>
      </c>
      <c r="J30" s="824">
        <f>SUM(J31:J31)</f>
        <v>812346</v>
      </c>
      <c r="K30" s="846">
        <f>J30/I30*100</f>
        <v>54.72171176365978</v>
      </c>
    </row>
    <row r="31" spans="1:11" s="872" customFormat="1" ht="41.25" customHeight="1">
      <c r="A31" s="827">
        <v>2540</v>
      </c>
      <c r="B31" s="854" t="s">
        <v>867</v>
      </c>
      <c r="C31" s="832">
        <f t="shared" si="3"/>
        <v>1484504</v>
      </c>
      <c r="D31" s="830">
        <f t="shared" si="3"/>
        <v>812346</v>
      </c>
      <c r="E31" s="831">
        <f t="shared" si="1"/>
        <v>54.72171176365978</v>
      </c>
      <c r="F31" s="832"/>
      <c r="G31" s="833"/>
      <c r="H31" s="834"/>
      <c r="I31" s="832">
        <v>1484504</v>
      </c>
      <c r="J31" s="833">
        <v>812346</v>
      </c>
      <c r="K31" s="831">
        <f>J31/I31*100</f>
        <v>54.72171176365978</v>
      </c>
    </row>
    <row r="32" spans="1:11" s="873" customFormat="1" ht="25.5">
      <c r="A32" s="818">
        <v>80146</v>
      </c>
      <c r="B32" s="837" t="s">
        <v>308</v>
      </c>
      <c r="C32" s="823">
        <f>F32+I32</f>
        <v>50700</v>
      </c>
      <c r="D32" s="845">
        <f>G32+J32</f>
        <v>50700</v>
      </c>
      <c r="E32" s="846">
        <f>D32/C32*100</f>
        <v>100</v>
      </c>
      <c r="F32" s="823">
        <f>F33</f>
        <v>50700</v>
      </c>
      <c r="G32" s="824">
        <f>G33</f>
        <v>50700</v>
      </c>
      <c r="H32" s="826"/>
      <c r="I32" s="823"/>
      <c r="J32" s="824"/>
      <c r="K32" s="844"/>
    </row>
    <row r="33" spans="1:11" s="872" customFormat="1" ht="30" customHeight="1">
      <c r="A33" s="827">
        <v>2510</v>
      </c>
      <c r="B33" s="840" t="s">
        <v>297</v>
      </c>
      <c r="C33" s="832">
        <f>F33+I33</f>
        <v>50700</v>
      </c>
      <c r="D33" s="830">
        <f>G33+J33</f>
        <v>50700</v>
      </c>
      <c r="E33" s="831">
        <f>D33/C33*100</f>
        <v>100</v>
      </c>
      <c r="F33" s="832">
        <v>50700</v>
      </c>
      <c r="G33" s="833">
        <v>50700</v>
      </c>
      <c r="H33" s="834"/>
      <c r="I33" s="832"/>
      <c r="J33" s="833"/>
      <c r="K33" s="831"/>
    </row>
    <row r="34" spans="1:11" s="817" customFormat="1" ht="15.75" customHeight="1">
      <c r="A34" s="818">
        <v>80195</v>
      </c>
      <c r="B34" s="837" t="s">
        <v>299</v>
      </c>
      <c r="C34" s="823">
        <f t="shared" si="3"/>
        <v>58500</v>
      </c>
      <c r="D34" s="845">
        <f t="shared" si="3"/>
        <v>26000</v>
      </c>
      <c r="E34" s="846">
        <f t="shared" si="1"/>
        <v>44.44444444444444</v>
      </c>
      <c r="F34" s="823">
        <f>SUM(F35:F36)</f>
        <v>58500</v>
      </c>
      <c r="G34" s="824">
        <f>SUM(G35:G36)</f>
        <v>26000</v>
      </c>
      <c r="H34" s="846">
        <f aca="true" t="shared" si="4" ref="H34:H39">G34/F34*100</f>
        <v>44.44444444444444</v>
      </c>
      <c r="I34" s="823"/>
      <c r="J34" s="824"/>
      <c r="K34" s="846"/>
    </row>
    <row r="35" spans="1:11" s="835" customFormat="1" ht="51.75" customHeight="1">
      <c r="A35" s="827">
        <v>2540</v>
      </c>
      <c r="B35" s="2451" t="s">
        <v>910</v>
      </c>
      <c r="C35" s="832">
        <f t="shared" si="3"/>
        <v>30000</v>
      </c>
      <c r="D35" s="830">
        <f t="shared" si="3"/>
        <v>15000</v>
      </c>
      <c r="E35" s="831">
        <f t="shared" si="1"/>
        <v>50</v>
      </c>
      <c r="F35" s="832">
        <v>30000</v>
      </c>
      <c r="G35" s="833">
        <v>15000</v>
      </c>
      <c r="H35" s="831">
        <f t="shared" si="4"/>
        <v>50</v>
      </c>
      <c r="I35" s="832"/>
      <c r="J35" s="833"/>
      <c r="K35" s="831"/>
    </row>
    <row r="36" spans="1:11" s="835" customFormat="1" ht="64.5" customHeight="1" thickBot="1">
      <c r="A36" s="827">
        <v>2820</v>
      </c>
      <c r="B36" s="840" t="s">
        <v>911</v>
      </c>
      <c r="C36" s="832">
        <f t="shared" si="3"/>
        <v>28500</v>
      </c>
      <c r="D36" s="830">
        <f t="shared" si="3"/>
        <v>11000</v>
      </c>
      <c r="E36" s="831">
        <f t="shared" si="1"/>
        <v>38.59649122807017</v>
      </c>
      <c r="F36" s="832">
        <v>28500</v>
      </c>
      <c r="G36" s="833">
        <v>11000</v>
      </c>
      <c r="H36" s="831">
        <f t="shared" si="4"/>
        <v>38.59649122807017</v>
      </c>
      <c r="I36" s="832"/>
      <c r="J36" s="833"/>
      <c r="K36" s="831"/>
    </row>
    <row r="37" spans="1:11" s="817" customFormat="1" ht="15" customHeight="1" thickBot="1" thickTop="1">
      <c r="A37" s="810">
        <v>851</v>
      </c>
      <c r="B37" s="836" t="s">
        <v>148</v>
      </c>
      <c r="C37" s="874">
        <f t="shared" si="3"/>
        <v>700200</v>
      </c>
      <c r="D37" s="813">
        <f t="shared" si="3"/>
        <v>328497</v>
      </c>
      <c r="E37" s="814">
        <f t="shared" si="1"/>
        <v>46.914738646101114</v>
      </c>
      <c r="F37" s="874">
        <f>SUM(F41+F43+F46+F38)</f>
        <v>700200</v>
      </c>
      <c r="G37" s="1767">
        <f>SUM(G41+G43+G46+G38)</f>
        <v>328497</v>
      </c>
      <c r="H37" s="814">
        <f t="shared" si="4"/>
        <v>46.914738646101114</v>
      </c>
      <c r="I37" s="812"/>
      <c r="J37" s="815"/>
      <c r="K37" s="875"/>
    </row>
    <row r="38" spans="1:11" s="817" customFormat="1" ht="17.25" customHeight="1" thickTop="1">
      <c r="A38" s="818">
        <v>85149</v>
      </c>
      <c r="B38" s="837" t="s">
        <v>311</v>
      </c>
      <c r="C38" s="823">
        <f t="shared" si="3"/>
        <v>12000</v>
      </c>
      <c r="D38" s="845"/>
      <c r="E38" s="846"/>
      <c r="F38" s="876">
        <f>SUM(F39:F40)</f>
        <v>12000</v>
      </c>
      <c r="G38" s="877"/>
      <c r="H38" s="846">
        <f t="shared" si="4"/>
        <v>0</v>
      </c>
      <c r="I38" s="876"/>
      <c r="J38" s="877"/>
      <c r="K38" s="878"/>
    </row>
    <row r="39" spans="1:11" s="835" customFormat="1" ht="57.75" customHeight="1">
      <c r="A39" s="881">
        <v>2800</v>
      </c>
      <c r="B39" s="868" t="s">
        <v>912</v>
      </c>
      <c r="C39" s="864">
        <f t="shared" si="3"/>
        <v>8000</v>
      </c>
      <c r="D39" s="869"/>
      <c r="E39" s="870"/>
      <c r="F39" s="864">
        <v>8000</v>
      </c>
      <c r="G39" s="865"/>
      <c r="H39" s="870">
        <f t="shared" si="4"/>
        <v>0</v>
      </c>
      <c r="I39" s="864"/>
      <c r="J39" s="865"/>
      <c r="K39" s="834"/>
    </row>
    <row r="40" spans="1:11" s="835" customFormat="1" ht="75.75" customHeight="1">
      <c r="A40" s="860">
        <v>2830</v>
      </c>
      <c r="B40" s="848" t="s">
        <v>913</v>
      </c>
      <c r="C40" s="861">
        <f t="shared" si="3"/>
        <v>4000</v>
      </c>
      <c r="D40" s="862"/>
      <c r="E40" s="863"/>
      <c r="F40" s="861">
        <v>4000</v>
      </c>
      <c r="G40" s="866"/>
      <c r="H40" s="863"/>
      <c r="I40" s="861"/>
      <c r="J40" s="866"/>
      <c r="K40" s="834"/>
    </row>
    <row r="41" spans="1:11" s="817" customFormat="1" ht="14.25" customHeight="1">
      <c r="A41" s="818">
        <v>85153</v>
      </c>
      <c r="B41" s="837" t="s">
        <v>313</v>
      </c>
      <c r="C41" s="823">
        <f t="shared" si="3"/>
        <v>50000</v>
      </c>
      <c r="D41" s="845">
        <f t="shared" si="3"/>
        <v>23328</v>
      </c>
      <c r="E41" s="846">
        <f t="shared" si="1"/>
        <v>46.656</v>
      </c>
      <c r="F41" s="823">
        <f>SUM(F42:F42)</f>
        <v>50000</v>
      </c>
      <c r="G41" s="824">
        <f>SUM(G42:G42)</f>
        <v>23328</v>
      </c>
      <c r="H41" s="846">
        <f aca="true" t="shared" si="5" ref="H41:H47">G41/F41*100</f>
        <v>46.656</v>
      </c>
      <c r="I41" s="823"/>
      <c r="J41" s="824"/>
      <c r="K41" s="826"/>
    </row>
    <row r="42" spans="1:11" s="835" customFormat="1" ht="54" customHeight="1">
      <c r="A42" s="860">
        <v>2820</v>
      </c>
      <c r="B42" s="848" t="s">
        <v>314</v>
      </c>
      <c r="C42" s="861">
        <f t="shared" si="3"/>
        <v>50000</v>
      </c>
      <c r="D42" s="862">
        <f t="shared" si="3"/>
        <v>23328</v>
      </c>
      <c r="E42" s="863">
        <f t="shared" si="1"/>
        <v>46.656</v>
      </c>
      <c r="F42" s="861">
        <v>50000</v>
      </c>
      <c r="G42" s="866">
        <v>23328</v>
      </c>
      <c r="H42" s="863">
        <f t="shared" si="5"/>
        <v>46.656</v>
      </c>
      <c r="I42" s="861"/>
      <c r="J42" s="866"/>
      <c r="K42" s="834"/>
    </row>
    <row r="43" spans="1:11" s="817" customFormat="1" ht="16.5" customHeight="1">
      <c r="A43" s="818">
        <v>85154</v>
      </c>
      <c r="B43" s="837" t="s">
        <v>315</v>
      </c>
      <c r="C43" s="823">
        <f t="shared" si="3"/>
        <v>535000</v>
      </c>
      <c r="D43" s="845">
        <f t="shared" si="3"/>
        <v>249169</v>
      </c>
      <c r="E43" s="846">
        <f t="shared" si="1"/>
        <v>46.573644859813086</v>
      </c>
      <c r="F43" s="823">
        <f>SUM(F44:F45)</f>
        <v>535000</v>
      </c>
      <c r="G43" s="824">
        <f>SUM(G44:G45)</f>
        <v>249169</v>
      </c>
      <c r="H43" s="846">
        <f t="shared" si="5"/>
        <v>46.573644859813086</v>
      </c>
      <c r="I43" s="823"/>
      <c r="J43" s="824"/>
      <c r="K43" s="826"/>
    </row>
    <row r="44" spans="1:11" s="835" customFormat="1" ht="39.75" customHeight="1">
      <c r="A44" s="853">
        <v>2480</v>
      </c>
      <c r="B44" s="854" t="s">
        <v>914</v>
      </c>
      <c r="C44" s="855">
        <f>F44+I44</f>
        <v>110000</v>
      </c>
      <c r="D44" s="856">
        <f>G44+J44</f>
        <v>37500</v>
      </c>
      <c r="E44" s="857">
        <f>D44/C44*100</f>
        <v>34.090909090909086</v>
      </c>
      <c r="F44" s="855">
        <v>110000</v>
      </c>
      <c r="G44" s="858">
        <v>37500</v>
      </c>
      <c r="H44" s="857">
        <f>G44/F44*100</f>
        <v>34.090909090909086</v>
      </c>
      <c r="I44" s="855"/>
      <c r="J44" s="858"/>
      <c r="K44" s="834"/>
    </row>
    <row r="45" spans="1:11" s="835" customFormat="1" ht="50.25" customHeight="1">
      <c r="A45" s="847">
        <v>2820</v>
      </c>
      <c r="B45" s="848" t="s">
        <v>314</v>
      </c>
      <c r="C45" s="861">
        <f t="shared" si="3"/>
        <v>425000</v>
      </c>
      <c r="D45" s="862">
        <f t="shared" si="3"/>
        <v>211669</v>
      </c>
      <c r="E45" s="863">
        <f t="shared" si="1"/>
        <v>49.8044705882353</v>
      </c>
      <c r="F45" s="861">
        <v>425000</v>
      </c>
      <c r="G45" s="866">
        <v>211669</v>
      </c>
      <c r="H45" s="863">
        <f t="shared" si="5"/>
        <v>49.8044705882353</v>
      </c>
      <c r="I45" s="861"/>
      <c r="J45" s="866"/>
      <c r="K45" s="834"/>
    </row>
    <row r="46" spans="1:11" s="873" customFormat="1" ht="14.25" customHeight="1">
      <c r="A46" s="818">
        <v>85195</v>
      </c>
      <c r="B46" s="837" t="s">
        <v>299</v>
      </c>
      <c r="C46" s="823">
        <f t="shared" si="3"/>
        <v>103200</v>
      </c>
      <c r="D46" s="845">
        <f t="shared" si="3"/>
        <v>56000</v>
      </c>
      <c r="E46" s="846">
        <f t="shared" si="1"/>
        <v>54.263565891472865</v>
      </c>
      <c r="F46" s="823">
        <f>SUM(F47:F47)</f>
        <v>103200</v>
      </c>
      <c r="G46" s="824">
        <f>SUM(G47:G47)</f>
        <v>56000</v>
      </c>
      <c r="H46" s="846">
        <f t="shared" si="5"/>
        <v>54.263565891472865</v>
      </c>
      <c r="I46" s="823"/>
      <c r="J46" s="824"/>
      <c r="K46" s="826"/>
    </row>
    <row r="47" spans="1:11" s="872" customFormat="1" ht="54.75" customHeight="1" thickBot="1">
      <c r="A47" s="827">
        <v>2820</v>
      </c>
      <c r="B47" s="840" t="s">
        <v>314</v>
      </c>
      <c r="C47" s="832">
        <f t="shared" si="3"/>
        <v>103200</v>
      </c>
      <c r="D47" s="830">
        <f t="shared" si="3"/>
        <v>56000</v>
      </c>
      <c r="E47" s="831">
        <f t="shared" si="1"/>
        <v>54.263565891472865</v>
      </c>
      <c r="F47" s="832">
        <v>103200</v>
      </c>
      <c r="G47" s="833">
        <v>56000</v>
      </c>
      <c r="H47" s="831">
        <f t="shared" si="5"/>
        <v>54.263565891472865</v>
      </c>
      <c r="I47" s="832"/>
      <c r="J47" s="833"/>
      <c r="K47" s="834"/>
    </row>
    <row r="48" spans="1:11" s="817" customFormat="1" ht="19.5" customHeight="1" thickBot="1" thickTop="1">
      <c r="A48" s="810">
        <v>852</v>
      </c>
      <c r="B48" s="836" t="s">
        <v>150</v>
      </c>
      <c r="C48" s="812">
        <f t="shared" si="3"/>
        <v>1074360</v>
      </c>
      <c r="D48" s="813">
        <f t="shared" si="3"/>
        <v>512110</v>
      </c>
      <c r="E48" s="814">
        <f t="shared" si="1"/>
        <v>47.66651774079452</v>
      </c>
      <c r="F48" s="812">
        <f>F49+F52+F54+F56</f>
        <v>171800</v>
      </c>
      <c r="G48" s="886">
        <f>G49+G52+G54+G56</f>
        <v>97500</v>
      </c>
      <c r="H48" s="814">
        <f>G48/F48*100</f>
        <v>56.752037252619324</v>
      </c>
      <c r="I48" s="812">
        <f>I49+I52+I54+I56</f>
        <v>902560</v>
      </c>
      <c r="J48" s="886">
        <f>J49+J52+J54+J56</f>
        <v>414610</v>
      </c>
      <c r="K48" s="814">
        <f>J48/I48*100</f>
        <v>45.93711221414643</v>
      </c>
    </row>
    <row r="49" spans="1:11" s="817" customFormat="1" ht="40.5" customHeight="1" thickTop="1">
      <c r="A49" s="818">
        <v>85201</v>
      </c>
      <c r="B49" s="837" t="s">
        <v>317</v>
      </c>
      <c r="C49" s="823">
        <f t="shared" si="3"/>
        <v>662560</v>
      </c>
      <c r="D49" s="845">
        <f t="shared" si="3"/>
        <v>258468</v>
      </c>
      <c r="E49" s="846">
        <f t="shared" si="1"/>
        <v>39.010504709007485</v>
      </c>
      <c r="F49" s="823"/>
      <c r="G49" s="824"/>
      <c r="H49" s="857"/>
      <c r="I49" s="823">
        <f>SUM(I50:I51)</f>
        <v>662560</v>
      </c>
      <c r="J49" s="824">
        <f>SUM(J50:J51)</f>
        <v>258468</v>
      </c>
      <c r="K49" s="883"/>
    </row>
    <row r="50" spans="1:11" s="835" customFormat="1" ht="72" customHeight="1">
      <c r="A50" s="881">
        <v>2320</v>
      </c>
      <c r="B50" s="868" t="s">
        <v>915</v>
      </c>
      <c r="C50" s="864">
        <f t="shared" si="3"/>
        <v>590560</v>
      </c>
      <c r="D50" s="869">
        <f t="shared" si="3"/>
        <v>228468</v>
      </c>
      <c r="E50" s="870">
        <f t="shared" si="1"/>
        <v>38.68667027905717</v>
      </c>
      <c r="F50" s="864"/>
      <c r="G50" s="865"/>
      <c r="H50" s="870"/>
      <c r="I50" s="864">
        <v>590560</v>
      </c>
      <c r="J50" s="865">
        <v>228468</v>
      </c>
      <c r="K50" s="883"/>
    </row>
    <row r="51" spans="1:11" s="817" customFormat="1" ht="55.5" customHeight="1">
      <c r="A51" s="847">
        <v>2820</v>
      </c>
      <c r="B51" s="848" t="s">
        <v>314</v>
      </c>
      <c r="C51" s="861">
        <f t="shared" si="3"/>
        <v>72000</v>
      </c>
      <c r="D51" s="862">
        <f t="shared" si="3"/>
        <v>30000</v>
      </c>
      <c r="E51" s="863">
        <f t="shared" si="1"/>
        <v>41.66666666666667</v>
      </c>
      <c r="F51" s="861"/>
      <c r="G51" s="866"/>
      <c r="H51" s="863"/>
      <c r="I51" s="861">
        <v>72000</v>
      </c>
      <c r="J51" s="866">
        <v>30000</v>
      </c>
      <c r="K51" s="883"/>
    </row>
    <row r="52" spans="1:11" s="817" customFormat="1" ht="24.75" customHeight="1">
      <c r="A52" s="2434">
        <v>85204</v>
      </c>
      <c r="B52" s="2477" t="s">
        <v>22</v>
      </c>
      <c r="C52" s="823">
        <f t="shared" si="3"/>
        <v>90000</v>
      </c>
      <c r="D52" s="845">
        <f t="shared" si="3"/>
        <v>56142</v>
      </c>
      <c r="E52" s="863">
        <f t="shared" si="1"/>
        <v>62.38</v>
      </c>
      <c r="F52" s="820"/>
      <c r="G52" s="2478"/>
      <c r="H52" s="846"/>
      <c r="I52" s="823">
        <f>I53</f>
        <v>90000</v>
      </c>
      <c r="J52" s="824">
        <f>J53</f>
        <v>56142</v>
      </c>
      <c r="K52" s="826"/>
    </row>
    <row r="53" spans="1:11" s="817" customFormat="1" ht="69.75" customHeight="1">
      <c r="A53" s="847">
        <v>2320</v>
      </c>
      <c r="B53" s="868" t="s">
        <v>915</v>
      </c>
      <c r="C53" s="861">
        <f aca="true" t="shared" si="6" ref="C53:D80">F53+I53</f>
        <v>90000</v>
      </c>
      <c r="D53" s="862">
        <f t="shared" si="6"/>
        <v>56142</v>
      </c>
      <c r="E53" s="863">
        <f t="shared" si="1"/>
        <v>62.38</v>
      </c>
      <c r="F53" s="861"/>
      <c r="G53" s="866"/>
      <c r="H53" s="857"/>
      <c r="I53" s="855">
        <v>90000</v>
      </c>
      <c r="J53" s="858">
        <v>56142</v>
      </c>
      <c r="K53" s="883"/>
    </row>
    <row r="54" spans="1:11" s="817" customFormat="1" ht="52.5" customHeight="1">
      <c r="A54" s="2434">
        <v>85220</v>
      </c>
      <c r="B54" s="887" t="s">
        <v>916</v>
      </c>
      <c r="C54" s="823">
        <f t="shared" si="6"/>
        <v>150000</v>
      </c>
      <c r="D54" s="845">
        <f t="shared" si="6"/>
        <v>100000</v>
      </c>
      <c r="E54" s="822">
        <f t="shared" si="1"/>
        <v>66.66666666666666</v>
      </c>
      <c r="F54" s="820"/>
      <c r="G54" s="2478"/>
      <c r="H54" s="846"/>
      <c r="I54" s="823">
        <f>I55</f>
        <v>150000</v>
      </c>
      <c r="J54" s="824">
        <f>J55</f>
        <v>100000</v>
      </c>
      <c r="K54" s="826"/>
    </row>
    <row r="55" spans="1:11" s="817" customFormat="1" ht="53.25" customHeight="1">
      <c r="A55" s="847">
        <v>2820</v>
      </c>
      <c r="B55" s="868" t="s">
        <v>314</v>
      </c>
      <c r="C55" s="864">
        <f t="shared" si="6"/>
        <v>150000</v>
      </c>
      <c r="D55" s="869">
        <f t="shared" si="6"/>
        <v>100000</v>
      </c>
      <c r="E55" s="863">
        <f t="shared" si="1"/>
        <v>66.66666666666666</v>
      </c>
      <c r="F55" s="861"/>
      <c r="G55" s="866"/>
      <c r="H55" s="857"/>
      <c r="I55" s="855">
        <v>150000</v>
      </c>
      <c r="J55" s="858">
        <v>100000</v>
      </c>
      <c r="K55" s="883"/>
    </row>
    <row r="56" spans="1:11" s="817" customFormat="1" ht="16.5" customHeight="1">
      <c r="A56" s="818">
        <v>85295</v>
      </c>
      <c r="B56" s="837" t="s">
        <v>299</v>
      </c>
      <c r="C56" s="823">
        <f t="shared" si="6"/>
        <v>171800</v>
      </c>
      <c r="D56" s="845">
        <f t="shared" si="6"/>
        <v>97500</v>
      </c>
      <c r="E56" s="846">
        <f t="shared" si="1"/>
        <v>56.752037252619324</v>
      </c>
      <c r="F56" s="876">
        <f>SUM(F57:F57)</f>
        <v>171800</v>
      </c>
      <c r="G56" s="877">
        <f>SUM(G57:G57)</f>
        <v>97500</v>
      </c>
      <c r="H56" s="846">
        <f aca="true" t="shared" si="7" ref="H56:H66">G56/F56*100</f>
        <v>56.752037252619324</v>
      </c>
      <c r="I56" s="876"/>
      <c r="J56" s="877"/>
      <c r="K56" s="846"/>
    </row>
    <row r="57" spans="1:11" s="817" customFormat="1" ht="54.75" customHeight="1" thickBot="1">
      <c r="A57" s="881">
        <v>2820</v>
      </c>
      <c r="B57" s="868" t="s">
        <v>314</v>
      </c>
      <c r="C57" s="864">
        <f t="shared" si="6"/>
        <v>171800</v>
      </c>
      <c r="D57" s="869">
        <f t="shared" si="6"/>
        <v>97500</v>
      </c>
      <c r="E57" s="870">
        <f t="shared" si="1"/>
        <v>56.752037252619324</v>
      </c>
      <c r="F57" s="864">
        <v>171800</v>
      </c>
      <c r="G57" s="865">
        <v>97500</v>
      </c>
      <c r="H57" s="870">
        <f t="shared" si="7"/>
        <v>56.752037252619324</v>
      </c>
      <c r="I57" s="864"/>
      <c r="J57" s="865"/>
      <c r="K57" s="884"/>
    </row>
    <row r="58" spans="1:11" s="817" customFormat="1" ht="39.75" thickBot="1" thickTop="1">
      <c r="A58" s="810">
        <v>853</v>
      </c>
      <c r="B58" s="836" t="s">
        <v>152</v>
      </c>
      <c r="C58" s="812">
        <f t="shared" si="6"/>
        <v>1907700</v>
      </c>
      <c r="D58" s="813">
        <f t="shared" si="6"/>
        <v>1004000</v>
      </c>
      <c r="E58" s="814">
        <f>D58/C58*100</f>
        <v>52.62882004508046</v>
      </c>
      <c r="F58" s="812">
        <f>F59</f>
        <v>1907700</v>
      </c>
      <c r="G58" s="815">
        <f>G59</f>
        <v>1004000</v>
      </c>
      <c r="H58" s="814"/>
      <c r="I58" s="812"/>
      <c r="J58" s="815"/>
      <c r="K58" s="880"/>
    </row>
    <row r="59" spans="1:11" s="817" customFormat="1" ht="16.5" customHeight="1" thickTop="1">
      <c r="A59" s="818">
        <v>85305</v>
      </c>
      <c r="B59" s="837" t="s">
        <v>318</v>
      </c>
      <c r="C59" s="838">
        <f t="shared" si="6"/>
        <v>1907700</v>
      </c>
      <c r="D59" s="843">
        <f t="shared" si="6"/>
        <v>1004000</v>
      </c>
      <c r="E59" s="825">
        <f>D59/C59*100</f>
        <v>52.62882004508046</v>
      </c>
      <c r="F59" s="838">
        <f>F60</f>
        <v>1907700</v>
      </c>
      <c r="G59" s="839">
        <f>G60</f>
        <v>1004000</v>
      </c>
      <c r="H59" s="825"/>
      <c r="I59" s="838"/>
      <c r="J59" s="839"/>
      <c r="K59" s="880"/>
    </row>
    <row r="60" spans="1:11" s="817" customFormat="1" ht="27" customHeight="1" thickBot="1">
      <c r="A60" s="853">
        <v>2510</v>
      </c>
      <c r="B60" s="854" t="s">
        <v>297</v>
      </c>
      <c r="C60" s="855">
        <f t="shared" si="6"/>
        <v>1907700</v>
      </c>
      <c r="D60" s="856">
        <f t="shared" si="6"/>
        <v>1004000</v>
      </c>
      <c r="E60" s="857">
        <f>D60/C60*100</f>
        <v>52.62882004508046</v>
      </c>
      <c r="F60" s="855">
        <v>1907700</v>
      </c>
      <c r="G60" s="858">
        <v>1004000</v>
      </c>
      <c r="H60" s="857"/>
      <c r="I60" s="855"/>
      <c r="J60" s="858"/>
      <c r="K60" s="834"/>
    </row>
    <row r="61" spans="1:11" s="873" customFormat="1" ht="29.25" customHeight="1" thickBot="1" thickTop="1">
      <c r="A61" s="2479">
        <v>854</v>
      </c>
      <c r="B61" s="2480" t="s">
        <v>154</v>
      </c>
      <c r="C61" s="2481">
        <f t="shared" si="6"/>
        <v>29500</v>
      </c>
      <c r="D61" s="2482">
        <f t="shared" si="6"/>
        <v>15500</v>
      </c>
      <c r="E61" s="2483">
        <f t="shared" si="1"/>
        <v>52.54237288135594</v>
      </c>
      <c r="F61" s="2481">
        <f>F62</f>
        <v>29500</v>
      </c>
      <c r="G61" s="2484">
        <f>G62</f>
        <v>15500</v>
      </c>
      <c r="H61" s="2483">
        <f t="shared" si="7"/>
        <v>52.54237288135594</v>
      </c>
      <c r="I61" s="2481"/>
      <c r="J61" s="2484"/>
      <c r="K61" s="814"/>
    </row>
    <row r="62" spans="1:11" s="817" customFormat="1" ht="14.25" thickTop="1">
      <c r="A62" s="818">
        <v>85495</v>
      </c>
      <c r="B62" s="837" t="s">
        <v>299</v>
      </c>
      <c r="C62" s="823">
        <f t="shared" si="6"/>
        <v>29500</v>
      </c>
      <c r="D62" s="845">
        <f t="shared" si="6"/>
        <v>15500</v>
      </c>
      <c r="E62" s="846">
        <f t="shared" si="1"/>
        <v>52.54237288135594</v>
      </c>
      <c r="F62" s="823">
        <f>F63</f>
        <v>29500</v>
      </c>
      <c r="G62" s="824">
        <f>G63</f>
        <v>15500</v>
      </c>
      <c r="H62" s="846">
        <f t="shared" si="7"/>
        <v>52.54237288135594</v>
      </c>
      <c r="I62" s="823"/>
      <c r="J62" s="824"/>
      <c r="K62" s="826"/>
    </row>
    <row r="63" spans="1:11" s="817" customFormat="1" ht="58.5" customHeight="1" thickBot="1">
      <c r="A63" s="827">
        <v>2820</v>
      </c>
      <c r="B63" s="840" t="s">
        <v>917</v>
      </c>
      <c r="C63" s="832">
        <f t="shared" si="6"/>
        <v>29500</v>
      </c>
      <c r="D63" s="830">
        <f t="shared" si="6"/>
        <v>15500</v>
      </c>
      <c r="E63" s="831">
        <f t="shared" si="1"/>
        <v>52.54237288135594</v>
      </c>
      <c r="F63" s="832">
        <v>29500</v>
      </c>
      <c r="G63" s="833">
        <v>15500</v>
      </c>
      <c r="H63" s="831">
        <f t="shared" si="7"/>
        <v>52.54237288135594</v>
      </c>
      <c r="I63" s="832"/>
      <c r="J63" s="833"/>
      <c r="K63" s="834"/>
    </row>
    <row r="64" spans="1:11" s="817" customFormat="1" ht="42" customHeight="1" thickBot="1" thickTop="1">
      <c r="A64" s="810">
        <v>921</v>
      </c>
      <c r="B64" s="836" t="s">
        <v>158</v>
      </c>
      <c r="C64" s="812">
        <f t="shared" si="6"/>
        <v>12573290</v>
      </c>
      <c r="D64" s="813">
        <f t="shared" si="6"/>
        <v>6714284</v>
      </c>
      <c r="E64" s="814">
        <f t="shared" si="1"/>
        <v>53.401170258540134</v>
      </c>
      <c r="F64" s="812">
        <f>F65+F67+F69+F71+F73+F75</f>
        <v>3511100</v>
      </c>
      <c r="G64" s="886">
        <f>G65+G67+G69+G71+G73+G75</f>
        <v>2191151</v>
      </c>
      <c r="H64" s="874" t="e">
        <f>H65+H67+H69+H73+H75+H71+#REF!</f>
        <v>#REF!</v>
      </c>
      <c r="I64" s="812">
        <f>I65+I67+I69+I71+I73+I75</f>
        <v>9062190</v>
      </c>
      <c r="J64" s="886">
        <f>J65+J67+J69+J71+J73+J75</f>
        <v>4523133</v>
      </c>
      <c r="K64" s="814">
        <f>J64/I64*100</f>
        <v>49.91214044287308</v>
      </c>
    </row>
    <row r="65" spans="1:11" s="817" customFormat="1" ht="27" customHeight="1" thickTop="1">
      <c r="A65" s="818">
        <v>92105</v>
      </c>
      <c r="B65" s="837" t="s">
        <v>319</v>
      </c>
      <c r="C65" s="823">
        <f t="shared" si="6"/>
        <v>137000</v>
      </c>
      <c r="D65" s="845">
        <f t="shared" si="6"/>
        <v>76500</v>
      </c>
      <c r="E65" s="846">
        <f t="shared" si="1"/>
        <v>55.839416058394164</v>
      </c>
      <c r="F65" s="823">
        <f>SUM(F66:F66)</f>
        <v>137000</v>
      </c>
      <c r="G65" s="824">
        <f>SUM(G66:G66)</f>
        <v>76500</v>
      </c>
      <c r="H65" s="846">
        <f t="shared" si="7"/>
        <v>55.839416058394164</v>
      </c>
      <c r="I65" s="823"/>
      <c r="J65" s="824"/>
      <c r="K65" s="826"/>
    </row>
    <row r="66" spans="1:11" s="835" customFormat="1" ht="53.25" customHeight="1">
      <c r="A66" s="853">
        <v>2820</v>
      </c>
      <c r="B66" s="854" t="s">
        <v>314</v>
      </c>
      <c r="C66" s="855">
        <f t="shared" si="6"/>
        <v>137000</v>
      </c>
      <c r="D66" s="856">
        <f t="shared" si="6"/>
        <v>76500</v>
      </c>
      <c r="E66" s="857">
        <f t="shared" si="1"/>
        <v>55.839416058394164</v>
      </c>
      <c r="F66" s="855">
        <v>137000</v>
      </c>
      <c r="G66" s="858">
        <v>76500</v>
      </c>
      <c r="H66" s="857">
        <f t="shared" si="7"/>
        <v>55.839416058394164</v>
      </c>
      <c r="I66" s="855"/>
      <c r="J66" s="858"/>
      <c r="K66" s="834"/>
    </row>
    <row r="67" spans="1:11" s="817" customFormat="1" ht="14.25" customHeight="1">
      <c r="A67" s="818">
        <v>92106</v>
      </c>
      <c r="B67" s="837" t="s">
        <v>320</v>
      </c>
      <c r="C67" s="823">
        <f t="shared" si="6"/>
        <v>2545000</v>
      </c>
      <c r="D67" s="845">
        <f t="shared" si="6"/>
        <v>1394641</v>
      </c>
      <c r="E67" s="846">
        <f t="shared" si="1"/>
        <v>54.79925343811395</v>
      </c>
      <c r="F67" s="823"/>
      <c r="G67" s="824"/>
      <c r="H67" s="846"/>
      <c r="I67" s="823">
        <f>SUM(I68:I68)</f>
        <v>2545000</v>
      </c>
      <c r="J67" s="824">
        <f>SUM(J68:J68)</f>
        <v>1394641</v>
      </c>
      <c r="K67" s="846">
        <f aca="true" t="shared" si="8" ref="K67:K75">J67/I67*100</f>
        <v>54.79925343811395</v>
      </c>
    </row>
    <row r="68" spans="1:11" s="835" customFormat="1" ht="39.75" customHeight="1">
      <c r="A68" s="853">
        <v>2480</v>
      </c>
      <c r="B68" s="854" t="s">
        <v>316</v>
      </c>
      <c r="C68" s="855">
        <f t="shared" si="6"/>
        <v>2545000</v>
      </c>
      <c r="D68" s="856">
        <f t="shared" si="6"/>
        <v>1394641</v>
      </c>
      <c r="E68" s="857">
        <f t="shared" si="1"/>
        <v>54.79925343811395</v>
      </c>
      <c r="F68" s="855"/>
      <c r="G68" s="858"/>
      <c r="H68" s="857"/>
      <c r="I68" s="855">
        <v>2545000</v>
      </c>
      <c r="J68" s="858">
        <v>1394641</v>
      </c>
      <c r="K68" s="831">
        <f t="shared" si="8"/>
        <v>54.79925343811395</v>
      </c>
    </row>
    <row r="69" spans="1:11" s="817" customFormat="1" ht="26.25" customHeight="1">
      <c r="A69" s="818">
        <v>92108</v>
      </c>
      <c r="B69" s="837" t="s">
        <v>248</v>
      </c>
      <c r="C69" s="823">
        <f t="shared" si="6"/>
        <v>2652000</v>
      </c>
      <c r="D69" s="845">
        <f t="shared" si="6"/>
        <v>1323498</v>
      </c>
      <c r="E69" s="846">
        <f t="shared" si="1"/>
        <v>49.905656108597285</v>
      </c>
      <c r="F69" s="823"/>
      <c r="G69" s="824"/>
      <c r="H69" s="846"/>
      <c r="I69" s="823">
        <f>SUM(I70)</f>
        <v>2652000</v>
      </c>
      <c r="J69" s="824">
        <f>SUM(J70)</f>
        <v>1323498</v>
      </c>
      <c r="K69" s="846">
        <f t="shared" si="8"/>
        <v>49.905656108597285</v>
      </c>
    </row>
    <row r="70" spans="1:11" s="835" customFormat="1" ht="39" customHeight="1">
      <c r="A70" s="853">
        <v>2480</v>
      </c>
      <c r="B70" s="840" t="s">
        <v>321</v>
      </c>
      <c r="C70" s="855">
        <f t="shared" si="6"/>
        <v>2652000</v>
      </c>
      <c r="D70" s="856">
        <f t="shared" si="6"/>
        <v>1323498</v>
      </c>
      <c r="E70" s="857">
        <f t="shared" si="1"/>
        <v>49.905656108597285</v>
      </c>
      <c r="F70" s="855"/>
      <c r="G70" s="858"/>
      <c r="H70" s="857"/>
      <c r="I70" s="855">
        <v>2652000</v>
      </c>
      <c r="J70" s="858">
        <v>1323498</v>
      </c>
      <c r="K70" s="831">
        <f t="shared" si="8"/>
        <v>49.905656108597285</v>
      </c>
    </row>
    <row r="71" spans="1:11" s="817" customFormat="1" ht="25.5">
      <c r="A71" s="818">
        <v>92109</v>
      </c>
      <c r="B71" s="837" t="s">
        <v>322</v>
      </c>
      <c r="C71" s="823">
        <f t="shared" si="6"/>
        <v>2339100</v>
      </c>
      <c r="D71" s="845">
        <f t="shared" si="6"/>
        <v>1597151</v>
      </c>
      <c r="E71" s="846">
        <f>D71/C71*100</f>
        <v>68.2805780000855</v>
      </c>
      <c r="F71" s="823">
        <f>SUM(F72)</f>
        <v>2339100</v>
      </c>
      <c r="G71" s="824">
        <f>SUM(G72)</f>
        <v>1597151</v>
      </c>
      <c r="H71" s="846">
        <f>G71/F71*100</f>
        <v>68.2805780000855</v>
      </c>
      <c r="I71" s="823"/>
      <c r="J71" s="824"/>
      <c r="K71" s="822"/>
    </row>
    <row r="72" spans="1:11" s="872" customFormat="1" ht="38.25" customHeight="1">
      <c r="A72" s="853">
        <v>2480</v>
      </c>
      <c r="B72" s="854" t="s">
        <v>323</v>
      </c>
      <c r="C72" s="855">
        <f t="shared" si="6"/>
        <v>2339100</v>
      </c>
      <c r="D72" s="856">
        <f t="shared" si="6"/>
        <v>1597151</v>
      </c>
      <c r="E72" s="857">
        <f>D72/C72*100</f>
        <v>68.2805780000855</v>
      </c>
      <c r="F72" s="855">
        <v>2339100</v>
      </c>
      <c r="G72" s="858">
        <v>1597151</v>
      </c>
      <c r="H72" s="857">
        <f>G72/F72*100</f>
        <v>68.2805780000855</v>
      </c>
      <c r="I72" s="855"/>
      <c r="J72" s="858"/>
      <c r="K72" s="834"/>
    </row>
    <row r="73" spans="1:11" s="817" customFormat="1" ht="17.25" customHeight="1">
      <c r="A73" s="818">
        <v>92116</v>
      </c>
      <c r="B73" s="887" t="s">
        <v>324</v>
      </c>
      <c r="C73" s="823">
        <f t="shared" si="6"/>
        <v>3383190</v>
      </c>
      <c r="D73" s="845">
        <f t="shared" si="6"/>
        <v>1593998</v>
      </c>
      <c r="E73" s="846">
        <f t="shared" si="1"/>
        <v>47.11523739429355</v>
      </c>
      <c r="F73" s="823">
        <f>F74</f>
        <v>1035000</v>
      </c>
      <c r="G73" s="824">
        <f>G74</f>
        <v>517500</v>
      </c>
      <c r="H73" s="846">
        <f>G73/F73*100</f>
        <v>50</v>
      </c>
      <c r="I73" s="823">
        <f>SUM(I74)</f>
        <v>2348190</v>
      </c>
      <c r="J73" s="824">
        <f>SUM(J74)</f>
        <v>1076498</v>
      </c>
      <c r="K73" s="846">
        <f t="shared" si="8"/>
        <v>45.84373496182166</v>
      </c>
    </row>
    <row r="74" spans="1:11" s="817" customFormat="1" ht="44.25" customHeight="1">
      <c r="A74" s="827">
        <v>2480</v>
      </c>
      <c r="B74" s="840" t="s">
        <v>323</v>
      </c>
      <c r="C74" s="855">
        <f t="shared" si="6"/>
        <v>3383190</v>
      </c>
      <c r="D74" s="856">
        <f t="shared" si="6"/>
        <v>1593998</v>
      </c>
      <c r="E74" s="857">
        <f aca="true" t="shared" si="9" ref="E74:E79">D74/C74*100</f>
        <v>47.11523739429355</v>
      </c>
      <c r="F74" s="855">
        <v>1035000</v>
      </c>
      <c r="G74" s="858">
        <v>517500</v>
      </c>
      <c r="H74" s="857">
        <f>G74/F74*100</f>
        <v>50</v>
      </c>
      <c r="I74" s="855">
        <v>2348190</v>
      </c>
      <c r="J74" s="858">
        <v>1076498</v>
      </c>
      <c r="K74" s="831">
        <f t="shared" si="8"/>
        <v>45.84373496182166</v>
      </c>
    </row>
    <row r="75" spans="1:11" s="817" customFormat="1" ht="14.25" customHeight="1">
      <c r="A75" s="818">
        <v>92118</v>
      </c>
      <c r="B75" s="837" t="s">
        <v>325</v>
      </c>
      <c r="C75" s="823">
        <f t="shared" si="6"/>
        <v>1517000</v>
      </c>
      <c r="D75" s="845">
        <f t="shared" si="6"/>
        <v>728496</v>
      </c>
      <c r="E75" s="846">
        <f t="shared" si="9"/>
        <v>48.022148978246534</v>
      </c>
      <c r="F75" s="823"/>
      <c r="G75" s="824"/>
      <c r="H75" s="846"/>
      <c r="I75" s="823">
        <f>SUM(I76)</f>
        <v>1517000</v>
      </c>
      <c r="J75" s="824">
        <f>SUM(J76)</f>
        <v>728496</v>
      </c>
      <c r="K75" s="846">
        <f t="shared" si="8"/>
        <v>48.022148978246534</v>
      </c>
    </row>
    <row r="76" spans="1:11" s="817" customFormat="1" ht="41.25" customHeight="1" thickBot="1">
      <c r="A76" s="827">
        <v>2480</v>
      </c>
      <c r="B76" s="840" t="s">
        <v>323</v>
      </c>
      <c r="C76" s="832">
        <f t="shared" si="6"/>
        <v>1517000</v>
      </c>
      <c r="D76" s="830">
        <f t="shared" si="6"/>
        <v>728496</v>
      </c>
      <c r="E76" s="831">
        <f t="shared" si="9"/>
        <v>48.022148978246534</v>
      </c>
      <c r="F76" s="832"/>
      <c r="G76" s="833"/>
      <c r="H76" s="831"/>
      <c r="I76" s="832">
        <v>1517000</v>
      </c>
      <c r="J76" s="833">
        <v>728496</v>
      </c>
      <c r="K76" s="831">
        <f>J76/I76*100</f>
        <v>48.022148978246534</v>
      </c>
    </row>
    <row r="77" spans="1:11" s="817" customFormat="1" ht="28.5" customHeight="1" thickBot="1" thickTop="1">
      <c r="A77" s="810">
        <v>926</v>
      </c>
      <c r="B77" s="836" t="s">
        <v>162</v>
      </c>
      <c r="C77" s="812">
        <f t="shared" si="6"/>
        <v>3620000</v>
      </c>
      <c r="D77" s="813">
        <f t="shared" si="6"/>
        <v>2237820</v>
      </c>
      <c r="E77" s="814">
        <f t="shared" si="9"/>
        <v>61.81823204419889</v>
      </c>
      <c r="F77" s="812">
        <f>F78</f>
        <v>3620000</v>
      </c>
      <c r="G77" s="815">
        <f>G78</f>
        <v>2237820</v>
      </c>
      <c r="H77" s="814">
        <f>G77/F77*100</f>
        <v>61.81823204419889</v>
      </c>
      <c r="I77" s="812"/>
      <c r="J77" s="815"/>
      <c r="K77" s="816"/>
    </row>
    <row r="78" spans="1:11" s="817" customFormat="1" ht="27.75" customHeight="1" thickTop="1">
      <c r="A78" s="818">
        <v>92605</v>
      </c>
      <c r="B78" s="837" t="s">
        <v>326</v>
      </c>
      <c r="C78" s="823">
        <f t="shared" si="6"/>
        <v>3620000</v>
      </c>
      <c r="D78" s="845">
        <f t="shared" si="6"/>
        <v>2237820</v>
      </c>
      <c r="E78" s="846">
        <f t="shared" si="9"/>
        <v>61.81823204419889</v>
      </c>
      <c r="F78" s="823">
        <f>SUM(F79:F79)</f>
        <v>3620000</v>
      </c>
      <c r="G78" s="824">
        <f>SUM(G79:G79)</f>
        <v>2237820</v>
      </c>
      <c r="H78" s="846">
        <f>G78/F78*100</f>
        <v>61.81823204419889</v>
      </c>
      <c r="I78" s="823"/>
      <c r="J78" s="824"/>
      <c r="K78" s="826"/>
    </row>
    <row r="79" spans="1:11" s="835" customFormat="1" ht="54.75" customHeight="1" thickBot="1">
      <c r="A79" s="827">
        <v>2820</v>
      </c>
      <c r="B79" s="840" t="s">
        <v>314</v>
      </c>
      <c r="C79" s="864">
        <f t="shared" si="6"/>
        <v>3620000</v>
      </c>
      <c r="D79" s="869">
        <f t="shared" si="6"/>
        <v>2237820</v>
      </c>
      <c r="E79" s="831">
        <f t="shared" si="9"/>
        <v>61.81823204419889</v>
      </c>
      <c r="F79" s="832">
        <v>3620000</v>
      </c>
      <c r="G79" s="833">
        <v>2237820</v>
      </c>
      <c r="H79" s="870">
        <f>G79/F79*100</f>
        <v>61.81823204419889</v>
      </c>
      <c r="I79" s="832"/>
      <c r="J79" s="833"/>
      <c r="K79" s="834"/>
    </row>
    <row r="80" spans="1:11" s="817" customFormat="1" ht="33" customHeight="1" thickBot="1" thickTop="1">
      <c r="A80" s="888"/>
      <c r="B80" s="2421" t="s">
        <v>102</v>
      </c>
      <c r="C80" s="812">
        <f t="shared" si="6"/>
        <v>35745541</v>
      </c>
      <c r="D80" s="813">
        <f t="shared" si="6"/>
        <v>19523750</v>
      </c>
      <c r="E80" s="814">
        <f>D80/C80*100</f>
        <v>54.61870055344805</v>
      </c>
      <c r="F80" s="812">
        <f>F7+F10+F16+F19+F37+F48+F58+F61+F64+F77</f>
        <v>21641430</v>
      </c>
      <c r="G80" s="1459">
        <f>G7+G10+G16+G19+G37+G48+G58+G61+G64+G77</f>
        <v>12451407</v>
      </c>
      <c r="H80" s="814">
        <f>G80/F80*100</f>
        <v>57.53504736054873</v>
      </c>
      <c r="I80" s="812">
        <f>I7+I10+I16+I19+I37+I48+I58+I61+I64+I77</f>
        <v>14104111</v>
      </c>
      <c r="J80" s="886">
        <f>J7+J10+J16+J19+J37+J48+J58+J61+J64+J77</f>
        <v>7072343</v>
      </c>
      <c r="K80" s="814">
        <f>J80/I80*100</f>
        <v>50.14384104038886</v>
      </c>
    </row>
    <row r="81" spans="7:8" ht="12.75" thickTop="1">
      <c r="G81" s="890"/>
      <c r="H81" s="891"/>
    </row>
    <row r="82" spans="7:8" ht="12">
      <c r="G82" s="890"/>
      <c r="H82" s="891"/>
    </row>
    <row r="83" spans="7:8" ht="12">
      <c r="G83" s="890"/>
      <c r="H83" s="891"/>
    </row>
    <row r="84" spans="7:8" ht="12">
      <c r="G84" s="890"/>
      <c r="H84" s="891"/>
    </row>
    <row r="85" spans="7:8" ht="12">
      <c r="G85" s="890"/>
      <c r="H85" s="891"/>
    </row>
    <row r="86" spans="7:8" ht="12">
      <c r="G86" s="890"/>
      <c r="H86" s="891"/>
    </row>
    <row r="87" spans="7:8" ht="12">
      <c r="G87" s="890"/>
      <c r="H87" s="891"/>
    </row>
  </sheetData>
  <mergeCells count="1">
    <mergeCell ref="I2:J2"/>
  </mergeCells>
  <printOptions horizontalCentered="1"/>
  <pageMargins left="0" right="0" top="0.984251968503937" bottom="0.5905511811023623" header="0.5118110236220472" footer="0.5118110236220472"/>
  <pageSetup firstPageNumber="57" useFirstPageNumber="1" horizontalDpi="600" verticalDpi="600" orientation="portrait" paperSize="9" r:id="rId1"/>
  <headerFooter alignWithMargins="0">
    <oddHeader>&amp;C&amp;"Times New Roman,Normalny" &amp;P</oddHeader>
  </headerFooter>
</worksheet>
</file>

<file path=xl/worksheets/sheet14.xml><?xml version="1.0" encoding="utf-8"?>
<worksheet xmlns="http://schemas.openxmlformats.org/spreadsheetml/2006/main" xmlns:r="http://schemas.openxmlformats.org/officeDocument/2006/relationships">
  <dimension ref="A1:J46"/>
  <sheetViews>
    <sheetView workbookViewId="0" topLeftCell="A1">
      <selection activeCell="B8" sqref="B8"/>
    </sheetView>
  </sheetViews>
  <sheetFormatPr defaultColWidth="9.00390625" defaultRowHeight="12.75"/>
  <cols>
    <col min="1" max="1" width="7.625" style="2485" customWidth="1"/>
    <col min="2" max="2" width="37.25390625" style="2486" customWidth="1"/>
    <col min="3" max="3" width="11.00390625" style="2487" customWidth="1"/>
    <col min="4" max="4" width="12.75390625" style="2487" customWidth="1"/>
    <col min="5" max="5" width="12.375" style="2487" customWidth="1"/>
    <col min="6" max="6" width="13.00390625" style="2487" customWidth="1"/>
    <col min="7" max="7" width="11.00390625" style="2487" customWidth="1"/>
    <col min="8" max="8" width="11.25390625" style="2487" customWidth="1"/>
    <col min="9" max="9" width="10.125" style="2487" customWidth="1"/>
    <col min="10" max="10" width="11.625" style="2487" customWidth="1"/>
    <col min="11" max="16384" width="9.125" style="2487" customWidth="1"/>
  </cols>
  <sheetData>
    <row r="1" spans="5:9" ht="26.25">
      <c r="E1" s="2488"/>
      <c r="I1" s="2487" t="s">
        <v>918</v>
      </c>
    </row>
    <row r="2" spans="1:10" s="2491" customFormat="1" ht="42" customHeight="1">
      <c r="A2" s="2489" t="s">
        <v>919</v>
      </c>
      <c r="B2" s="2490"/>
      <c r="C2" s="2490"/>
      <c r="D2" s="2490"/>
      <c r="E2" s="2490"/>
      <c r="F2" s="2490"/>
      <c r="G2" s="2490"/>
      <c r="H2" s="2490"/>
      <c r="I2" s="2490"/>
      <c r="J2" s="2490"/>
    </row>
    <row r="3" spans="1:10" s="2491" customFormat="1" ht="30.75" customHeight="1" thickBot="1">
      <c r="A3" s="2492"/>
      <c r="B3" s="2490"/>
      <c r="C3" s="2490"/>
      <c r="D3" s="2490"/>
      <c r="E3" s="2493"/>
      <c r="F3" s="2490"/>
      <c r="J3" s="1271" t="s">
        <v>68</v>
      </c>
    </row>
    <row r="4" spans="1:10" ht="15" thickTop="1">
      <c r="A4" s="2494" t="s">
        <v>105</v>
      </c>
      <c r="B4" s="2495"/>
      <c r="C4" s="2496" t="s">
        <v>920</v>
      </c>
      <c r="D4" s="2497"/>
      <c r="E4" s="2497"/>
      <c r="F4" s="2498"/>
      <c r="G4" s="2496" t="s">
        <v>921</v>
      </c>
      <c r="H4" s="2497"/>
      <c r="I4" s="2497"/>
      <c r="J4" s="2498"/>
    </row>
    <row r="5" spans="1:10" s="2504" customFormat="1" ht="36.75" customHeight="1" thickBot="1">
      <c r="A5" s="2499" t="s">
        <v>922</v>
      </c>
      <c r="B5" s="2500" t="s">
        <v>106</v>
      </c>
      <c r="C5" s="2501" t="s">
        <v>71</v>
      </c>
      <c r="D5" s="2502" t="s">
        <v>923</v>
      </c>
      <c r="E5" s="2502" t="s">
        <v>924</v>
      </c>
      <c r="F5" s="2503" t="s">
        <v>925</v>
      </c>
      <c r="G5" s="2501" t="s">
        <v>71</v>
      </c>
      <c r="H5" s="2502" t="s">
        <v>923</v>
      </c>
      <c r="I5" s="2502" t="s">
        <v>924</v>
      </c>
      <c r="J5" s="2503" t="s">
        <v>925</v>
      </c>
    </row>
    <row r="6" spans="1:10" s="2509" customFormat="1" ht="9.75" customHeight="1" thickBot="1" thickTop="1">
      <c r="A6" s="2505">
        <v>1</v>
      </c>
      <c r="B6" s="2506">
        <v>2</v>
      </c>
      <c r="C6" s="2507">
        <v>7</v>
      </c>
      <c r="D6" s="2506">
        <v>8</v>
      </c>
      <c r="E6" s="2506">
        <v>9</v>
      </c>
      <c r="F6" s="2508">
        <v>6</v>
      </c>
      <c r="G6" s="2507">
        <v>7</v>
      </c>
      <c r="H6" s="2506">
        <v>8</v>
      </c>
      <c r="I6" s="2506">
        <v>9</v>
      </c>
      <c r="J6" s="2508">
        <v>6</v>
      </c>
    </row>
    <row r="7" spans="1:10" s="2514" customFormat="1" ht="15.75" thickBot="1" thickTop="1">
      <c r="A7" s="2510">
        <v>600</v>
      </c>
      <c r="B7" s="2511" t="s">
        <v>121</v>
      </c>
      <c r="C7" s="2512">
        <f aca="true" t="shared" si="0" ref="C7:J7">C8+C13</f>
        <v>14868442</v>
      </c>
      <c r="D7" s="2512">
        <f t="shared" si="0"/>
        <v>15831316</v>
      </c>
      <c r="E7" s="2512">
        <f t="shared" si="0"/>
        <v>7467226</v>
      </c>
      <c r="F7" s="2513">
        <f t="shared" si="0"/>
        <v>8364090</v>
      </c>
      <c r="G7" s="2512">
        <f t="shared" si="0"/>
        <v>19180200</v>
      </c>
      <c r="H7" s="2512">
        <f t="shared" si="0"/>
        <v>17051557</v>
      </c>
      <c r="I7" s="2512">
        <f t="shared" si="0"/>
        <v>6995930</v>
      </c>
      <c r="J7" s="2513">
        <f t="shared" si="0"/>
        <v>10055627</v>
      </c>
    </row>
    <row r="8" spans="1:10" s="2521" customFormat="1" ht="28.5" customHeight="1" thickTop="1">
      <c r="A8" s="2515">
        <v>60015</v>
      </c>
      <c r="B8" s="2516" t="s">
        <v>715</v>
      </c>
      <c r="C8" s="2517">
        <f aca="true" t="shared" si="1" ref="C8:H8">SUM(C9:C12)</f>
        <v>13383275</v>
      </c>
      <c r="D8" s="2517">
        <f t="shared" si="1"/>
        <v>14938710</v>
      </c>
      <c r="E8" s="2517">
        <f t="shared" si="1"/>
        <v>7467226</v>
      </c>
      <c r="F8" s="2518">
        <f t="shared" si="1"/>
        <v>7471484</v>
      </c>
      <c r="G8" s="2517">
        <f t="shared" si="1"/>
        <v>17200000</v>
      </c>
      <c r="H8" s="2517">
        <f t="shared" si="1"/>
        <v>15711438</v>
      </c>
      <c r="I8" s="2519">
        <f>SUM(I9:I15)</f>
        <v>6621366</v>
      </c>
      <c r="J8" s="2520">
        <f>H8-I8</f>
        <v>9090072</v>
      </c>
    </row>
    <row r="9" spans="1:10" s="2504" customFormat="1" ht="15">
      <c r="A9" s="2522"/>
      <c r="B9" s="2523" t="s">
        <v>926</v>
      </c>
      <c r="C9" s="2524">
        <v>9500000</v>
      </c>
      <c r="D9" s="2524">
        <v>9500000</v>
      </c>
      <c r="E9" s="2524">
        <v>5488481</v>
      </c>
      <c r="F9" s="2525">
        <f aca="true" t="shared" si="2" ref="F9:F17">D9-E9</f>
        <v>4011519</v>
      </c>
      <c r="G9" s="2524">
        <v>12000000</v>
      </c>
      <c r="H9" s="2526">
        <v>10900000</v>
      </c>
      <c r="I9" s="2526">
        <v>5706070</v>
      </c>
      <c r="J9" s="2525">
        <f>H9-I9</f>
        <v>5193930</v>
      </c>
    </row>
    <row r="10" spans="1:10" s="2504" customFormat="1" ht="15">
      <c r="A10" s="2527"/>
      <c r="B10" s="2523" t="s">
        <v>927</v>
      </c>
      <c r="C10" s="2524">
        <v>0</v>
      </c>
      <c r="D10" s="2526">
        <v>1105967</v>
      </c>
      <c r="E10" s="2526">
        <v>1105967</v>
      </c>
      <c r="F10" s="2525"/>
      <c r="G10" s="2528"/>
      <c r="H10" s="2526"/>
      <c r="I10" s="2526"/>
      <c r="J10" s="2529"/>
    </row>
    <row r="11" spans="1:10" s="2504" customFormat="1" ht="30">
      <c r="A11" s="2527"/>
      <c r="B11" s="2523" t="s">
        <v>928</v>
      </c>
      <c r="C11" s="2524">
        <v>0</v>
      </c>
      <c r="D11" s="2526">
        <v>872778</v>
      </c>
      <c r="E11" s="2526">
        <v>872778</v>
      </c>
      <c r="F11" s="2525"/>
      <c r="G11" s="2528"/>
      <c r="H11" s="2526"/>
      <c r="I11" s="2526"/>
      <c r="J11" s="2529"/>
    </row>
    <row r="12" spans="1:10" s="2504" customFormat="1" ht="15">
      <c r="A12" s="2530"/>
      <c r="B12" s="2523" t="s">
        <v>929</v>
      </c>
      <c r="C12" s="2524">
        <v>3883275</v>
      </c>
      <c r="D12" s="2526">
        <v>3459965</v>
      </c>
      <c r="E12" s="2526"/>
      <c r="F12" s="2525">
        <f t="shared" si="2"/>
        <v>3459965</v>
      </c>
      <c r="G12" s="2528">
        <v>5200000</v>
      </c>
      <c r="H12" s="2526">
        <v>4811438</v>
      </c>
      <c r="I12" s="2526">
        <v>3079</v>
      </c>
      <c r="J12" s="2525">
        <f aca="true" t="shared" si="3" ref="J12:J17">H12-I12</f>
        <v>4808359</v>
      </c>
    </row>
    <row r="13" spans="1:10" s="2504" customFormat="1" ht="15">
      <c r="A13" s="2531">
        <v>60016</v>
      </c>
      <c r="B13" s="2532" t="s">
        <v>930</v>
      </c>
      <c r="C13" s="2533">
        <f>C14</f>
        <v>1485167</v>
      </c>
      <c r="D13" s="2533">
        <f>D14</f>
        <v>892606</v>
      </c>
      <c r="E13" s="2533">
        <f>E14</f>
        <v>0</v>
      </c>
      <c r="F13" s="2525">
        <f t="shared" si="2"/>
        <v>892606</v>
      </c>
      <c r="G13" s="2534">
        <f>G14</f>
        <v>1980200</v>
      </c>
      <c r="H13" s="2533">
        <f>H14</f>
        <v>1340119</v>
      </c>
      <c r="I13" s="2533">
        <f>I14</f>
        <v>374564</v>
      </c>
      <c r="J13" s="2529">
        <f t="shared" si="3"/>
        <v>965555</v>
      </c>
    </row>
    <row r="14" spans="1:10" s="2504" customFormat="1" ht="15.75" thickBot="1">
      <c r="A14" s="2527"/>
      <c r="B14" s="2535" t="s">
        <v>931</v>
      </c>
      <c r="C14" s="2536">
        <v>1485167</v>
      </c>
      <c r="D14" s="2537">
        <v>892606</v>
      </c>
      <c r="E14" s="2537"/>
      <c r="F14" s="2538">
        <f t="shared" si="2"/>
        <v>892606</v>
      </c>
      <c r="G14" s="2539">
        <v>1980200</v>
      </c>
      <c r="H14" s="2540">
        <v>1340119</v>
      </c>
      <c r="I14" s="2540">
        <v>374564</v>
      </c>
      <c r="J14" s="2541">
        <f t="shared" si="3"/>
        <v>965555</v>
      </c>
    </row>
    <row r="15" spans="1:10" s="2504" customFormat="1" ht="15.75" thickBot="1" thickTop="1">
      <c r="A15" s="2510">
        <v>630</v>
      </c>
      <c r="B15" s="2511" t="s">
        <v>123</v>
      </c>
      <c r="C15" s="2512">
        <f>C16+C17</f>
        <v>205345</v>
      </c>
      <c r="D15" s="2512">
        <f>D16+D17</f>
        <v>93299</v>
      </c>
      <c r="E15" s="2512">
        <f>E16+E17</f>
        <v>682</v>
      </c>
      <c r="F15" s="2542">
        <f t="shared" si="2"/>
        <v>92617</v>
      </c>
      <c r="G15" s="2512">
        <f>G16+G17</f>
        <v>327353</v>
      </c>
      <c r="H15" s="2512">
        <f>H16+H17</f>
        <v>292305</v>
      </c>
      <c r="I15" s="2512">
        <f>I16+I17</f>
        <v>163089</v>
      </c>
      <c r="J15" s="2542">
        <f t="shared" si="3"/>
        <v>129216</v>
      </c>
    </row>
    <row r="16" spans="1:10" s="2504" customFormat="1" ht="28.5" customHeight="1" thickTop="1">
      <c r="A16" s="2543">
        <v>63095</v>
      </c>
      <c r="B16" s="2544" t="s">
        <v>932</v>
      </c>
      <c r="C16" s="2545">
        <v>22763</v>
      </c>
      <c r="D16" s="2546">
        <v>22763</v>
      </c>
      <c r="E16" s="2546"/>
      <c r="F16" s="2547">
        <f t="shared" si="2"/>
        <v>22763</v>
      </c>
      <c r="G16" s="2545">
        <v>30351</v>
      </c>
      <c r="H16" s="2546">
        <v>37939</v>
      </c>
      <c r="I16" s="2546">
        <v>10278</v>
      </c>
      <c r="J16" s="2547">
        <f t="shared" si="3"/>
        <v>27661</v>
      </c>
    </row>
    <row r="17" spans="1:10" s="2504" customFormat="1" ht="14.25" customHeight="1" thickBot="1">
      <c r="A17" s="2527"/>
      <c r="B17" s="2535" t="s">
        <v>933</v>
      </c>
      <c r="C17" s="2536">
        <v>182582</v>
      </c>
      <c r="D17" s="2537">
        <v>70536</v>
      </c>
      <c r="E17" s="2537">
        <v>682</v>
      </c>
      <c r="F17" s="2538">
        <f t="shared" si="2"/>
        <v>69854</v>
      </c>
      <c r="G17" s="2536">
        <v>297002</v>
      </c>
      <c r="H17" s="2537">
        <v>254366</v>
      </c>
      <c r="I17" s="2537">
        <v>152811</v>
      </c>
      <c r="J17" s="2548">
        <f t="shared" si="3"/>
        <v>101555</v>
      </c>
    </row>
    <row r="18" spans="1:10" s="2504" customFormat="1" ht="15.75" thickBot="1" thickTop="1">
      <c r="A18" s="2510">
        <v>700</v>
      </c>
      <c r="B18" s="2511" t="s">
        <v>125</v>
      </c>
      <c r="C18" s="2549">
        <f aca="true" t="shared" si="4" ref="C18:F19">C19</f>
        <v>140950</v>
      </c>
      <c r="D18" s="2549">
        <f t="shared" si="4"/>
        <v>140950</v>
      </c>
      <c r="E18" s="2549">
        <f t="shared" si="4"/>
        <v>0</v>
      </c>
      <c r="F18" s="2550">
        <f t="shared" si="4"/>
        <v>140950</v>
      </c>
      <c r="G18" s="2551"/>
      <c r="H18" s="2551"/>
      <c r="I18" s="2551"/>
      <c r="J18" s="2552"/>
    </row>
    <row r="19" spans="1:10" s="2504" customFormat="1" ht="15" thickTop="1">
      <c r="A19" s="2553">
        <v>70095</v>
      </c>
      <c r="B19" s="2554" t="s">
        <v>299</v>
      </c>
      <c r="C19" s="2555">
        <f t="shared" si="4"/>
        <v>140950</v>
      </c>
      <c r="D19" s="2555">
        <f t="shared" si="4"/>
        <v>140950</v>
      </c>
      <c r="E19" s="2555">
        <f t="shared" si="4"/>
        <v>0</v>
      </c>
      <c r="F19" s="2556">
        <f t="shared" si="4"/>
        <v>140950</v>
      </c>
      <c r="G19" s="2557"/>
      <c r="H19" s="2558"/>
      <c r="I19" s="2558"/>
      <c r="J19" s="2559"/>
    </row>
    <row r="20" spans="1:10" s="2504" customFormat="1" ht="29.25" customHeight="1" thickBot="1">
      <c r="A20" s="2527"/>
      <c r="B20" s="2535" t="s">
        <v>934</v>
      </c>
      <c r="C20" s="2536">
        <v>140950</v>
      </c>
      <c r="D20" s="2536">
        <v>140950</v>
      </c>
      <c r="E20" s="2536"/>
      <c r="F20" s="2538">
        <f aca="true" t="shared" si="5" ref="F20:F45">D20-E20</f>
        <v>140950</v>
      </c>
      <c r="G20" s="2560"/>
      <c r="H20" s="2561"/>
      <c r="I20" s="2561"/>
      <c r="J20" s="2562"/>
    </row>
    <row r="21" spans="1:10" s="2567" customFormat="1" ht="19.5" customHeight="1" thickBot="1" thickTop="1">
      <c r="A21" s="2510">
        <v>750</v>
      </c>
      <c r="B21" s="2563" t="s">
        <v>130</v>
      </c>
      <c r="C21" s="2549">
        <f>C22</f>
        <v>269702</v>
      </c>
      <c r="D21" s="2549">
        <f>D22</f>
        <v>232562</v>
      </c>
      <c r="E21" s="2549">
        <f>E22</f>
        <v>0</v>
      </c>
      <c r="F21" s="2542">
        <f t="shared" si="5"/>
        <v>232562</v>
      </c>
      <c r="G21" s="2564">
        <f>G22+G26</f>
        <v>477144</v>
      </c>
      <c r="H21" s="2565">
        <f>H22+H26</f>
        <v>498740</v>
      </c>
      <c r="I21" s="2565">
        <f>I22+I26</f>
        <v>387494</v>
      </c>
      <c r="J21" s="2566">
        <f>J22+J26</f>
        <v>111246</v>
      </c>
    </row>
    <row r="22" spans="1:10" s="2567" customFormat="1" ht="30" customHeight="1" thickTop="1">
      <c r="A22" s="2531">
        <v>75075</v>
      </c>
      <c r="B22" s="2532" t="s">
        <v>935</v>
      </c>
      <c r="C22" s="2533">
        <f>C23+C24+C25</f>
        <v>269702</v>
      </c>
      <c r="D22" s="2533">
        <f>D23+D24+D25</f>
        <v>232562</v>
      </c>
      <c r="E22" s="2568">
        <f>E23+E24</f>
        <v>0</v>
      </c>
      <c r="F22" s="2529">
        <f t="shared" si="5"/>
        <v>232562</v>
      </c>
      <c r="G22" s="2533">
        <f>G23+G24+G25</f>
        <v>477144</v>
      </c>
      <c r="H22" s="2533">
        <f>H23+H24+H25</f>
        <v>398740</v>
      </c>
      <c r="I22" s="2533">
        <f>I23+I24+I25</f>
        <v>287494</v>
      </c>
      <c r="J22" s="2569">
        <f>J23+J24+J25</f>
        <v>111246</v>
      </c>
    </row>
    <row r="23" spans="1:10" s="2567" customFormat="1" ht="19.5" customHeight="1">
      <c r="A23" s="2530"/>
      <c r="B23" s="2570" t="s">
        <v>936</v>
      </c>
      <c r="C23" s="2571">
        <v>83680</v>
      </c>
      <c r="D23" s="2572">
        <v>83680</v>
      </c>
      <c r="E23" s="2572"/>
      <c r="F23" s="2538">
        <f t="shared" si="5"/>
        <v>83680</v>
      </c>
      <c r="G23" s="2571">
        <v>173046</v>
      </c>
      <c r="H23" s="2572">
        <v>131782</v>
      </c>
      <c r="I23" s="2572">
        <v>105866</v>
      </c>
      <c r="J23" s="2573">
        <f>H23-I23</f>
        <v>25916</v>
      </c>
    </row>
    <row r="24" spans="1:10" s="2567" customFormat="1" ht="23.25" customHeight="1">
      <c r="A24" s="2574"/>
      <c r="B24" s="2523" t="s">
        <v>937</v>
      </c>
      <c r="C24" s="2524">
        <v>79642</v>
      </c>
      <c r="D24" s="2526">
        <v>79642</v>
      </c>
      <c r="E24" s="2526"/>
      <c r="F24" s="2538">
        <f t="shared" si="5"/>
        <v>79642</v>
      </c>
      <c r="G24" s="2571">
        <v>131052</v>
      </c>
      <c r="H24" s="2572">
        <v>131052</v>
      </c>
      <c r="I24" s="2572">
        <v>91186</v>
      </c>
      <c r="J24" s="2573">
        <f>H24-I24</f>
        <v>39866</v>
      </c>
    </row>
    <row r="25" spans="1:10" s="2567" customFormat="1" ht="24.75" customHeight="1">
      <c r="A25" s="2574"/>
      <c r="B25" s="2523" t="s">
        <v>938</v>
      </c>
      <c r="C25" s="2524">
        <v>106380</v>
      </c>
      <c r="D25" s="2526">
        <v>69240</v>
      </c>
      <c r="E25" s="2526"/>
      <c r="F25" s="2525">
        <f t="shared" si="5"/>
        <v>69240</v>
      </c>
      <c r="G25" s="2524">
        <v>173046</v>
      </c>
      <c r="H25" s="2526">
        <v>135906</v>
      </c>
      <c r="I25" s="2526">
        <v>90442</v>
      </c>
      <c r="J25" s="2575">
        <f>H25-I25</f>
        <v>45464</v>
      </c>
    </row>
    <row r="26" spans="1:10" s="2567" customFormat="1" ht="17.25" customHeight="1">
      <c r="A26" s="2531">
        <v>75095</v>
      </c>
      <c r="B26" s="2532" t="s">
        <v>299</v>
      </c>
      <c r="C26" s="2533"/>
      <c r="D26" s="2576"/>
      <c r="E26" s="2576"/>
      <c r="F26" s="2529"/>
      <c r="G26" s="2533"/>
      <c r="H26" s="2533">
        <f>H27</f>
        <v>100000</v>
      </c>
      <c r="I26" s="2533">
        <f>I27</f>
        <v>100000</v>
      </c>
      <c r="J26" s="2577">
        <v>0</v>
      </c>
    </row>
    <row r="27" spans="1:10" s="2567" customFormat="1" ht="58.5" customHeight="1" thickBot="1">
      <c r="A27" s="2527"/>
      <c r="B27" s="2535" t="s">
        <v>939</v>
      </c>
      <c r="C27" s="2536"/>
      <c r="D27" s="2537"/>
      <c r="E27" s="2537"/>
      <c r="F27" s="2548"/>
      <c r="G27" s="2536"/>
      <c r="H27" s="2536">
        <v>100000</v>
      </c>
      <c r="I27" s="2537">
        <v>100000</v>
      </c>
      <c r="J27" s="2578"/>
    </row>
    <row r="28" spans="1:10" s="2567" customFormat="1" ht="17.25" customHeight="1" thickBot="1" thickTop="1">
      <c r="A28" s="2510">
        <v>757</v>
      </c>
      <c r="B28" s="2511" t="s">
        <v>140</v>
      </c>
      <c r="C28" s="2565"/>
      <c r="D28" s="2565"/>
      <c r="E28" s="2565"/>
      <c r="F28" s="2542"/>
      <c r="G28" s="2549"/>
      <c r="H28" s="2549">
        <f>H29</f>
        <v>20000</v>
      </c>
      <c r="I28" s="2563">
        <f>I29</f>
        <v>13805</v>
      </c>
      <c r="J28" s="2579">
        <f>H28-I28</f>
        <v>6195</v>
      </c>
    </row>
    <row r="29" spans="1:10" s="2567" customFormat="1" ht="14.25" customHeight="1" thickBot="1" thickTop="1">
      <c r="A29" s="2580">
        <v>75702</v>
      </c>
      <c r="B29" s="2581" t="s">
        <v>940</v>
      </c>
      <c r="C29" s="2582"/>
      <c r="D29" s="2540"/>
      <c r="E29" s="2540"/>
      <c r="F29" s="2548"/>
      <c r="G29" s="2545"/>
      <c r="H29" s="2546">
        <v>20000</v>
      </c>
      <c r="I29" s="2546">
        <v>13805</v>
      </c>
      <c r="J29" s="2583">
        <f>H29-I29</f>
        <v>6195</v>
      </c>
    </row>
    <row r="30" spans="1:10" s="2587" customFormat="1" ht="19.5" customHeight="1" thickBot="1" thickTop="1">
      <c r="A30" s="2510">
        <v>801</v>
      </c>
      <c r="B30" s="2563" t="s">
        <v>144</v>
      </c>
      <c r="C30" s="2512"/>
      <c r="D30" s="2563">
        <f>D31</f>
        <v>502791</v>
      </c>
      <c r="E30" s="2563">
        <f>E31</f>
        <v>114796</v>
      </c>
      <c r="F30" s="2542">
        <f t="shared" si="5"/>
        <v>387995</v>
      </c>
      <c r="G30" s="2584"/>
      <c r="H30" s="2585"/>
      <c r="I30" s="2585"/>
      <c r="J30" s="2586"/>
    </row>
    <row r="31" spans="1:10" s="2567" customFormat="1" ht="31.5" thickBot="1" thickTop="1">
      <c r="A31" s="2543">
        <v>80195</v>
      </c>
      <c r="B31" s="2588" t="s">
        <v>941</v>
      </c>
      <c r="C31" s="2545"/>
      <c r="D31" s="2546">
        <v>502791</v>
      </c>
      <c r="E31" s="2546">
        <v>114796</v>
      </c>
      <c r="F31" s="2547">
        <f t="shared" si="5"/>
        <v>387995</v>
      </c>
      <c r="G31" s="2589"/>
      <c r="H31" s="2590"/>
      <c r="I31" s="2590"/>
      <c r="J31" s="2591"/>
    </row>
    <row r="32" spans="1:10" s="2567" customFormat="1" ht="16.5" customHeight="1" thickBot="1" thickTop="1">
      <c r="A32" s="2510">
        <v>803</v>
      </c>
      <c r="B32" s="2563" t="s">
        <v>146</v>
      </c>
      <c r="C32" s="2512">
        <f>C33</f>
        <v>27892</v>
      </c>
      <c r="D32" s="2563">
        <f>D33</f>
        <v>37557</v>
      </c>
      <c r="E32" s="2563">
        <f>E33</f>
        <v>37560</v>
      </c>
      <c r="F32" s="2542">
        <f t="shared" si="5"/>
        <v>-3</v>
      </c>
      <c r="G32" s="2584">
        <f>G33</f>
        <v>40988</v>
      </c>
      <c r="H32" s="2585">
        <f>H33</f>
        <v>39710</v>
      </c>
      <c r="I32" s="2585">
        <f>I33</f>
        <v>38195</v>
      </c>
      <c r="J32" s="2542">
        <f aca="true" t="shared" si="6" ref="J32:J45">H32-I32</f>
        <v>1515</v>
      </c>
    </row>
    <row r="33" spans="1:10" s="2567" customFormat="1" ht="14.25" customHeight="1" thickBot="1" thickTop="1">
      <c r="A33" s="2592">
        <v>80309</v>
      </c>
      <c r="B33" s="2593" t="s">
        <v>942</v>
      </c>
      <c r="C33" s="2594">
        <v>27892</v>
      </c>
      <c r="D33" s="2595">
        <v>37557</v>
      </c>
      <c r="E33" s="2595">
        <v>37560</v>
      </c>
      <c r="F33" s="2596">
        <f t="shared" si="5"/>
        <v>-3</v>
      </c>
      <c r="G33" s="2594">
        <v>40988</v>
      </c>
      <c r="H33" s="2595">
        <v>39710</v>
      </c>
      <c r="I33" s="2595">
        <v>38195</v>
      </c>
      <c r="J33" s="2596">
        <f t="shared" si="6"/>
        <v>1515</v>
      </c>
    </row>
    <row r="34" spans="1:10" s="2587" customFormat="1" ht="16.5" customHeight="1" thickBot="1" thickTop="1">
      <c r="A34" s="2510">
        <v>852</v>
      </c>
      <c r="B34" s="2563" t="s">
        <v>150</v>
      </c>
      <c r="C34" s="2549"/>
      <c r="D34" s="2565">
        <f>D35</f>
        <v>440333</v>
      </c>
      <c r="E34" s="2565">
        <f>E35</f>
        <v>107466</v>
      </c>
      <c r="F34" s="2542">
        <f t="shared" si="5"/>
        <v>332867</v>
      </c>
      <c r="G34" s="2549"/>
      <c r="H34" s="2565">
        <f>H35</f>
        <v>539617</v>
      </c>
      <c r="I34" s="2565">
        <f>I35</f>
        <v>205145</v>
      </c>
      <c r="J34" s="2542">
        <f t="shared" si="6"/>
        <v>334472</v>
      </c>
    </row>
    <row r="35" spans="1:10" s="2504" customFormat="1" ht="27" customHeight="1" thickBot="1" thickTop="1">
      <c r="A35" s="2592">
        <v>85295</v>
      </c>
      <c r="B35" s="2597" t="s">
        <v>943</v>
      </c>
      <c r="C35" s="2594"/>
      <c r="D35" s="2595">
        <v>440333</v>
      </c>
      <c r="E35" s="2595">
        <v>107466</v>
      </c>
      <c r="F35" s="2598">
        <f t="shared" si="5"/>
        <v>332867</v>
      </c>
      <c r="G35" s="2594"/>
      <c r="H35" s="2595">
        <v>539617</v>
      </c>
      <c r="I35" s="2595">
        <v>205145</v>
      </c>
      <c r="J35" s="2598">
        <f t="shared" si="6"/>
        <v>334472</v>
      </c>
    </row>
    <row r="36" spans="1:10" s="2521" customFormat="1" ht="28.5" customHeight="1" thickBot="1" thickTop="1">
      <c r="A36" s="2510">
        <v>854</v>
      </c>
      <c r="B36" s="2563" t="s">
        <v>154</v>
      </c>
      <c r="C36" s="2512">
        <f>C37</f>
        <v>528300</v>
      </c>
      <c r="D36" s="2563">
        <f>D37</f>
        <v>533224</v>
      </c>
      <c r="E36" s="2563">
        <f>E37</f>
        <v>533223</v>
      </c>
      <c r="F36" s="2542">
        <f t="shared" si="5"/>
        <v>1</v>
      </c>
      <c r="G36" s="2512">
        <f>G37</f>
        <v>528300</v>
      </c>
      <c r="H36" s="2563">
        <f>H37</f>
        <v>534916</v>
      </c>
      <c r="I36" s="2563">
        <f>I37</f>
        <v>528837</v>
      </c>
      <c r="J36" s="2542">
        <f t="shared" si="6"/>
        <v>6079</v>
      </c>
    </row>
    <row r="37" spans="1:10" s="2504" customFormat="1" ht="15.75" customHeight="1" thickBot="1" thickTop="1">
      <c r="A37" s="2599">
        <v>85415</v>
      </c>
      <c r="B37" s="2600" t="s">
        <v>944</v>
      </c>
      <c r="C37" s="2601">
        <v>528300</v>
      </c>
      <c r="D37" s="2590">
        <v>533224</v>
      </c>
      <c r="E37" s="2590">
        <v>533223</v>
      </c>
      <c r="F37" s="2542">
        <f t="shared" si="5"/>
        <v>1</v>
      </c>
      <c r="G37" s="2601">
        <v>528300</v>
      </c>
      <c r="H37" s="2590">
        <v>534916</v>
      </c>
      <c r="I37" s="2590">
        <v>528837</v>
      </c>
      <c r="J37" s="2598">
        <f t="shared" si="6"/>
        <v>6079</v>
      </c>
    </row>
    <row r="38" spans="1:10" s="2521" customFormat="1" ht="27.75" customHeight="1" thickBot="1" thickTop="1">
      <c r="A38" s="2510">
        <v>900</v>
      </c>
      <c r="B38" s="2563" t="s">
        <v>156</v>
      </c>
      <c r="C38" s="2512">
        <f>C39</f>
        <v>0</v>
      </c>
      <c r="D38" s="2563">
        <f>D39</f>
        <v>89232</v>
      </c>
      <c r="E38" s="2563">
        <f>E39</f>
        <v>0</v>
      </c>
      <c r="F38" s="2542">
        <f t="shared" si="5"/>
        <v>89232</v>
      </c>
      <c r="G38" s="2512">
        <f>G39</f>
        <v>0</v>
      </c>
      <c r="H38" s="2563">
        <f>H40</f>
        <v>131522</v>
      </c>
      <c r="I38" s="2563"/>
      <c r="J38" s="2542">
        <f t="shared" si="6"/>
        <v>131522</v>
      </c>
    </row>
    <row r="39" spans="1:10" s="2504" customFormat="1" ht="14.25" customHeight="1" thickTop="1">
      <c r="A39" s="2543">
        <v>90095</v>
      </c>
      <c r="B39" s="2588" t="s">
        <v>945</v>
      </c>
      <c r="C39" s="2545"/>
      <c r="D39" s="2546">
        <v>89232</v>
      </c>
      <c r="E39" s="2546"/>
      <c r="F39" s="2520">
        <f t="shared" si="5"/>
        <v>89232</v>
      </c>
      <c r="G39" s="2545"/>
      <c r="H39" s="2546"/>
      <c r="I39" s="2546"/>
      <c r="J39" s="2520"/>
    </row>
    <row r="40" spans="1:10" s="2504" customFormat="1" ht="15" customHeight="1" thickBot="1">
      <c r="A40" s="2580">
        <v>90095</v>
      </c>
      <c r="B40" s="2602" t="s">
        <v>946</v>
      </c>
      <c r="C40" s="2582"/>
      <c r="D40" s="2540"/>
      <c r="E40" s="2540"/>
      <c r="F40" s="2603"/>
      <c r="G40" s="2582"/>
      <c r="H40" s="2582">
        <v>131522</v>
      </c>
      <c r="I40" s="2582"/>
      <c r="J40" s="2604">
        <f t="shared" si="6"/>
        <v>131522</v>
      </c>
    </row>
    <row r="41" spans="1:10" s="2521" customFormat="1" ht="27.75" customHeight="1" thickBot="1" thickTop="1">
      <c r="A41" s="2510">
        <v>921</v>
      </c>
      <c r="B41" s="2563" t="s">
        <v>158</v>
      </c>
      <c r="C41" s="2549">
        <f>C42</f>
        <v>1126640</v>
      </c>
      <c r="D41" s="2565">
        <f>D42</f>
        <v>1045845</v>
      </c>
      <c r="E41" s="2565">
        <f>E42</f>
        <v>0</v>
      </c>
      <c r="F41" s="2542">
        <f t="shared" si="5"/>
        <v>1045845</v>
      </c>
      <c r="G41" s="2549">
        <f>G43+G42</f>
        <v>1494031</v>
      </c>
      <c r="H41" s="2549">
        <f>H43+H42</f>
        <v>1481070</v>
      </c>
      <c r="I41" s="2549">
        <f>I43</f>
        <v>513888</v>
      </c>
      <c r="J41" s="2542">
        <f t="shared" si="6"/>
        <v>967182</v>
      </c>
    </row>
    <row r="42" spans="1:10" s="2504" customFormat="1" ht="15" customHeight="1" thickTop="1">
      <c r="A42" s="2543">
        <v>92118</v>
      </c>
      <c r="B42" s="2588" t="s">
        <v>325</v>
      </c>
      <c r="C42" s="2545">
        <v>1126640</v>
      </c>
      <c r="D42" s="2546">
        <v>1045845</v>
      </c>
      <c r="E42" s="2546"/>
      <c r="F42" s="2547">
        <f t="shared" si="5"/>
        <v>1045845</v>
      </c>
      <c r="G42" s="2545"/>
      <c r="H42" s="2546"/>
      <c r="I42" s="2546"/>
      <c r="J42" s="2547"/>
    </row>
    <row r="43" spans="1:10" s="2504" customFormat="1" ht="31.5" customHeight="1" thickBot="1">
      <c r="A43" s="2580"/>
      <c r="B43" s="2602" t="s">
        <v>947</v>
      </c>
      <c r="C43" s="2582"/>
      <c r="D43" s="2540"/>
      <c r="E43" s="2540"/>
      <c r="F43" s="2604"/>
      <c r="G43" s="2582">
        <v>1494031</v>
      </c>
      <c r="H43" s="2540">
        <v>1481070</v>
      </c>
      <c r="I43" s="2540">
        <v>513888</v>
      </c>
      <c r="J43" s="2538">
        <f t="shared" si="6"/>
        <v>967182</v>
      </c>
    </row>
    <row r="44" spans="1:10" s="2521" customFormat="1" ht="17.25" customHeight="1" thickBot="1" thickTop="1">
      <c r="A44" s="2510">
        <v>926</v>
      </c>
      <c r="B44" s="2563" t="s">
        <v>162</v>
      </c>
      <c r="C44" s="2512"/>
      <c r="D44" s="2563">
        <f aca="true" t="shared" si="7" ref="D44:J44">D45</f>
        <v>992964</v>
      </c>
      <c r="E44" s="2563">
        <f t="shared" si="7"/>
        <v>0</v>
      </c>
      <c r="F44" s="2563">
        <f t="shared" si="7"/>
        <v>992964</v>
      </c>
      <c r="G44" s="2512">
        <f t="shared" si="7"/>
        <v>0</v>
      </c>
      <c r="H44" s="2512">
        <f t="shared" si="7"/>
        <v>3119795</v>
      </c>
      <c r="I44" s="2512">
        <f t="shared" si="7"/>
        <v>477</v>
      </c>
      <c r="J44" s="2513">
        <f t="shared" si="7"/>
        <v>3119318</v>
      </c>
    </row>
    <row r="45" spans="1:10" s="2504" customFormat="1" ht="27" customHeight="1" thickBot="1" thickTop="1">
      <c r="A45" s="2605">
        <v>92601</v>
      </c>
      <c r="B45" s="2606" t="s">
        <v>948</v>
      </c>
      <c r="C45" s="2607"/>
      <c r="D45" s="2607">
        <v>992964</v>
      </c>
      <c r="E45" s="2537">
        <v>0</v>
      </c>
      <c r="F45" s="2604">
        <f t="shared" si="5"/>
        <v>992964</v>
      </c>
      <c r="G45" s="2608"/>
      <c r="H45" s="2537">
        <v>3119795</v>
      </c>
      <c r="I45" s="2561">
        <v>477</v>
      </c>
      <c r="J45" s="2538">
        <f t="shared" si="6"/>
        <v>3119318</v>
      </c>
    </row>
    <row r="46" spans="1:10" s="2514" customFormat="1" ht="18.75" customHeight="1" thickBot="1" thickTop="1">
      <c r="A46" s="2609"/>
      <c r="B46" s="2512" t="s">
        <v>102</v>
      </c>
      <c r="C46" s="2512">
        <f aca="true" t="shared" si="8" ref="C46:J46">C7+C15+C18+C21+C28+C30+C32+C34+C36+C38+C41+C44</f>
        <v>17167271</v>
      </c>
      <c r="D46" s="2512">
        <f t="shared" si="8"/>
        <v>19940073</v>
      </c>
      <c r="E46" s="2512">
        <f t="shared" si="8"/>
        <v>8260953</v>
      </c>
      <c r="F46" s="2512">
        <f t="shared" si="8"/>
        <v>11679120</v>
      </c>
      <c r="G46" s="2512">
        <f t="shared" si="8"/>
        <v>22048016</v>
      </c>
      <c r="H46" s="2512">
        <f t="shared" si="8"/>
        <v>23709232</v>
      </c>
      <c r="I46" s="2512">
        <f t="shared" si="8"/>
        <v>8846860</v>
      </c>
      <c r="J46" s="2513">
        <f t="shared" si="8"/>
        <v>14862372</v>
      </c>
    </row>
    <row r="47" ht="15.75" thickTop="1"/>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T134"/>
  <sheetViews>
    <sheetView workbookViewId="0" topLeftCell="A1">
      <selection activeCell="L7" sqref="L7"/>
    </sheetView>
  </sheetViews>
  <sheetFormatPr defaultColWidth="9.00390625" defaultRowHeight="12.75"/>
  <cols>
    <col min="1" max="1" width="3.125" style="630" customWidth="1"/>
    <col min="2" max="2" width="12.00390625" style="892" customWidth="1"/>
    <col min="3" max="3" width="8.25390625" style="893" customWidth="1"/>
    <col min="4" max="4" width="7.875" style="630" customWidth="1"/>
    <col min="5" max="5" width="7.625" style="630" customWidth="1"/>
    <col min="6" max="6" width="7.375" style="630" customWidth="1"/>
    <col min="7" max="7" width="6.00390625" style="630" customWidth="1"/>
    <col min="8" max="8" width="6.25390625" style="630" customWidth="1"/>
    <col min="9" max="9" width="7.125" style="630" customWidth="1"/>
    <col min="10" max="10" width="6.875" style="630" customWidth="1"/>
    <col min="11" max="11" width="7.25390625" style="630" customWidth="1"/>
    <col min="12" max="12" width="5.875" style="630" customWidth="1"/>
    <col min="13" max="13" width="6.00390625" style="630" customWidth="1"/>
    <col min="14" max="14" width="8.125" style="630" customWidth="1"/>
    <col min="15" max="15" width="7.125" style="630" customWidth="1"/>
    <col min="16" max="16" width="7.375" style="630" customWidth="1"/>
    <col min="17" max="17" width="5.625" style="630" customWidth="1"/>
    <col min="18" max="18" width="5.375" style="630" customWidth="1"/>
    <col min="19" max="19" width="8.25390625" style="929" customWidth="1"/>
    <col min="20" max="20" width="7.125" style="929" customWidth="1"/>
    <col min="21" max="16384" width="10.00390625" style="630" customWidth="1"/>
  </cols>
  <sheetData>
    <row r="1" spans="1:20" ht="31.5" customHeight="1">
      <c r="A1" s="630" t="s">
        <v>327</v>
      </c>
      <c r="R1" s="3021" t="s">
        <v>949</v>
      </c>
      <c r="S1" s="3021"/>
      <c r="T1" s="893"/>
    </row>
    <row r="2" spans="1:20" s="893" customFormat="1" ht="54.75" customHeight="1">
      <c r="A2" s="894"/>
      <c r="B2" s="3022" t="s">
        <v>950</v>
      </c>
      <c r="C2" s="3022"/>
      <c r="D2" s="3022"/>
      <c r="E2" s="3022"/>
      <c r="F2" s="3022"/>
      <c r="G2" s="3022"/>
      <c r="H2" s="3022"/>
      <c r="I2" s="3022"/>
      <c r="J2" s="3022"/>
      <c r="K2" s="3022"/>
      <c r="L2" s="3022"/>
      <c r="M2" s="3022"/>
      <c r="N2" s="3022"/>
      <c r="O2" s="3022"/>
      <c r="P2" s="3022"/>
      <c r="Q2" s="3022"/>
      <c r="R2" s="3022"/>
      <c r="S2" s="3022"/>
      <c r="T2" s="894"/>
    </row>
    <row r="3" spans="2:20" s="893" customFormat="1" ht="24.75" customHeight="1" thickBot="1">
      <c r="B3" s="892"/>
      <c r="S3" s="895"/>
      <c r="T3" s="895" t="s">
        <v>329</v>
      </c>
    </row>
    <row r="4" spans="1:20" ht="36" customHeight="1" thickBot="1" thickTop="1">
      <c r="A4" s="896" t="s">
        <v>330</v>
      </c>
      <c r="B4" s="2610" t="s">
        <v>951</v>
      </c>
      <c r="C4" s="3023" t="s">
        <v>952</v>
      </c>
      <c r="D4" s="897" t="s">
        <v>331</v>
      </c>
      <c r="E4" s="898"/>
      <c r="F4" s="898"/>
      <c r="G4" s="898"/>
      <c r="H4" s="898"/>
      <c r="I4" s="898" t="s">
        <v>332</v>
      </c>
      <c r="J4" s="898"/>
      <c r="K4" s="898"/>
      <c r="L4" s="898"/>
      <c r="M4" s="898"/>
      <c r="N4" s="898" t="s">
        <v>333</v>
      </c>
      <c r="O4" s="898"/>
      <c r="P4" s="898"/>
      <c r="Q4" s="899"/>
      <c r="R4" s="899"/>
      <c r="S4" s="3025" t="s">
        <v>953</v>
      </c>
      <c r="T4" s="3017" t="s">
        <v>954</v>
      </c>
    </row>
    <row r="5" spans="1:20" ht="47.25" customHeight="1" thickBot="1" thickTop="1">
      <c r="A5" s="900"/>
      <c r="B5" s="2611" t="s">
        <v>955</v>
      </c>
      <c r="C5" s="3024"/>
      <c r="D5" s="2612" t="s">
        <v>334</v>
      </c>
      <c r="E5" s="2613" t="s">
        <v>956</v>
      </c>
      <c r="F5" s="2612" t="s">
        <v>957</v>
      </c>
      <c r="G5" s="2614" t="s">
        <v>335</v>
      </c>
      <c r="H5" s="2615" t="s">
        <v>336</v>
      </c>
      <c r="I5" s="2612" t="s">
        <v>334</v>
      </c>
      <c r="J5" s="2613" t="s">
        <v>956</v>
      </c>
      <c r="K5" s="2612" t="s">
        <v>957</v>
      </c>
      <c r="L5" s="2614" t="s">
        <v>337</v>
      </c>
      <c r="M5" s="2615" t="s">
        <v>338</v>
      </c>
      <c r="N5" s="2612" t="s">
        <v>334</v>
      </c>
      <c r="O5" s="2613" t="s">
        <v>956</v>
      </c>
      <c r="P5" s="2612" t="s">
        <v>957</v>
      </c>
      <c r="Q5" s="2614" t="s">
        <v>339</v>
      </c>
      <c r="R5" s="2615" t="s">
        <v>340</v>
      </c>
      <c r="S5" s="3026"/>
      <c r="T5" s="3018"/>
    </row>
    <row r="6" spans="1:20" s="911" customFormat="1" ht="9" customHeight="1" thickBot="1" thickTop="1">
      <c r="A6" s="906">
        <v>1</v>
      </c>
      <c r="B6" s="907">
        <v>2</v>
      </c>
      <c r="C6" s="2616">
        <v>3</v>
      </c>
      <c r="D6" s="909">
        <v>4</v>
      </c>
      <c r="E6" s="909">
        <v>5</v>
      </c>
      <c r="F6" s="909">
        <v>6</v>
      </c>
      <c r="G6" s="909">
        <v>7</v>
      </c>
      <c r="H6" s="910">
        <v>8</v>
      </c>
      <c r="I6" s="909">
        <v>9</v>
      </c>
      <c r="J6" s="909">
        <v>10</v>
      </c>
      <c r="K6" s="909">
        <v>11</v>
      </c>
      <c r="L6" s="909">
        <v>12</v>
      </c>
      <c r="M6" s="910">
        <v>13</v>
      </c>
      <c r="N6" s="909">
        <v>14</v>
      </c>
      <c r="O6" s="909">
        <v>15</v>
      </c>
      <c r="P6" s="909">
        <v>16</v>
      </c>
      <c r="Q6" s="909">
        <v>17</v>
      </c>
      <c r="R6" s="910">
        <v>18</v>
      </c>
      <c r="S6" s="2616">
        <v>19</v>
      </c>
      <c r="T6" s="908">
        <v>19</v>
      </c>
    </row>
    <row r="7" spans="1:20" s="650" customFormat="1" ht="56.25" customHeight="1" thickTop="1">
      <c r="A7" s="912">
        <v>1</v>
      </c>
      <c r="B7" s="913" t="s">
        <v>341</v>
      </c>
      <c r="C7" s="2617">
        <v>-7024.1</v>
      </c>
      <c r="D7" s="915">
        <v>15522.6</v>
      </c>
      <c r="E7" s="916">
        <v>26465</v>
      </c>
      <c r="F7" s="915">
        <v>12895.3</v>
      </c>
      <c r="G7" s="915">
        <f>F7/D7*100</f>
        <v>83.07435610013786</v>
      </c>
      <c r="H7" s="917">
        <f>F7/E7*100</f>
        <v>48.725864349140366</v>
      </c>
      <c r="I7" s="915">
        <v>301.3</v>
      </c>
      <c r="J7" s="916">
        <v>9009</v>
      </c>
      <c r="K7" s="915">
        <v>2511.7</v>
      </c>
      <c r="L7" s="915">
        <f>K7/I7*100</f>
        <v>833.620975771656</v>
      </c>
      <c r="M7" s="917">
        <f>K7/J7*100</f>
        <v>27.87989787989788</v>
      </c>
      <c r="N7" s="915">
        <v>18061.5</v>
      </c>
      <c r="O7" s="916">
        <v>35474</v>
      </c>
      <c r="P7" s="915">
        <v>14666.6</v>
      </c>
      <c r="Q7" s="915">
        <f>P7/N7*100</f>
        <v>81.2036652548238</v>
      </c>
      <c r="R7" s="917">
        <f>P7/O7*100</f>
        <v>41.34464678355979</v>
      </c>
      <c r="S7" s="2617">
        <f>C7+F7+K7-P7</f>
        <v>-6283.700000000003</v>
      </c>
      <c r="T7" s="914">
        <v>10894.8</v>
      </c>
    </row>
    <row r="8" spans="1:20" s="650" customFormat="1" ht="45.75" customHeight="1">
      <c r="A8" s="918">
        <v>2</v>
      </c>
      <c r="B8" s="919" t="s">
        <v>342</v>
      </c>
      <c r="C8" s="2617">
        <v>-100.6</v>
      </c>
      <c r="D8" s="920">
        <v>320.2</v>
      </c>
      <c r="E8" s="920">
        <v>560.9</v>
      </c>
      <c r="F8" s="920">
        <v>359.9</v>
      </c>
      <c r="G8" s="915">
        <f>F8/D8*100</f>
        <v>112.39850093691443</v>
      </c>
      <c r="H8" s="917">
        <f>F8/E8*100</f>
        <v>64.1647352469246</v>
      </c>
      <c r="I8" s="920">
        <v>945</v>
      </c>
      <c r="J8" s="920">
        <v>1907.7</v>
      </c>
      <c r="K8" s="920">
        <v>1004</v>
      </c>
      <c r="L8" s="915">
        <f>K8/I8*100</f>
        <v>106.24338624338625</v>
      </c>
      <c r="M8" s="917">
        <f>K8/J8*100</f>
        <v>52.62882004508046</v>
      </c>
      <c r="N8" s="920">
        <v>1092</v>
      </c>
      <c r="O8" s="920">
        <v>2477.8</v>
      </c>
      <c r="P8" s="920">
        <v>1263.1</v>
      </c>
      <c r="Q8" s="915">
        <f>P8/N8*100</f>
        <v>115.66849816849816</v>
      </c>
      <c r="R8" s="917">
        <f>P8/O8*100</f>
        <v>50.976672854951964</v>
      </c>
      <c r="S8" s="2617">
        <f>C8+F8+K8-P8</f>
        <v>0.20000000000004547</v>
      </c>
      <c r="T8" s="914">
        <v>79.1</v>
      </c>
    </row>
    <row r="9" spans="1:20" s="650" customFormat="1" ht="54.75" customHeight="1" thickBot="1">
      <c r="A9" s="918">
        <v>3</v>
      </c>
      <c r="B9" s="919" t="s">
        <v>343</v>
      </c>
      <c r="C9" s="2617">
        <v>-518.1</v>
      </c>
      <c r="D9" s="920">
        <v>2299.4</v>
      </c>
      <c r="E9" s="920">
        <v>3954</v>
      </c>
      <c r="F9" s="920">
        <v>2390.5</v>
      </c>
      <c r="G9" s="915">
        <f>F9/D9*100</f>
        <v>103.96190310515787</v>
      </c>
      <c r="H9" s="917">
        <f>F9/E9*100</f>
        <v>60.457764289327265</v>
      </c>
      <c r="I9" s="920">
        <v>5265.7</v>
      </c>
      <c r="J9" s="920">
        <v>10027.3</v>
      </c>
      <c r="K9" s="920">
        <v>5742.1</v>
      </c>
      <c r="L9" s="915">
        <f>K9/I9*100</f>
        <v>109.0472301878193</v>
      </c>
      <c r="M9" s="917">
        <f>K9/J9*100</f>
        <v>57.264667457840105</v>
      </c>
      <c r="N9" s="920">
        <v>6783.7</v>
      </c>
      <c r="O9" s="920">
        <v>14153.1</v>
      </c>
      <c r="P9" s="920">
        <v>7109.9</v>
      </c>
      <c r="Q9" s="915">
        <f>P9/N9*100</f>
        <v>104.80858528531627</v>
      </c>
      <c r="R9" s="917">
        <f>P9/O9*100</f>
        <v>50.23563742219018</v>
      </c>
      <c r="S9" s="2617">
        <f>C9+F9+K9-P9</f>
        <v>504.60000000000036</v>
      </c>
      <c r="T9" s="914">
        <v>420.5</v>
      </c>
    </row>
    <row r="10" spans="1:20" s="927" customFormat="1" ht="45.75" customHeight="1" thickBot="1" thickTop="1">
      <c r="A10" s="3019" t="s">
        <v>102</v>
      </c>
      <c r="B10" s="3020"/>
      <c r="C10" s="921">
        <f>SUM(C7:C9)</f>
        <v>-7642.800000000001</v>
      </c>
      <c r="D10" s="922">
        <f>SUM(D7:D9)</f>
        <v>18142.2</v>
      </c>
      <c r="E10" s="923">
        <f>SUM(E7:E9)</f>
        <v>30979.9</v>
      </c>
      <c r="F10" s="922">
        <f>SUM(F7:F9)</f>
        <v>15645.699999999999</v>
      </c>
      <c r="G10" s="924">
        <f>F10/D10*100</f>
        <v>86.23926535921773</v>
      </c>
      <c r="H10" s="925">
        <f>F10/E10*100</f>
        <v>50.50274532842261</v>
      </c>
      <c r="I10" s="922">
        <f>SUM(I7:I9)</f>
        <v>6512</v>
      </c>
      <c r="J10" s="923">
        <f>SUM(J7:J9)</f>
        <v>20944</v>
      </c>
      <c r="K10" s="922">
        <f>SUM(K7:K9)</f>
        <v>9257.8</v>
      </c>
      <c r="L10" s="924">
        <f>K10/I10*100</f>
        <v>142.1652334152334</v>
      </c>
      <c r="M10" s="925">
        <f>K10/J10*100</f>
        <v>44.20263559969442</v>
      </c>
      <c r="N10" s="922">
        <f>SUM(N7:N9)</f>
        <v>25937.2</v>
      </c>
      <c r="O10" s="923">
        <f>SUM(O7:O9)</f>
        <v>52104.9</v>
      </c>
      <c r="P10" s="922">
        <f>SUM(P7:P9)</f>
        <v>23039.6</v>
      </c>
      <c r="Q10" s="924">
        <f>P10/N10*100</f>
        <v>88.82840090680565</v>
      </c>
      <c r="R10" s="925">
        <f>P10/O10*100</f>
        <v>44.21772232553944</v>
      </c>
      <c r="S10" s="2618">
        <f>SUM(S7:S9)</f>
        <v>-5778.900000000002</v>
      </c>
      <c r="T10" s="926">
        <f>SUM(T7:T9)</f>
        <v>11394.4</v>
      </c>
    </row>
    <row r="11" spans="19:20" ht="13.5" thickTop="1">
      <c r="S11" s="928"/>
      <c r="T11" s="928"/>
    </row>
    <row r="12" spans="19:20" ht="12.75">
      <c r="S12" s="928"/>
      <c r="T12" s="928"/>
    </row>
    <row r="13" spans="19:20" ht="12.75">
      <c r="S13" s="928"/>
      <c r="T13" s="928"/>
    </row>
    <row r="14" spans="19:20" ht="12.75">
      <c r="S14" s="928"/>
      <c r="T14" s="928"/>
    </row>
    <row r="15" spans="19:20" ht="12.75">
      <c r="S15" s="928"/>
      <c r="T15" s="928"/>
    </row>
    <row r="16" spans="19:20" ht="12.75">
      <c r="S16" s="928"/>
      <c r="T16" s="928"/>
    </row>
    <row r="17" spans="19:20" ht="12.75">
      <c r="S17" s="928"/>
      <c r="T17" s="928"/>
    </row>
    <row r="18" spans="19:20" ht="12.75">
      <c r="S18" s="928"/>
      <c r="T18" s="928"/>
    </row>
    <row r="19" spans="19:20" ht="12.75">
      <c r="S19" s="928"/>
      <c r="T19" s="928"/>
    </row>
    <row r="20" spans="19:20" ht="12.75">
      <c r="S20" s="928"/>
      <c r="T20" s="928"/>
    </row>
    <row r="21" spans="19:20" ht="12.75">
      <c r="S21" s="928"/>
      <c r="T21" s="928"/>
    </row>
    <row r="22" spans="19:20" ht="12.75">
      <c r="S22" s="928"/>
      <c r="T22" s="928"/>
    </row>
    <row r="23" spans="19:20" ht="12.75">
      <c r="S23" s="928"/>
      <c r="T23" s="928"/>
    </row>
    <row r="24" spans="19:20" ht="12.75">
      <c r="S24" s="928"/>
      <c r="T24" s="928"/>
    </row>
    <row r="25" spans="19:20" ht="12.75">
      <c r="S25" s="928"/>
      <c r="T25" s="928"/>
    </row>
    <row r="26" spans="19:20" ht="12.75">
      <c r="S26" s="928"/>
      <c r="T26" s="928"/>
    </row>
    <row r="27" spans="19:20" ht="12.75">
      <c r="S27" s="928"/>
      <c r="T27" s="928"/>
    </row>
    <row r="28" spans="19:20" ht="12.75">
      <c r="S28" s="928"/>
      <c r="T28" s="928"/>
    </row>
    <row r="29" spans="19:20" ht="12.75">
      <c r="S29" s="928"/>
      <c r="T29" s="928"/>
    </row>
    <row r="30" spans="19:20" ht="12.75">
      <c r="S30" s="928"/>
      <c r="T30" s="928"/>
    </row>
    <row r="31" spans="19:20" ht="12.75">
      <c r="S31" s="928"/>
      <c r="T31" s="928"/>
    </row>
    <row r="32" spans="19:20" ht="12.75">
      <c r="S32" s="928"/>
      <c r="T32" s="928"/>
    </row>
    <row r="33" spans="19:20" ht="12.75">
      <c r="S33" s="928"/>
      <c r="T33" s="928"/>
    </row>
    <row r="34" spans="19:20" ht="12.75">
      <c r="S34" s="928"/>
      <c r="T34" s="928"/>
    </row>
    <row r="35" spans="19:20" ht="12.75">
      <c r="S35" s="928"/>
      <c r="T35" s="928"/>
    </row>
    <row r="36" spans="19:20" ht="12.75">
      <c r="S36" s="928"/>
      <c r="T36" s="928"/>
    </row>
    <row r="37" spans="19:20" ht="12.75">
      <c r="S37" s="928"/>
      <c r="T37" s="928"/>
    </row>
    <row r="38" spans="19:20" ht="12.75">
      <c r="S38" s="928"/>
      <c r="T38" s="928"/>
    </row>
    <row r="39" spans="19:20" ht="12.75">
      <c r="S39" s="928"/>
      <c r="T39" s="928"/>
    </row>
    <row r="40" spans="19:20" ht="12.75">
      <c r="S40" s="928"/>
      <c r="T40" s="928"/>
    </row>
    <row r="41" spans="19:20" ht="12.75">
      <c r="S41" s="928"/>
      <c r="T41" s="928"/>
    </row>
    <row r="42" spans="19:20" ht="12.75">
      <c r="S42" s="928"/>
      <c r="T42" s="928"/>
    </row>
    <row r="43" spans="19:20" ht="12.75">
      <c r="S43" s="928"/>
      <c r="T43" s="928"/>
    </row>
    <row r="44" spans="19:20" ht="12.75">
      <c r="S44" s="928"/>
      <c r="T44" s="928"/>
    </row>
    <row r="45" spans="19:20" ht="12.75">
      <c r="S45" s="928"/>
      <c r="T45" s="928"/>
    </row>
    <row r="46" spans="19:20" ht="12.75">
      <c r="S46" s="928"/>
      <c r="T46" s="928"/>
    </row>
    <row r="47" spans="19:20" ht="12.75">
      <c r="S47" s="928"/>
      <c r="T47" s="928"/>
    </row>
    <row r="48" spans="19:20" ht="12.75">
      <c r="S48" s="928"/>
      <c r="T48" s="928"/>
    </row>
    <row r="49" spans="19:20" ht="12.75">
      <c r="S49" s="928"/>
      <c r="T49" s="928"/>
    </row>
    <row r="50" spans="19:20" ht="12.75">
      <c r="S50" s="928"/>
      <c r="T50" s="928"/>
    </row>
    <row r="51" spans="19:20" ht="12.75">
      <c r="S51" s="928"/>
      <c r="T51" s="928"/>
    </row>
    <row r="52" spans="19:20" ht="12.75">
      <c r="S52" s="928"/>
      <c r="T52" s="928"/>
    </row>
    <row r="53" spans="19:20" ht="12.75">
      <c r="S53" s="928"/>
      <c r="T53" s="928"/>
    </row>
    <row r="54" spans="19:20" ht="12.75">
      <c r="S54" s="928"/>
      <c r="T54" s="928"/>
    </row>
    <row r="55" spans="19:20" ht="12.75">
      <c r="S55" s="928"/>
      <c r="T55" s="928"/>
    </row>
    <row r="56" spans="19:20" ht="12.75">
      <c r="S56" s="928"/>
      <c r="T56" s="928"/>
    </row>
    <row r="57" spans="19:20" ht="12.75">
      <c r="S57" s="928"/>
      <c r="T57" s="928"/>
    </row>
    <row r="58" spans="19:20" ht="12.75">
      <c r="S58" s="928"/>
      <c r="T58" s="928"/>
    </row>
    <row r="59" spans="19:20" ht="12.75">
      <c r="S59" s="928"/>
      <c r="T59" s="928"/>
    </row>
    <row r="60" spans="19:20" ht="12.75">
      <c r="S60" s="928"/>
      <c r="T60" s="928"/>
    </row>
    <row r="61" spans="19:20" ht="12.75">
      <c r="S61" s="928"/>
      <c r="T61" s="928"/>
    </row>
    <row r="62" spans="19:20" ht="12.75">
      <c r="S62" s="928"/>
      <c r="T62" s="928"/>
    </row>
    <row r="63" spans="19:20" ht="12.75">
      <c r="S63" s="928"/>
      <c r="T63" s="928"/>
    </row>
    <row r="64" spans="19:20" ht="12.75">
      <c r="S64" s="928"/>
      <c r="T64" s="928"/>
    </row>
    <row r="65" spans="19:20" ht="12.75">
      <c r="S65" s="928"/>
      <c r="T65" s="928"/>
    </row>
    <row r="66" spans="19:20" ht="12.75">
      <c r="S66" s="928"/>
      <c r="T66" s="928"/>
    </row>
    <row r="67" spans="19:20" ht="12.75">
      <c r="S67" s="928"/>
      <c r="T67" s="928"/>
    </row>
    <row r="68" spans="19:20" ht="12.75">
      <c r="S68" s="928"/>
      <c r="T68" s="928"/>
    </row>
    <row r="69" spans="19:20" ht="12.75">
      <c r="S69" s="928"/>
      <c r="T69" s="928"/>
    </row>
    <row r="70" spans="19:20" ht="12.75">
      <c r="S70" s="928"/>
      <c r="T70" s="928"/>
    </row>
    <row r="71" spans="19:20" ht="12.75">
      <c r="S71" s="928"/>
      <c r="T71" s="928"/>
    </row>
    <row r="72" spans="19:20" ht="12.75">
      <c r="S72" s="928"/>
      <c r="T72" s="928"/>
    </row>
    <row r="73" spans="19:20" ht="12.75">
      <c r="S73" s="928"/>
      <c r="T73" s="928"/>
    </row>
    <row r="74" spans="19:20" ht="12.75">
      <c r="S74" s="928"/>
      <c r="T74" s="928"/>
    </row>
    <row r="75" spans="19:20" ht="12.75">
      <c r="S75" s="928"/>
      <c r="T75" s="928"/>
    </row>
    <row r="76" spans="19:20" ht="12.75">
      <c r="S76" s="928"/>
      <c r="T76" s="928"/>
    </row>
    <row r="77" spans="19:20" ht="12.75">
      <c r="S77" s="928"/>
      <c r="T77" s="928"/>
    </row>
    <row r="78" spans="19:20" ht="12.75">
      <c r="S78" s="928"/>
      <c r="T78" s="928"/>
    </row>
    <row r="79" spans="19:20" ht="12.75">
      <c r="S79" s="928"/>
      <c r="T79" s="928"/>
    </row>
    <row r="80" spans="19:20" ht="12.75">
      <c r="S80" s="928"/>
      <c r="T80" s="928"/>
    </row>
    <row r="81" spans="19:20" ht="12.75">
      <c r="S81" s="928"/>
      <c r="T81" s="928"/>
    </row>
    <row r="82" spans="19:20" ht="12.75">
      <c r="S82" s="928"/>
      <c r="T82" s="928"/>
    </row>
    <row r="83" spans="19:20" ht="12.75">
      <c r="S83" s="928"/>
      <c r="T83" s="928"/>
    </row>
    <row r="84" spans="19:20" ht="12.75">
      <c r="S84" s="928"/>
      <c r="T84" s="928"/>
    </row>
    <row r="85" spans="19:20" ht="12.75">
      <c r="S85" s="928"/>
      <c r="T85" s="928"/>
    </row>
    <row r="86" spans="19:20" ht="12.75">
      <c r="S86" s="928"/>
      <c r="T86" s="928"/>
    </row>
    <row r="87" spans="19:20" ht="12.75">
      <c r="S87" s="928"/>
      <c r="T87" s="928"/>
    </row>
    <row r="88" spans="19:20" ht="12.75">
      <c r="S88" s="928"/>
      <c r="T88" s="928"/>
    </row>
    <row r="89" spans="19:20" ht="12.75">
      <c r="S89" s="928"/>
      <c r="T89" s="928"/>
    </row>
    <row r="90" spans="19:20" ht="12.75">
      <c r="S90" s="928"/>
      <c r="T90" s="928"/>
    </row>
    <row r="91" spans="19:20" ht="12.75">
      <c r="S91" s="928"/>
      <c r="T91" s="928"/>
    </row>
    <row r="92" spans="19:20" ht="12.75">
      <c r="S92" s="928"/>
      <c r="T92" s="928"/>
    </row>
    <row r="93" spans="19:20" ht="12.75">
      <c r="S93" s="928"/>
      <c r="T93" s="928"/>
    </row>
    <row r="94" spans="19:20" ht="12.75">
      <c r="S94" s="928"/>
      <c r="T94" s="928"/>
    </row>
    <row r="95" spans="19:20" ht="12.75">
      <c r="S95" s="928"/>
      <c r="T95" s="928"/>
    </row>
    <row r="96" spans="19:20" ht="12.75">
      <c r="S96" s="928"/>
      <c r="T96" s="928"/>
    </row>
    <row r="97" spans="19:20" ht="12.75">
      <c r="S97" s="928"/>
      <c r="T97" s="928"/>
    </row>
    <row r="98" spans="19:20" ht="12.75">
      <c r="S98" s="928"/>
      <c r="T98" s="928"/>
    </row>
    <row r="99" spans="19:20" ht="12.75">
      <c r="S99" s="928"/>
      <c r="T99" s="928"/>
    </row>
    <row r="100" spans="19:20" ht="12.75">
      <c r="S100" s="928"/>
      <c r="T100" s="928"/>
    </row>
    <row r="101" spans="19:20" ht="12.75">
      <c r="S101" s="928"/>
      <c r="T101" s="928"/>
    </row>
    <row r="102" spans="19:20" ht="12.75">
      <c r="S102" s="928"/>
      <c r="T102" s="928"/>
    </row>
    <row r="103" spans="19:20" ht="12.75">
      <c r="S103" s="928"/>
      <c r="T103" s="928"/>
    </row>
    <row r="104" spans="19:20" ht="12.75">
      <c r="S104" s="928"/>
      <c r="T104" s="928"/>
    </row>
    <row r="105" spans="19:20" ht="12.75">
      <c r="S105" s="928"/>
      <c r="T105" s="928"/>
    </row>
    <row r="106" spans="19:20" ht="12.75">
      <c r="S106" s="928"/>
      <c r="T106" s="928"/>
    </row>
    <row r="107" spans="19:20" ht="12.75">
      <c r="S107" s="928"/>
      <c r="T107" s="928"/>
    </row>
    <row r="108" spans="19:20" ht="12.75">
      <c r="S108" s="928"/>
      <c r="T108" s="928"/>
    </row>
    <row r="109" spans="19:20" ht="12.75">
      <c r="S109" s="928"/>
      <c r="T109" s="928"/>
    </row>
    <row r="110" spans="19:20" ht="12.75">
      <c r="S110" s="928"/>
      <c r="T110" s="928"/>
    </row>
    <row r="111" spans="19:20" ht="12.75">
      <c r="S111" s="928"/>
      <c r="T111" s="928"/>
    </row>
    <row r="112" spans="19:20" ht="12.75">
      <c r="S112" s="928"/>
      <c r="T112" s="928"/>
    </row>
    <row r="113" spans="19:20" ht="12.75">
      <c r="S113" s="928"/>
      <c r="T113" s="928"/>
    </row>
    <row r="114" spans="19:20" ht="12.75">
      <c r="S114" s="928"/>
      <c r="T114" s="928"/>
    </row>
    <row r="115" spans="19:20" ht="12.75">
      <c r="S115" s="928"/>
      <c r="T115" s="928"/>
    </row>
    <row r="116" spans="19:20" ht="12.75">
      <c r="S116" s="928"/>
      <c r="T116" s="928"/>
    </row>
    <row r="117" spans="19:20" ht="12.75">
      <c r="S117" s="928"/>
      <c r="T117" s="928"/>
    </row>
    <row r="118" spans="19:20" ht="12.75">
      <c r="S118" s="928"/>
      <c r="T118" s="928"/>
    </row>
    <row r="119" spans="19:20" ht="12.75">
      <c r="S119" s="928"/>
      <c r="T119" s="928"/>
    </row>
    <row r="120" spans="19:20" ht="12.75">
      <c r="S120" s="928"/>
      <c r="T120" s="928"/>
    </row>
    <row r="121" spans="19:20" ht="12.75">
      <c r="S121" s="928"/>
      <c r="T121" s="928"/>
    </row>
    <row r="122" spans="19:20" ht="12.75">
      <c r="S122" s="928"/>
      <c r="T122" s="928"/>
    </row>
    <row r="123" spans="19:20" ht="12.75">
      <c r="S123" s="928"/>
      <c r="T123" s="928"/>
    </row>
    <row r="124" spans="19:20" ht="12.75">
      <c r="S124" s="928"/>
      <c r="T124" s="928"/>
    </row>
    <row r="125" spans="19:20" ht="12.75">
      <c r="S125" s="928"/>
      <c r="T125" s="928"/>
    </row>
    <row r="126" spans="19:20" ht="12.75">
      <c r="S126" s="928"/>
      <c r="T126" s="928"/>
    </row>
    <row r="127" spans="19:20" ht="12.75">
      <c r="S127" s="928"/>
      <c r="T127" s="928"/>
    </row>
    <row r="128" spans="19:20" ht="12.75">
      <c r="S128" s="928"/>
      <c r="T128" s="928"/>
    </row>
    <row r="129" spans="19:20" ht="12.75">
      <c r="S129" s="928"/>
      <c r="T129" s="928"/>
    </row>
    <row r="130" spans="19:20" ht="12.75">
      <c r="S130" s="928"/>
      <c r="T130" s="928"/>
    </row>
    <row r="131" spans="19:20" ht="12.75">
      <c r="S131" s="928"/>
      <c r="T131" s="928"/>
    </row>
    <row r="132" spans="19:20" ht="12.75">
      <c r="S132" s="928"/>
      <c r="T132" s="928"/>
    </row>
    <row r="133" spans="19:20" ht="12.75">
      <c r="S133" s="928"/>
      <c r="T133" s="928"/>
    </row>
    <row r="134" spans="19:20" ht="12.75">
      <c r="S134" s="928"/>
      <c r="T134" s="928"/>
    </row>
  </sheetData>
  <mergeCells count="6">
    <mergeCell ref="T4:T5"/>
    <mergeCell ref="A10:B10"/>
    <mergeCell ref="R1:S1"/>
    <mergeCell ref="B2:S2"/>
    <mergeCell ref="C4:C5"/>
    <mergeCell ref="S4:S5"/>
  </mergeCells>
  <printOptions horizontalCentered="1"/>
  <pageMargins left="0" right="0" top="0.7874015748031497" bottom="0.3937007874015748" header="0.5118110236220472" footer="0.5118110236220472"/>
  <pageSetup firstPageNumber="62" useFirstPageNumber="1" horizontalDpi="600" verticalDpi="600" orientation="landscape" paperSize="9" r:id="rId1"/>
  <headerFooter alignWithMargins="0">
    <oddHeader>&amp;C&amp;"Times New Roman,Normalny"&amp;P</oddHeader>
  </headerFooter>
</worksheet>
</file>

<file path=xl/worksheets/sheet16.xml><?xml version="1.0" encoding="utf-8"?>
<worksheet xmlns="http://schemas.openxmlformats.org/spreadsheetml/2006/main" xmlns:r="http://schemas.openxmlformats.org/officeDocument/2006/relationships">
  <dimension ref="A1:T136"/>
  <sheetViews>
    <sheetView workbookViewId="0" topLeftCell="A1">
      <selection activeCell="J7" sqref="J7"/>
    </sheetView>
  </sheetViews>
  <sheetFormatPr defaultColWidth="9.00390625" defaultRowHeight="12.75"/>
  <cols>
    <col min="1" max="1" width="2.625" style="630" customWidth="1"/>
    <col min="2" max="2" width="10.625" style="892" customWidth="1"/>
    <col min="3" max="4" width="7.875" style="630" customWidth="1"/>
    <col min="5" max="5" width="8.00390625" style="630" customWidth="1"/>
    <col min="6" max="6" width="6.00390625" style="630" customWidth="1"/>
    <col min="7" max="7" width="6.25390625" style="630" customWidth="1"/>
    <col min="8" max="8" width="7.75390625" style="630" customWidth="1"/>
    <col min="9" max="10" width="7.625" style="630" customWidth="1"/>
    <col min="11" max="11" width="5.625" style="630" customWidth="1"/>
    <col min="12" max="12" width="6.00390625" style="630" customWidth="1"/>
    <col min="13" max="13" width="8.125" style="630" customWidth="1"/>
    <col min="14" max="14" width="7.375" style="630" customWidth="1"/>
    <col min="15" max="15" width="8.25390625" style="630" customWidth="1"/>
    <col min="16" max="17" width="5.875" style="630" customWidth="1"/>
    <col min="18" max="18" width="7.625" style="929" customWidth="1"/>
    <col min="19" max="19" width="7.375" style="929" customWidth="1"/>
    <col min="20" max="20" width="8.25390625" style="929" customWidth="1"/>
    <col min="21" max="16384" width="10.00390625" style="630" customWidth="1"/>
  </cols>
  <sheetData>
    <row r="1" spans="1:20" ht="31.5" customHeight="1">
      <c r="A1" s="630" t="s">
        <v>327</v>
      </c>
      <c r="R1" s="893"/>
      <c r="S1" s="1777" t="s">
        <v>958</v>
      </c>
      <c r="T1" s="630"/>
    </row>
    <row r="2" spans="1:20" s="893" customFormat="1" ht="36" customHeight="1">
      <c r="A2" s="894"/>
      <c r="B2" s="3022" t="s">
        <v>959</v>
      </c>
      <c r="C2" s="3022"/>
      <c r="D2" s="3022"/>
      <c r="E2" s="3022"/>
      <c r="F2" s="3022"/>
      <c r="G2" s="3022"/>
      <c r="H2" s="3022"/>
      <c r="I2" s="3022"/>
      <c r="J2" s="3022"/>
      <c r="K2" s="3022"/>
      <c r="L2" s="3022"/>
      <c r="M2" s="3022"/>
      <c r="N2" s="3022"/>
      <c r="O2" s="3022"/>
      <c r="P2" s="3022"/>
      <c r="Q2" s="3022"/>
      <c r="R2" s="3022"/>
      <c r="S2" s="894"/>
      <c r="T2" s="894"/>
    </row>
    <row r="3" spans="2:20" s="893" customFormat="1" ht="18.75" customHeight="1" thickBot="1">
      <c r="B3" s="892"/>
      <c r="R3" s="895"/>
      <c r="T3" s="895" t="s">
        <v>329</v>
      </c>
    </row>
    <row r="4" spans="1:20" ht="32.25" customHeight="1" thickBot="1" thickTop="1">
      <c r="A4" s="896" t="s">
        <v>330</v>
      </c>
      <c r="B4" s="2619" t="s">
        <v>951</v>
      </c>
      <c r="C4" s="897" t="s">
        <v>331</v>
      </c>
      <c r="D4" s="898"/>
      <c r="E4" s="898"/>
      <c r="F4" s="898"/>
      <c r="G4" s="898"/>
      <c r="H4" s="898" t="s">
        <v>332</v>
      </c>
      <c r="I4" s="898"/>
      <c r="J4" s="898"/>
      <c r="K4" s="898"/>
      <c r="L4" s="898"/>
      <c r="M4" s="898" t="s">
        <v>333</v>
      </c>
      <c r="N4" s="898"/>
      <c r="O4" s="898"/>
      <c r="P4" s="899"/>
      <c r="Q4" s="899"/>
      <c r="R4" s="3027" t="s">
        <v>960</v>
      </c>
      <c r="S4" s="3028"/>
      <c r="T4" s="2620" t="s">
        <v>961</v>
      </c>
    </row>
    <row r="5" spans="1:20" ht="43.5" customHeight="1" thickBot="1" thickTop="1">
      <c r="A5" s="900"/>
      <c r="B5" s="2621" t="s">
        <v>962</v>
      </c>
      <c r="C5" s="2622" t="s">
        <v>334</v>
      </c>
      <c r="D5" s="903" t="s">
        <v>956</v>
      </c>
      <c r="E5" s="902" t="s">
        <v>957</v>
      </c>
      <c r="F5" s="904" t="s">
        <v>963</v>
      </c>
      <c r="G5" s="905" t="s">
        <v>964</v>
      </c>
      <c r="H5" s="902" t="s">
        <v>334</v>
      </c>
      <c r="I5" s="903" t="s">
        <v>956</v>
      </c>
      <c r="J5" s="902" t="s">
        <v>957</v>
      </c>
      <c r="K5" s="904" t="s">
        <v>965</v>
      </c>
      <c r="L5" s="905" t="s">
        <v>966</v>
      </c>
      <c r="M5" s="902" t="s">
        <v>334</v>
      </c>
      <c r="N5" s="903" t="s">
        <v>956</v>
      </c>
      <c r="O5" s="902" t="s">
        <v>957</v>
      </c>
      <c r="P5" s="904" t="s">
        <v>967</v>
      </c>
      <c r="Q5" s="905" t="s">
        <v>968</v>
      </c>
      <c r="R5" s="2623" t="s">
        <v>969</v>
      </c>
      <c r="S5" s="2623" t="s">
        <v>970</v>
      </c>
      <c r="T5" s="901" t="s">
        <v>971</v>
      </c>
    </row>
    <row r="6" spans="1:20" s="911" customFormat="1" ht="12" customHeight="1" thickBot="1" thickTop="1">
      <c r="A6" s="906">
        <v>1</v>
      </c>
      <c r="B6" s="2624">
        <v>2</v>
      </c>
      <c r="C6" s="2625">
        <v>3</v>
      </c>
      <c r="D6" s="909">
        <v>4</v>
      </c>
      <c r="E6" s="909">
        <v>5</v>
      </c>
      <c r="F6" s="909">
        <v>6</v>
      </c>
      <c r="G6" s="910">
        <v>7</v>
      </c>
      <c r="H6" s="909">
        <v>8</v>
      </c>
      <c r="I6" s="909">
        <v>9</v>
      </c>
      <c r="J6" s="909">
        <v>10</v>
      </c>
      <c r="K6" s="909">
        <v>11</v>
      </c>
      <c r="L6" s="910">
        <v>12</v>
      </c>
      <c r="M6" s="909">
        <v>13</v>
      </c>
      <c r="N6" s="909">
        <v>14</v>
      </c>
      <c r="O6" s="909">
        <v>15</v>
      </c>
      <c r="P6" s="909">
        <v>16</v>
      </c>
      <c r="Q6" s="910">
        <v>17</v>
      </c>
      <c r="R6" s="908">
        <v>19</v>
      </c>
      <c r="S6" s="908">
        <v>20</v>
      </c>
      <c r="T6" s="908">
        <v>8</v>
      </c>
    </row>
    <row r="7" spans="1:20" s="650" customFormat="1" ht="40.5" customHeight="1" thickTop="1">
      <c r="A7" s="912">
        <v>1</v>
      </c>
      <c r="B7" s="2626" t="s">
        <v>344</v>
      </c>
      <c r="C7" s="2627">
        <v>874.4</v>
      </c>
      <c r="D7" s="916">
        <v>2844.6</v>
      </c>
      <c r="E7" s="915">
        <v>1977.1</v>
      </c>
      <c r="F7" s="915">
        <f aca="true" t="shared" si="0" ref="F7:F12">E7/C7*100</f>
        <v>226.10933211344923</v>
      </c>
      <c r="G7" s="917">
        <f aca="true" t="shared" si="1" ref="G7:G12">E7/D7*100</f>
        <v>69.50362089573227</v>
      </c>
      <c r="H7" s="915">
        <v>1447</v>
      </c>
      <c r="I7" s="916">
        <v>2351.1</v>
      </c>
      <c r="J7" s="915">
        <v>1609.2</v>
      </c>
      <c r="K7" s="915">
        <f aca="true" t="shared" si="2" ref="K7:K12">J7/H7*100</f>
        <v>111.20939875604701</v>
      </c>
      <c r="L7" s="917">
        <f aca="true" t="shared" si="3" ref="L7:L12">J7/I7*100</f>
        <v>68.44455786653056</v>
      </c>
      <c r="M7" s="915">
        <v>2427.4</v>
      </c>
      <c r="N7" s="916">
        <v>5195.7</v>
      </c>
      <c r="O7" s="915">
        <v>3567.6</v>
      </c>
      <c r="P7" s="915">
        <f aca="true" t="shared" si="4" ref="P7:P12">O7/M7*100</f>
        <v>146.97206888028342</v>
      </c>
      <c r="Q7" s="917">
        <f aca="true" t="shared" si="5" ref="Q7:Q12">O7/N7*100</f>
        <v>68.6644725446042</v>
      </c>
      <c r="R7" s="914">
        <v>841.5</v>
      </c>
      <c r="S7" s="914">
        <v>328.9</v>
      </c>
      <c r="T7" s="914">
        <f>E7+J7-O7</f>
        <v>18.700000000000273</v>
      </c>
    </row>
    <row r="8" spans="1:20" s="650" customFormat="1" ht="46.5" customHeight="1">
      <c r="A8" s="912">
        <v>2</v>
      </c>
      <c r="B8" s="2628" t="s">
        <v>345</v>
      </c>
      <c r="C8" s="2627">
        <v>94.1</v>
      </c>
      <c r="D8" s="916">
        <v>177.1</v>
      </c>
      <c r="E8" s="915">
        <v>104.3</v>
      </c>
      <c r="F8" s="915">
        <f t="shared" si="0"/>
        <v>110.83953241232732</v>
      </c>
      <c r="G8" s="917">
        <f t="shared" si="1"/>
        <v>58.89328063241107</v>
      </c>
      <c r="H8" s="915">
        <v>1627.7</v>
      </c>
      <c r="I8" s="916">
        <v>3403.2</v>
      </c>
      <c r="J8" s="915">
        <v>1614</v>
      </c>
      <c r="K8" s="915">
        <f t="shared" si="2"/>
        <v>99.15832155802666</v>
      </c>
      <c r="L8" s="917">
        <f t="shared" si="3"/>
        <v>47.425952045134</v>
      </c>
      <c r="M8" s="915">
        <v>1716.8</v>
      </c>
      <c r="N8" s="916">
        <v>3580.3</v>
      </c>
      <c r="O8" s="915">
        <v>1777.2</v>
      </c>
      <c r="P8" s="915">
        <f t="shared" si="4"/>
        <v>103.51817334575956</v>
      </c>
      <c r="Q8" s="917">
        <f t="shared" si="5"/>
        <v>49.638298466608944</v>
      </c>
      <c r="R8" s="914">
        <v>34.5</v>
      </c>
      <c r="S8" s="914">
        <v>6.4</v>
      </c>
      <c r="T8" s="914">
        <f>E8+J8-O8</f>
        <v>-58.90000000000009</v>
      </c>
    </row>
    <row r="9" spans="1:20" s="650" customFormat="1" ht="41.25" customHeight="1">
      <c r="A9" s="912">
        <v>3</v>
      </c>
      <c r="B9" s="2628" t="s">
        <v>346</v>
      </c>
      <c r="C9" s="2627">
        <v>686.8</v>
      </c>
      <c r="D9" s="916">
        <v>1454.5</v>
      </c>
      <c r="E9" s="915">
        <v>701.9</v>
      </c>
      <c r="F9" s="915">
        <f>E9/C9*100</f>
        <v>102.1986022131625</v>
      </c>
      <c r="G9" s="917">
        <f>E9/D9*100</f>
        <v>48.25713303540736</v>
      </c>
      <c r="H9" s="915">
        <v>1429.9</v>
      </c>
      <c r="I9" s="916">
        <v>2550.5</v>
      </c>
      <c r="J9" s="915">
        <v>1400.1</v>
      </c>
      <c r="K9" s="915">
        <f t="shared" si="2"/>
        <v>97.91593817749492</v>
      </c>
      <c r="L9" s="917">
        <f t="shared" si="3"/>
        <v>54.89511860419525</v>
      </c>
      <c r="M9" s="915">
        <v>1936.1</v>
      </c>
      <c r="N9" s="916">
        <v>4005</v>
      </c>
      <c r="O9" s="915">
        <v>2070.7</v>
      </c>
      <c r="P9" s="915">
        <f t="shared" si="4"/>
        <v>106.95212024172305</v>
      </c>
      <c r="Q9" s="917">
        <f t="shared" si="5"/>
        <v>51.70287141073657</v>
      </c>
      <c r="R9" s="914">
        <v>599.7</v>
      </c>
      <c r="S9" s="914">
        <v>129.3</v>
      </c>
      <c r="T9" s="914">
        <f>E9+J9-O9</f>
        <v>31.300000000000182</v>
      </c>
    </row>
    <row r="10" spans="1:20" s="650" customFormat="1" ht="42" customHeight="1">
      <c r="A10" s="912">
        <v>4</v>
      </c>
      <c r="B10" s="2628" t="s">
        <v>347</v>
      </c>
      <c r="C10" s="2627">
        <v>237.5</v>
      </c>
      <c r="D10" s="916">
        <v>390</v>
      </c>
      <c r="E10" s="915">
        <v>454.3</v>
      </c>
      <c r="F10" s="915">
        <f t="shared" si="0"/>
        <v>191.2842105263158</v>
      </c>
      <c r="G10" s="917">
        <f t="shared" si="1"/>
        <v>116.48717948717947</v>
      </c>
      <c r="H10" s="915">
        <v>1149.9</v>
      </c>
      <c r="I10" s="916">
        <v>2652</v>
      </c>
      <c r="J10" s="915">
        <v>1323.5</v>
      </c>
      <c r="K10" s="915">
        <f t="shared" si="2"/>
        <v>115.09696495347421</v>
      </c>
      <c r="L10" s="917">
        <f t="shared" si="3"/>
        <v>49.905731523378584</v>
      </c>
      <c r="M10" s="915">
        <v>1421.1</v>
      </c>
      <c r="N10" s="916">
        <v>3078.2</v>
      </c>
      <c r="O10" s="915">
        <v>1863.2</v>
      </c>
      <c r="P10" s="915">
        <f t="shared" si="4"/>
        <v>131.10970375061572</v>
      </c>
      <c r="Q10" s="917">
        <f t="shared" si="5"/>
        <v>60.52888051458645</v>
      </c>
      <c r="R10" s="914">
        <v>149.9</v>
      </c>
      <c r="S10" s="914">
        <v>27.1</v>
      </c>
      <c r="T10" s="914">
        <f>E10+J10-O10</f>
        <v>-85.40000000000009</v>
      </c>
    </row>
    <row r="11" spans="1:20" s="650" customFormat="1" ht="37.5" customHeight="1" thickBot="1">
      <c r="A11" s="912">
        <v>5</v>
      </c>
      <c r="B11" s="2628" t="s">
        <v>348</v>
      </c>
      <c r="C11" s="2627">
        <v>93.1</v>
      </c>
      <c r="D11" s="916">
        <v>148.1</v>
      </c>
      <c r="E11" s="915">
        <v>123.5</v>
      </c>
      <c r="F11" s="915">
        <f t="shared" si="0"/>
        <v>132.65306122448982</v>
      </c>
      <c r="G11" s="917">
        <f t="shared" si="1"/>
        <v>83.38960162052668</v>
      </c>
      <c r="H11" s="915">
        <v>856.8</v>
      </c>
      <c r="I11" s="916">
        <v>1517</v>
      </c>
      <c r="J11" s="915">
        <v>728.5</v>
      </c>
      <c r="K11" s="915">
        <f t="shared" si="2"/>
        <v>85.02567693744166</v>
      </c>
      <c r="L11" s="917">
        <f t="shared" si="3"/>
        <v>48.022412656559</v>
      </c>
      <c r="M11" s="915">
        <v>950.7</v>
      </c>
      <c r="N11" s="916">
        <v>1665.1</v>
      </c>
      <c r="O11" s="915">
        <v>859.3</v>
      </c>
      <c r="P11" s="915">
        <f t="shared" si="4"/>
        <v>90.3860313453245</v>
      </c>
      <c r="Q11" s="917">
        <f t="shared" si="5"/>
        <v>51.606510119512336</v>
      </c>
      <c r="R11" s="914">
        <v>119.7</v>
      </c>
      <c r="S11" s="914">
        <v>87.1</v>
      </c>
      <c r="T11" s="914">
        <f>E11+J11-O11</f>
        <v>-7.2999999999999545</v>
      </c>
    </row>
    <row r="12" spans="1:20" s="927" customFormat="1" ht="34.5" customHeight="1" thickBot="1" thickTop="1">
      <c r="A12" s="3019" t="s">
        <v>102</v>
      </c>
      <c r="B12" s="3020"/>
      <c r="C12" s="2629">
        <f>SUM(C7:C11)</f>
        <v>1985.8999999999999</v>
      </c>
      <c r="D12" s="923">
        <f>SUM(D7:D11)</f>
        <v>5014.3</v>
      </c>
      <c r="E12" s="922">
        <f>SUM(E7:E11)</f>
        <v>3361.1000000000004</v>
      </c>
      <c r="F12" s="924">
        <f t="shared" si="0"/>
        <v>169.248199808651</v>
      </c>
      <c r="G12" s="925">
        <f t="shared" si="1"/>
        <v>67.03029336098759</v>
      </c>
      <c r="H12" s="922">
        <f>SUM(H7:H11)</f>
        <v>6511.3</v>
      </c>
      <c r="I12" s="923">
        <f>SUM(I7:I11)</f>
        <v>12473.8</v>
      </c>
      <c r="J12" s="922">
        <f>SUM(J7:J11)</f>
        <v>6675.299999999999</v>
      </c>
      <c r="K12" s="924">
        <f t="shared" si="2"/>
        <v>102.51869826301967</v>
      </c>
      <c r="L12" s="925">
        <f t="shared" si="3"/>
        <v>53.514566531449915</v>
      </c>
      <c r="M12" s="922">
        <f>SUM(M7:M11)</f>
        <v>8452.1</v>
      </c>
      <c r="N12" s="923">
        <f>SUM(N7:N11)</f>
        <v>17524.3</v>
      </c>
      <c r="O12" s="922">
        <f>SUM(O7:O11)</f>
        <v>10138</v>
      </c>
      <c r="P12" s="924">
        <f t="shared" si="4"/>
        <v>119.9465221660889</v>
      </c>
      <c r="Q12" s="925">
        <f t="shared" si="5"/>
        <v>57.85109818937133</v>
      </c>
      <c r="R12" s="926">
        <f>SUM(R7:R11)</f>
        <v>1745.3000000000002</v>
      </c>
      <c r="S12" s="926">
        <f>SUM(S7:S11)</f>
        <v>578.8</v>
      </c>
      <c r="T12" s="2630">
        <f>SUM(T6:T11)</f>
        <v>-93.59999999999968</v>
      </c>
    </row>
    <row r="13" spans="18:20" ht="13.5" thickTop="1">
      <c r="R13" s="928"/>
      <c r="S13" s="928"/>
      <c r="T13" s="928"/>
    </row>
    <row r="14" spans="18:20" ht="12.75">
      <c r="R14" s="928"/>
      <c r="S14" s="928"/>
      <c r="T14" s="928"/>
    </row>
    <row r="15" spans="18:20" ht="12.75">
      <c r="R15" s="928"/>
      <c r="S15" s="928"/>
      <c r="T15" s="928"/>
    </row>
    <row r="16" spans="18:20" ht="12.75">
      <c r="R16" s="928"/>
      <c r="S16" s="928"/>
      <c r="T16" s="928"/>
    </row>
    <row r="17" spans="18:20" ht="12.75">
      <c r="R17" s="928"/>
      <c r="S17" s="928"/>
      <c r="T17" s="928"/>
    </row>
    <row r="18" spans="18:20" ht="12.75">
      <c r="R18" s="928"/>
      <c r="S18" s="928"/>
      <c r="T18" s="928"/>
    </row>
    <row r="19" spans="18:20" ht="12.75">
      <c r="R19" s="928"/>
      <c r="S19" s="928"/>
      <c r="T19" s="928"/>
    </row>
    <row r="20" spans="18:20" ht="12.75">
      <c r="R20" s="928"/>
      <c r="S20" s="928"/>
      <c r="T20" s="928"/>
    </row>
    <row r="21" spans="18:20" ht="12.75">
      <c r="R21" s="928"/>
      <c r="S21" s="928"/>
      <c r="T21" s="928"/>
    </row>
    <row r="22" spans="18:20" ht="12.75">
      <c r="R22" s="928"/>
      <c r="S22" s="928"/>
      <c r="T22" s="928"/>
    </row>
    <row r="23" spans="18:20" ht="12.75">
      <c r="R23" s="928"/>
      <c r="S23" s="928"/>
      <c r="T23" s="928"/>
    </row>
    <row r="24" spans="18:20" ht="12.75">
      <c r="R24" s="928"/>
      <c r="S24" s="928"/>
      <c r="T24" s="928"/>
    </row>
    <row r="25" spans="18:20" ht="12.75">
      <c r="R25" s="928"/>
      <c r="S25" s="928"/>
      <c r="T25" s="928"/>
    </row>
    <row r="26" spans="18:20" ht="12.75">
      <c r="R26" s="928"/>
      <c r="S26" s="928"/>
      <c r="T26" s="928"/>
    </row>
    <row r="27" spans="18:20" ht="12.75">
      <c r="R27" s="928"/>
      <c r="S27" s="928"/>
      <c r="T27" s="928"/>
    </row>
    <row r="28" spans="18:20" ht="12.75">
      <c r="R28" s="928"/>
      <c r="S28" s="928"/>
      <c r="T28" s="928"/>
    </row>
    <row r="29" spans="18:20" ht="12.75">
      <c r="R29" s="928"/>
      <c r="S29" s="928"/>
      <c r="T29" s="928"/>
    </row>
    <row r="30" spans="18:20" ht="12.75">
      <c r="R30" s="928"/>
      <c r="S30" s="928"/>
      <c r="T30" s="928"/>
    </row>
    <row r="31" spans="18:20" ht="12.75">
      <c r="R31" s="928"/>
      <c r="S31" s="928"/>
      <c r="T31" s="928"/>
    </row>
    <row r="32" spans="18:20" ht="12.75">
      <c r="R32" s="928"/>
      <c r="S32" s="928"/>
      <c r="T32" s="928"/>
    </row>
    <row r="33" spans="18:20" ht="12.75">
      <c r="R33" s="928"/>
      <c r="S33" s="928"/>
      <c r="T33" s="928"/>
    </row>
    <row r="34" spans="18:20" ht="12.75">
      <c r="R34" s="928"/>
      <c r="S34" s="928"/>
      <c r="T34" s="928"/>
    </row>
    <row r="35" spans="18:20" ht="12.75">
      <c r="R35" s="928"/>
      <c r="S35" s="928"/>
      <c r="T35" s="928"/>
    </row>
    <row r="36" spans="18:20" ht="12.75">
      <c r="R36" s="928"/>
      <c r="S36" s="928"/>
      <c r="T36" s="928"/>
    </row>
    <row r="37" spans="18:20" ht="12.75">
      <c r="R37" s="928"/>
      <c r="S37" s="928"/>
      <c r="T37" s="928"/>
    </row>
    <row r="38" spans="18:20" ht="12.75">
      <c r="R38" s="928"/>
      <c r="S38" s="928"/>
      <c r="T38" s="928"/>
    </row>
    <row r="39" spans="18:20" ht="12.75">
      <c r="R39" s="928"/>
      <c r="S39" s="928"/>
      <c r="T39" s="928"/>
    </row>
    <row r="40" spans="18:20" ht="12.75">
      <c r="R40" s="928"/>
      <c r="S40" s="928"/>
      <c r="T40" s="928"/>
    </row>
    <row r="41" spans="18:20" ht="12.75">
      <c r="R41" s="928"/>
      <c r="S41" s="928"/>
      <c r="T41" s="928"/>
    </row>
    <row r="42" spans="18:20" ht="12.75">
      <c r="R42" s="928"/>
      <c r="S42" s="928"/>
      <c r="T42" s="928"/>
    </row>
    <row r="43" spans="18:20" ht="12.75">
      <c r="R43" s="928"/>
      <c r="S43" s="928"/>
      <c r="T43" s="928"/>
    </row>
    <row r="44" spans="18:20" ht="12.75">
      <c r="R44" s="928"/>
      <c r="S44" s="928"/>
      <c r="T44" s="928"/>
    </row>
    <row r="45" spans="18:20" ht="12.75">
      <c r="R45" s="928"/>
      <c r="S45" s="928"/>
      <c r="T45" s="928"/>
    </row>
    <row r="46" spans="18:20" ht="12.75">
      <c r="R46" s="928"/>
      <c r="S46" s="928"/>
      <c r="T46" s="928"/>
    </row>
    <row r="47" spans="18:20" ht="12.75">
      <c r="R47" s="928"/>
      <c r="S47" s="928"/>
      <c r="T47" s="928"/>
    </row>
    <row r="48" spans="18:20" ht="12.75">
      <c r="R48" s="928"/>
      <c r="S48" s="928"/>
      <c r="T48" s="928"/>
    </row>
    <row r="49" spans="18:20" ht="12.75">
      <c r="R49" s="928"/>
      <c r="S49" s="928"/>
      <c r="T49" s="928"/>
    </row>
    <row r="50" spans="18:20" ht="12.75">
      <c r="R50" s="928"/>
      <c r="S50" s="928"/>
      <c r="T50" s="928"/>
    </row>
    <row r="51" spans="18:20" ht="12.75">
      <c r="R51" s="928"/>
      <c r="S51" s="928"/>
      <c r="T51" s="928"/>
    </row>
    <row r="52" spans="18:20" ht="12.75">
      <c r="R52" s="928"/>
      <c r="S52" s="928"/>
      <c r="T52" s="928"/>
    </row>
    <row r="53" spans="18:20" ht="12.75">
      <c r="R53" s="928"/>
      <c r="S53" s="928"/>
      <c r="T53" s="928"/>
    </row>
    <row r="54" spans="18:20" ht="12.75">
      <c r="R54" s="928"/>
      <c r="S54" s="928"/>
      <c r="T54" s="928"/>
    </row>
    <row r="55" spans="18:20" ht="12.75">
      <c r="R55" s="928"/>
      <c r="S55" s="928"/>
      <c r="T55" s="928"/>
    </row>
    <row r="56" spans="18:20" ht="12.75">
      <c r="R56" s="928"/>
      <c r="S56" s="928"/>
      <c r="T56" s="928"/>
    </row>
    <row r="57" spans="18:20" ht="12.75">
      <c r="R57" s="928"/>
      <c r="S57" s="928"/>
      <c r="T57" s="928"/>
    </row>
    <row r="58" spans="18:20" ht="12.75">
      <c r="R58" s="928"/>
      <c r="S58" s="928"/>
      <c r="T58" s="928"/>
    </row>
    <row r="59" spans="18:20" ht="12.75">
      <c r="R59" s="928"/>
      <c r="S59" s="928"/>
      <c r="T59" s="928"/>
    </row>
    <row r="60" spans="18:20" ht="12.75">
      <c r="R60" s="928"/>
      <c r="S60" s="928"/>
      <c r="T60" s="928"/>
    </row>
    <row r="61" spans="18:20" ht="12.75">
      <c r="R61" s="928"/>
      <c r="S61" s="928"/>
      <c r="T61" s="928"/>
    </row>
    <row r="62" spans="18:20" ht="12.75">
      <c r="R62" s="928"/>
      <c r="S62" s="928"/>
      <c r="T62" s="928"/>
    </row>
    <row r="63" spans="18:20" ht="12.75">
      <c r="R63" s="928"/>
      <c r="S63" s="928"/>
      <c r="T63" s="928"/>
    </row>
    <row r="64" spans="18:20" ht="12.75">
      <c r="R64" s="928"/>
      <c r="S64" s="928"/>
      <c r="T64" s="928"/>
    </row>
    <row r="65" spans="18:20" ht="12.75">
      <c r="R65" s="928"/>
      <c r="S65" s="928"/>
      <c r="T65" s="928"/>
    </row>
    <row r="66" spans="18:20" ht="12.75">
      <c r="R66" s="928"/>
      <c r="S66" s="928"/>
      <c r="T66" s="928"/>
    </row>
    <row r="67" spans="18:20" ht="12.75">
      <c r="R67" s="928"/>
      <c r="S67" s="928"/>
      <c r="T67" s="928"/>
    </row>
    <row r="68" spans="18:20" ht="12.75">
      <c r="R68" s="928"/>
      <c r="S68" s="928"/>
      <c r="T68" s="928"/>
    </row>
    <row r="69" spans="18:20" ht="12.75">
      <c r="R69" s="928"/>
      <c r="S69" s="928"/>
      <c r="T69" s="928"/>
    </row>
    <row r="70" spans="18:20" ht="12.75">
      <c r="R70" s="928"/>
      <c r="S70" s="928"/>
      <c r="T70" s="928"/>
    </row>
    <row r="71" spans="18:20" ht="12.75">
      <c r="R71" s="928"/>
      <c r="S71" s="928"/>
      <c r="T71" s="928"/>
    </row>
    <row r="72" spans="18:20" ht="12.75">
      <c r="R72" s="928"/>
      <c r="S72" s="928"/>
      <c r="T72" s="928"/>
    </row>
    <row r="73" spans="18:20" ht="12.75">
      <c r="R73" s="928"/>
      <c r="S73" s="928"/>
      <c r="T73" s="928"/>
    </row>
    <row r="74" spans="18:20" ht="12.75">
      <c r="R74" s="928"/>
      <c r="S74" s="928"/>
      <c r="T74" s="928"/>
    </row>
    <row r="75" spans="18:20" ht="12.75">
      <c r="R75" s="928"/>
      <c r="S75" s="928"/>
      <c r="T75" s="928"/>
    </row>
    <row r="76" spans="18:20" ht="12.75">
      <c r="R76" s="928"/>
      <c r="S76" s="928"/>
      <c r="T76" s="928"/>
    </row>
    <row r="77" spans="18:20" ht="12.75">
      <c r="R77" s="928"/>
      <c r="S77" s="928"/>
      <c r="T77" s="928"/>
    </row>
    <row r="78" spans="18:20" ht="12.75">
      <c r="R78" s="928"/>
      <c r="S78" s="928"/>
      <c r="T78" s="928"/>
    </row>
    <row r="79" spans="18:20" ht="12.75">
      <c r="R79" s="928"/>
      <c r="S79" s="928"/>
      <c r="T79" s="928"/>
    </row>
    <row r="80" spans="18:20" ht="12.75">
      <c r="R80" s="928"/>
      <c r="S80" s="928"/>
      <c r="T80" s="928"/>
    </row>
    <row r="81" spans="18:20" ht="12.75">
      <c r="R81" s="928"/>
      <c r="S81" s="928"/>
      <c r="T81" s="928"/>
    </row>
    <row r="82" spans="18:20" ht="12.75">
      <c r="R82" s="928"/>
      <c r="S82" s="928"/>
      <c r="T82" s="928"/>
    </row>
    <row r="83" spans="18:20" ht="12.75">
      <c r="R83" s="928"/>
      <c r="S83" s="928"/>
      <c r="T83" s="928"/>
    </row>
    <row r="84" spans="18:20" ht="12.75">
      <c r="R84" s="928"/>
      <c r="S84" s="928"/>
      <c r="T84" s="928"/>
    </row>
    <row r="85" spans="18:20" ht="12.75">
      <c r="R85" s="928"/>
      <c r="S85" s="928"/>
      <c r="T85" s="928"/>
    </row>
    <row r="86" spans="18:20" ht="12.75">
      <c r="R86" s="928"/>
      <c r="S86" s="928"/>
      <c r="T86" s="928"/>
    </row>
    <row r="87" spans="18:20" ht="12.75">
      <c r="R87" s="928"/>
      <c r="S87" s="928"/>
      <c r="T87" s="928"/>
    </row>
    <row r="88" spans="18:20" ht="12.75">
      <c r="R88" s="928"/>
      <c r="S88" s="928"/>
      <c r="T88" s="928"/>
    </row>
    <row r="89" spans="18:20" ht="12.75">
      <c r="R89" s="928"/>
      <c r="S89" s="928"/>
      <c r="T89" s="928"/>
    </row>
    <row r="90" spans="18:20" ht="12.75">
      <c r="R90" s="928"/>
      <c r="S90" s="928"/>
      <c r="T90" s="928"/>
    </row>
    <row r="91" spans="18:20" ht="12.75">
      <c r="R91" s="928"/>
      <c r="S91" s="928"/>
      <c r="T91" s="928"/>
    </row>
    <row r="92" spans="18:20" ht="12.75">
      <c r="R92" s="928"/>
      <c r="S92" s="928"/>
      <c r="T92" s="928"/>
    </row>
    <row r="93" spans="18:20" ht="12.75">
      <c r="R93" s="928"/>
      <c r="S93" s="928"/>
      <c r="T93" s="928"/>
    </row>
    <row r="94" spans="18:20" ht="12.75">
      <c r="R94" s="928"/>
      <c r="S94" s="928"/>
      <c r="T94" s="928"/>
    </row>
    <row r="95" spans="18:20" ht="12.75">
      <c r="R95" s="928"/>
      <c r="S95" s="928"/>
      <c r="T95" s="928"/>
    </row>
    <row r="96" spans="18:20" ht="12.75">
      <c r="R96" s="928"/>
      <c r="S96" s="928"/>
      <c r="T96" s="928"/>
    </row>
    <row r="97" spans="18:20" ht="12.75">
      <c r="R97" s="928"/>
      <c r="S97" s="928"/>
      <c r="T97" s="928"/>
    </row>
    <row r="98" spans="18:20" ht="12.75">
      <c r="R98" s="928"/>
      <c r="S98" s="928"/>
      <c r="T98" s="928"/>
    </row>
    <row r="99" spans="18:20" ht="12.75">
      <c r="R99" s="928"/>
      <c r="S99" s="928"/>
      <c r="T99" s="928"/>
    </row>
    <row r="100" spans="18:20" ht="12.75">
      <c r="R100" s="928"/>
      <c r="S100" s="928"/>
      <c r="T100" s="928"/>
    </row>
    <row r="101" spans="18:20" ht="12.75">
      <c r="R101" s="928"/>
      <c r="S101" s="928"/>
      <c r="T101" s="928"/>
    </row>
    <row r="102" spans="18:20" ht="12.75">
      <c r="R102" s="928"/>
      <c r="S102" s="928"/>
      <c r="T102" s="928"/>
    </row>
    <row r="103" spans="18:20" ht="12.75">
      <c r="R103" s="928"/>
      <c r="S103" s="928"/>
      <c r="T103" s="928"/>
    </row>
    <row r="104" spans="18:20" ht="12.75">
      <c r="R104" s="928"/>
      <c r="S104" s="928"/>
      <c r="T104" s="928"/>
    </row>
    <row r="105" spans="18:20" ht="12.75">
      <c r="R105" s="928"/>
      <c r="S105" s="928"/>
      <c r="T105" s="928"/>
    </row>
    <row r="106" spans="18:20" ht="12.75">
      <c r="R106" s="928"/>
      <c r="S106" s="928"/>
      <c r="T106" s="928"/>
    </row>
    <row r="107" spans="18:20" ht="12.75">
      <c r="R107" s="928"/>
      <c r="S107" s="928"/>
      <c r="T107" s="928"/>
    </row>
    <row r="108" spans="18:20" ht="12.75">
      <c r="R108" s="928"/>
      <c r="S108" s="928"/>
      <c r="T108" s="928"/>
    </row>
    <row r="109" spans="18:20" ht="12.75">
      <c r="R109" s="928"/>
      <c r="S109" s="928"/>
      <c r="T109" s="928"/>
    </row>
    <row r="110" spans="18:20" ht="12.75">
      <c r="R110" s="928"/>
      <c r="S110" s="928"/>
      <c r="T110" s="928"/>
    </row>
    <row r="111" spans="18:20" ht="12.75">
      <c r="R111" s="928"/>
      <c r="S111" s="928"/>
      <c r="T111" s="928"/>
    </row>
    <row r="112" spans="18:20" ht="12.75">
      <c r="R112" s="928"/>
      <c r="S112" s="928"/>
      <c r="T112" s="928"/>
    </row>
    <row r="113" spans="18:20" ht="12.75">
      <c r="R113" s="928"/>
      <c r="S113" s="928"/>
      <c r="T113" s="928"/>
    </row>
    <row r="114" spans="18:20" ht="12.75">
      <c r="R114" s="928"/>
      <c r="S114" s="928"/>
      <c r="T114" s="928"/>
    </row>
    <row r="115" spans="18:20" ht="12.75">
      <c r="R115" s="928"/>
      <c r="S115" s="928"/>
      <c r="T115" s="928"/>
    </row>
    <row r="116" spans="18:20" ht="12.75">
      <c r="R116" s="928"/>
      <c r="S116" s="928"/>
      <c r="T116" s="928"/>
    </row>
    <row r="117" spans="18:20" ht="12.75">
      <c r="R117" s="928"/>
      <c r="S117" s="928"/>
      <c r="T117" s="928"/>
    </row>
    <row r="118" spans="18:20" ht="12.75">
      <c r="R118" s="928"/>
      <c r="S118" s="928"/>
      <c r="T118" s="928"/>
    </row>
    <row r="119" spans="18:20" ht="12.75">
      <c r="R119" s="928"/>
      <c r="S119" s="928"/>
      <c r="T119" s="928"/>
    </row>
    <row r="120" spans="18:20" ht="12.75">
      <c r="R120" s="928"/>
      <c r="S120" s="928"/>
      <c r="T120" s="928"/>
    </row>
    <row r="121" spans="18:20" ht="12.75">
      <c r="R121" s="928"/>
      <c r="S121" s="928"/>
      <c r="T121" s="928"/>
    </row>
    <row r="122" spans="18:20" ht="12.75">
      <c r="R122" s="928"/>
      <c r="S122" s="928"/>
      <c r="T122" s="928"/>
    </row>
    <row r="123" spans="18:20" ht="12.75">
      <c r="R123" s="928"/>
      <c r="S123" s="928"/>
      <c r="T123" s="928"/>
    </row>
    <row r="124" spans="18:20" ht="12.75">
      <c r="R124" s="928"/>
      <c r="S124" s="928"/>
      <c r="T124" s="928"/>
    </row>
    <row r="125" spans="18:20" ht="12.75">
      <c r="R125" s="928"/>
      <c r="S125" s="928"/>
      <c r="T125" s="928"/>
    </row>
    <row r="126" spans="18:20" ht="12.75">
      <c r="R126" s="928"/>
      <c r="S126" s="928"/>
      <c r="T126" s="928"/>
    </row>
    <row r="127" spans="18:20" ht="12.75">
      <c r="R127" s="928"/>
      <c r="S127" s="928"/>
      <c r="T127" s="928"/>
    </row>
    <row r="128" spans="18:20" ht="12.75">
      <c r="R128" s="928"/>
      <c r="S128" s="928"/>
      <c r="T128" s="928"/>
    </row>
    <row r="129" spans="18:20" ht="12.75">
      <c r="R129" s="928"/>
      <c r="S129" s="928"/>
      <c r="T129" s="928"/>
    </row>
    <row r="130" spans="18:20" ht="12.75">
      <c r="R130" s="928"/>
      <c r="S130" s="928"/>
      <c r="T130" s="928"/>
    </row>
    <row r="131" spans="18:20" ht="12.75">
      <c r="R131" s="928"/>
      <c r="S131" s="928"/>
      <c r="T131" s="928"/>
    </row>
    <row r="132" spans="18:20" ht="12.75">
      <c r="R132" s="928"/>
      <c r="S132" s="928"/>
      <c r="T132" s="928"/>
    </row>
    <row r="133" spans="18:20" ht="12.75">
      <c r="R133" s="928"/>
      <c r="S133" s="928"/>
      <c r="T133" s="928"/>
    </row>
    <row r="134" spans="18:20" ht="12.75">
      <c r="R134" s="928"/>
      <c r="S134" s="928"/>
      <c r="T134" s="928"/>
    </row>
    <row r="135" spans="18:20" ht="12.75">
      <c r="R135" s="928"/>
      <c r="S135" s="928"/>
      <c r="T135" s="928"/>
    </row>
    <row r="136" spans="18:20" ht="12.75">
      <c r="R136" s="928"/>
      <c r="S136" s="928"/>
      <c r="T136" s="928"/>
    </row>
  </sheetData>
  <mergeCells count="3">
    <mergeCell ref="B2:R2"/>
    <mergeCell ref="R4:S4"/>
    <mergeCell ref="A12:B1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6"/>
  <sheetViews>
    <sheetView workbookViewId="0" topLeftCell="A1">
      <selection activeCell="B6" sqref="B6"/>
    </sheetView>
  </sheetViews>
  <sheetFormatPr defaultColWidth="9.00390625" defaultRowHeight="12.75"/>
  <cols>
    <col min="2" max="2" width="59.125" style="0" customWidth="1"/>
    <col min="3" max="5" width="13.75390625" style="0" customWidth="1"/>
    <col min="6" max="6" width="11.375" style="0" customWidth="1"/>
    <col min="7" max="7" width="12.625" style="0" customWidth="1"/>
  </cols>
  <sheetData>
    <row r="1" spans="1:7" ht="34.5" customHeight="1">
      <c r="A1" s="697" t="s">
        <v>972</v>
      </c>
      <c r="C1" s="630"/>
      <c r="D1" s="930"/>
      <c r="G1" s="630"/>
    </row>
    <row r="2" spans="1:4" ht="36" customHeight="1">
      <c r="A2" s="630"/>
      <c r="B2" s="630"/>
      <c r="C2" s="630"/>
      <c r="D2" s="630"/>
    </row>
    <row r="3" spans="1:7" ht="18.75">
      <c r="A3" s="931" t="s">
        <v>349</v>
      </c>
      <c r="B3" s="931"/>
      <c r="C3" s="932"/>
      <c r="G3" s="933" t="s">
        <v>973</v>
      </c>
    </row>
    <row r="4" spans="2:5" ht="20.25" customHeight="1">
      <c r="B4" s="934" t="s">
        <v>974</v>
      </c>
      <c r="C4" s="935"/>
      <c r="D4" s="935"/>
      <c r="E4" s="935"/>
    </row>
    <row r="5" spans="1:4" ht="17.25" customHeight="1">
      <c r="A5" s="630"/>
      <c r="B5" s="630"/>
      <c r="C5" s="630"/>
      <c r="D5" s="630"/>
    </row>
    <row r="6" spans="1:7" ht="20.25" customHeight="1" thickBot="1">
      <c r="A6" s="630"/>
      <c r="B6" s="630"/>
      <c r="C6" s="630"/>
      <c r="D6" s="628"/>
      <c r="G6" s="628" t="s">
        <v>351</v>
      </c>
    </row>
    <row r="7" spans="1:7" s="940" customFormat="1" ht="44.25" customHeight="1" thickBot="1" thickTop="1">
      <c r="A7" s="936" t="s">
        <v>69</v>
      </c>
      <c r="B7" s="937" t="s">
        <v>106</v>
      </c>
      <c r="C7" s="938" t="s">
        <v>352</v>
      </c>
      <c r="D7" s="938" t="s">
        <v>975</v>
      </c>
      <c r="E7" s="938" t="s">
        <v>976</v>
      </c>
      <c r="F7" s="938" t="s">
        <v>353</v>
      </c>
      <c r="G7" s="939" t="s">
        <v>354</v>
      </c>
    </row>
    <row r="8" spans="1:7" s="945" customFormat="1" ht="12" customHeight="1" thickBot="1" thickTop="1">
      <c r="A8" s="941">
        <v>1</v>
      </c>
      <c r="B8" s="942">
        <v>2</v>
      </c>
      <c r="C8" s="943">
        <v>3</v>
      </c>
      <c r="D8" s="943">
        <v>4</v>
      </c>
      <c r="E8" s="943">
        <v>5</v>
      </c>
      <c r="F8" s="943">
        <v>6</v>
      </c>
      <c r="G8" s="944">
        <v>7</v>
      </c>
    </row>
    <row r="9" spans="1:7" s="940" customFormat="1" ht="21.75" customHeight="1" thickTop="1">
      <c r="A9" s="946" t="s">
        <v>197</v>
      </c>
      <c r="B9" s="947" t="s">
        <v>355</v>
      </c>
      <c r="C9" s="948">
        <f>C11+C12+C13</f>
        <v>2538221</v>
      </c>
      <c r="D9" s="948">
        <f>D11+D12+D13</f>
        <v>3143931</v>
      </c>
      <c r="E9" s="948">
        <f>E11+E12+E13</f>
        <v>3430871</v>
      </c>
      <c r="F9" s="949">
        <f>E9/C9*100</f>
        <v>135.1683324659279</v>
      </c>
      <c r="G9" s="950">
        <f>E9/D9*100</f>
        <v>109.12679063249162</v>
      </c>
    </row>
    <row r="10" spans="1:7" s="940" customFormat="1" ht="15" customHeight="1" thickBot="1">
      <c r="A10" s="951"/>
      <c r="B10" s="952" t="s">
        <v>356</v>
      </c>
      <c r="C10" s="953"/>
      <c r="D10" s="953"/>
      <c r="E10" s="953"/>
      <c r="F10" s="953"/>
      <c r="G10" s="954"/>
    </row>
    <row r="11" spans="1:7" s="940" customFormat="1" ht="21" customHeight="1" thickTop="1">
      <c r="A11" s="955" t="s">
        <v>82</v>
      </c>
      <c r="B11" s="956" t="s">
        <v>357</v>
      </c>
      <c r="C11" s="957">
        <v>1323374</v>
      </c>
      <c r="D11" s="957">
        <v>1575950</v>
      </c>
      <c r="E11" s="957">
        <v>2006815</v>
      </c>
      <c r="F11" s="958">
        <f>E11/C11*100</f>
        <v>151.6438285775601</v>
      </c>
      <c r="G11" s="959">
        <f>E11/D11*100</f>
        <v>127.34001713252323</v>
      </c>
    </row>
    <row r="12" spans="1:7" s="940" customFormat="1" ht="21" customHeight="1">
      <c r="A12" s="960" t="s">
        <v>84</v>
      </c>
      <c r="B12" s="961" t="s">
        <v>358</v>
      </c>
      <c r="C12" s="962">
        <v>128258</v>
      </c>
      <c r="D12" s="962">
        <v>8854</v>
      </c>
      <c r="E12" s="962">
        <v>11114</v>
      </c>
      <c r="F12" s="963">
        <f>E12/C12*100</f>
        <v>8.665346411140046</v>
      </c>
      <c r="G12" s="964">
        <f>E12/D12*100</f>
        <v>125.52518635644907</v>
      </c>
    </row>
    <row r="13" spans="1:7" s="968" customFormat="1" ht="21" customHeight="1" thickBot="1">
      <c r="A13" s="965" t="s">
        <v>85</v>
      </c>
      <c r="B13" s="966" t="s">
        <v>359</v>
      </c>
      <c r="C13" s="967">
        <v>1086589</v>
      </c>
      <c r="D13" s="967">
        <v>1559127</v>
      </c>
      <c r="E13" s="967">
        <v>1412942</v>
      </c>
      <c r="F13" s="963">
        <f>E13/C13*100</f>
        <v>130.03463130953838</v>
      </c>
      <c r="G13" s="964">
        <f>E13/D13*100</f>
        <v>90.62391966786542</v>
      </c>
    </row>
    <row r="14" spans="1:7" s="940" customFormat="1" ht="21.75" customHeight="1" thickTop="1">
      <c r="A14" s="946" t="s">
        <v>204</v>
      </c>
      <c r="B14" s="947" t="s">
        <v>360</v>
      </c>
      <c r="C14" s="948">
        <f>C16+C17+C18</f>
        <v>724467</v>
      </c>
      <c r="D14" s="948">
        <f>D16+D17+D18</f>
        <v>2400900</v>
      </c>
      <c r="E14" s="948">
        <f>E16+E17+E18</f>
        <v>388619</v>
      </c>
      <c r="F14" s="949">
        <f>E14/C14*100</f>
        <v>53.64205685007046</v>
      </c>
      <c r="G14" s="950">
        <f>E14/D14*100</f>
        <v>16.18638843766921</v>
      </c>
    </row>
    <row r="15" spans="1:7" s="940" customFormat="1" ht="15" customHeight="1" thickBot="1">
      <c r="A15" s="951"/>
      <c r="B15" s="952" t="s">
        <v>356</v>
      </c>
      <c r="C15" s="953"/>
      <c r="D15" s="953"/>
      <c r="E15" s="953"/>
      <c r="F15" s="953"/>
      <c r="G15" s="954"/>
    </row>
    <row r="16" spans="1:7" s="940" customFormat="1" ht="21" customHeight="1" thickTop="1">
      <c r="A16" s="955" t="s">
        <v>82</v>
      </c>
      <c r="B16" s="956" t="s">
        <v>357</v>
      </c>
      <c r="C16" s="957">
        <v>563848</v>
      </c>
      <c r="D16" s="957">
        <v>1277000</v>
      </c>
      <c r="E16" s="957">
        <v>337008</v>
      </c>
      <c r="F16" s="958">
        <f>E16/C16*100</f>
        <v>59.76929952753224</v>
      </c>
      <c r="G16" s="959">
        <f>E16/D16*100</f>
        <v>26.390602975724352</v>
      </c>
    </row>
    <row r="17" spans="1:7" s="940" customFormat="1" ht="21" customHeight="1">
      <c r="A17" s="969" t="s">
        <v>84</v>
      </c>
      <c r="B17" s="961" t="s">
        <v>358</v>
      </c>
      <c r="C17" s="962">
        <v>70000</v>
      </c>
      <c r="D17" s="962">
        <v>8000</v>
      </c>
      <c r="E17" s="962">
        <v>0</v>
      </c>
      <c r="F17" s="963">
        <f>E17/C17*100</f>
        <v>0</v>
      </c>
      <c r="G17" s="964">
        <f>E17/D17*100</f>
        <v>0</v>
      </c>
    </row>
    <row r="18" spans="1:7" s="968" customFormat="1" ht="21" customHeight="1" thickBot="1">
      <c r="A18" s="970" t="s">
        <v>85</v>
      </c>
      <c r="B18" s="971" t="s">
        <v>359</v>
      </c>
      <c r="C18" s="972">
        <v>90619</v>
      </c>
      <c r="D18" s="972">
        <v>1115900</v>
      </c>
      <c r="E18" s="972">
        <v>51611</v>
      </c>
      <c r="F18" s="963">
        <f>E18/C18*100</f>
        <v>56.95383970249065</v>
      </c>
      <c r="G18" s="964">
        <f>E18/D18*100</f>
        <v>4.625056008602922</v>
      </c>
    </row>
    <row r="19" spans="1:7" s="940" customFormat="1" ht="21.75" customHeight="1" thickTop="1">
      <c r="A19" s="946" t="s">
        <v>209</v>
      </c>
      <c r="B19" s="947" t="s">
        <v>361</v>
      </c>
      <c r="C19" s="948">
        <f>C9-C14</f>
        <v>1813754</v>
      </c>
      <c r="D19" s="948">
        <f>D9-D14</f>
        <v>743031</v>
      </c>
      <c r="E19" s="948">
        <f>E9-E14</f>
        <v>3042252</v>
      </c>
      <c r="F19" s="949">
        <f>E19/C19*100</f>
        <v>167.73233856410516</v>
      </c>
      <c r="G19" s="950">
        <f>E19/D19*100</f>
        <v>409.4380988141814</v>
      </c>
    </row>
    <row r="20" spans="1:7" s="940" customFormat="1" ht="15" customHeight="1" thickBot="1">
      <c r="A20" s="973"/>
      <c r="B20" s="952" t="s">
        <v>356</v>
      </c>
      <c r="C20" s="974"/>
      <c r="D20" s="974"/>
      <c r="E20" s="974"/>
      <c r="F20" s="974"/>
      <c r="G20" s="975"/>
    </row>
    <row r="21" spans="1:7" s="940" customFormat="1" ht="21" customHeight="1" thickTop="1">
      <c r="A21" s="976"/>
      <c r="B21" s="956" t="s">
        <v>357</v>
      </c>
      <c r="C21" s="957">
        <f>C11-C16</f>
        <v>759526</v>
      </c>
      <c r="D21" s="957">
        <f aca="true" t="shared" si="0" ref="D21:E23">D11-D16</f>
        <v>298950</v>
      </c>
      <c r="E21" s="957">
        <f t="shared" si="0"/>
        <v>1669807</v>
      </c>
      <c r="F21" s="958">
        <f>E21/C21*100</f>
        <v>219.84856344614929</v>
      </c>
      <c r="G21" s="978">
        <f>E21/D21*100</f>
        <v>558.5572838267269</v>
      </c>
    </row>
    <row r="22" spans="1:7" s="940" customFormat="1" ht="21" customHeight="1">
      <c r="A22" s="976"/>
      <c r="B22" s="977" t="s">
        <v>358</v>
      </c>
      <c r="C22" s="962">
        <f>C12-C17</f>
        <v>58258</v>
      </c>
      <c r="D22" s="962">
        <f t="shared" si="0"/>
        <v>854</v>
      </c>
      <c r="E22" s="962">
        <f t="shared" si="0"/>
        <v>11114</v>
      </c>
      <c r="F22" s="963">
        <f>E22/C22*100</f>
        <v>19.077208280407838</v>
      </c>
      <c r="G22" s="978">
        <f>E22/D22*100</f>
        <v>1301.4051522248244</v>
      </c>
    </row>
    <row r="23" spans="1:7" s="968" customFormat="1" ht="21" customHeight="1" thickBot="1">
      <c r="A23" s="979"/>
      <c r="B23" s="980" t="s">
        <v>359</v>
      </c>
      <c r="C23" s="981">
        <f>C13-C18</f>
        <v>995970</v>
      </c>
      <c r="D23" s="981">
        <f t="shared" si="0"/>
        <v>443227</v>
      </c>
      <c r="E23" s="981">
        <f t="shared" si="0"/>
        <v>1361331</v>
      </c>
      <c r="F23" s="982">
        <f>E23/C23*100</f>
        <v>136.68393626314045</v>
      </c>
      <c r="G23" s="983">
        <f>E23/D23*100</f>
        <v>307.14081046506647</v>
      </c>
    </row>
    <row r="24" spans="3:5" ht="13.5" thickTop="1">
      <c r="C24" s="984"/>
      <c r="D24" s="984"/>
      <c r="E24" s="984"/>
    </row>
    <row r="26" spans="1:3" ht="18.75">
      <c r="A26" s="931"/>
      <c r="B26" s="931"/>
      <c r="C26" s="932"/>
    </row>
  </sheetData>
  <printOptions horizontalCentered="1"/>
  <pageMargins left="0" right="0" top="0.984251968503937" bottom="0.5905511811023623" header="0.5118110236220472" footer="0.5118110236220472"/>
  <pageSetup firstPageNumber="65" useFirstPageNumber="1" horizontalDpi="600" verticalDpi="600" orientation="landscape" paperSize="9" r:id="rId1"/>
  <headerFooter alignWithMargins="0">
    <oddHeader>&amp;C&amp;"Times New Roman CE,Normalny"&amp;P</oddHeader>
  </headerFooter>
</worksheet>
</file>

<file path=xl/worksheets/sheet18.xml><?xml version="1.0" encoding="utf-8"?>
<worksheet xmlns="http://schemas.openxmlformats.org/spreadsheetml/2006/main" xmlns:r="http://schemas.openxmlformats.org/officeDocument/2006/relationships">
  <dimension ref="A1:L26"/>
  <sheetViews>
    <sheetView workbookViewId="0" topLeftCell="A1">
      <selection activeCell="B4" sqref="B4"/>
    </sheetView>
  </sheetViews>
  <sheetFormatPr defaultColWidth="9.00390625" defaultRowHeight="12.75"/>
  <cols>
    <col min="1" max="1" width="5.25390625" style="985" customWidth="1"/>
    <col min="2" max="2" width="32.75390625" style="505" customWidth="1"/>
    <col min="3" max="3" width="10.25390625" style="505" customWidth="1"/>
    <col min="4" max="4" width="9.375" style="505" customWidth="1"/>
    <col min="5" max="5" width="10.125" style="505" customWidth="1"/>
    <col min="6" max="7" width="9.75390625" style="505" customWidth="1"/>
    <col min="8" max="8" width="9.375" style="505" customWidth="1"/>
    <col min="9" max="9" width="9.625" style="505" customWidth="1"/>
    <col min="10" max="10" width="9.75390625" style="505" customWidth="1"/>
    <col min="11" max="11" width="10.25390625" style="505" customWidth="1"/>
    <col min="12" max="16384" width="9.125" style="505" customWidth="1"/>
  </cols>
  <sheetData>
    <row r="1" ht="31.5" customHeight="1">
      <c r="L1" s="300" t="s">
        <v>977</v>
      </c>
    </row>
    <row r="2" spans="1:2" ht="19.5" customHeight="1">
      <c r="A2" s="2631" t="s">
        <v>978</v>
      </c>
      <c r="B2" s="695"/>
    </row>
    <row r="3" spans="1:12" ht="20.25" customHeight="1">
      <c r="A3" s="2631" t="s">
        <v>979</v>
      </c>
      <c r="B3" s="695"/>
      <c r="L3" s="300"/>
    </row>
    <row r="4" spans="1:12" ht="39" customHeight="1" thickBot="1">
      <c r="A4" s="986"/>
      <c r="L4" s="2632" t="s">
        <v>329</v>
      </c>
    </row>
    <row r="5" spans="1:12" ht="28.5" customHeight="1" thickBot="1" thickTop="1">
      <c r="A5" s="987" t="s">
        <v>69</v>
      </c>
      <c r="B5" s="988" t="s">
        <v>290</v>
      </c>
      <c r="C5" s="989" t="s">
        <v>363</v>
      </c>
      <c r="D5" s="990" t="s">
        <v>364</v>
      </c>
      <c r="E5" s="991"/>
      <c r="F5" s="992"/>
      <c r="G5" s="992"/>
      <c r="H5" s="990" t="s">
        <v>365</v>
      </c>
      <c r="I5" s="991"/>
      <c r="J5" s="992"/>
      <c r="K5" s="992"/>
      <c r="L5" s="993" t="s">
        <v>366</v>
      </c>
    </row>
    <row r="6" spans="1:12" s="1002" customFormat="1" ht="39" customHeight="1" thickBot="1" thickTop="1">
      <c r="A6" s="994"/>
      <c r="B6" s="995"/>
      <c r="C6" s="996" t="s">
        <v>367</v>
      </c>
      <c r="D6" s="997" t="s">
        <v>368</v>
      </c>
      <c r="E6" s="998" t="s">
        <v>980</v>
      </c>
      <c r="F6" s="997" t="s">
        <v>981</v>
      </c>
      <c r="G6" s="999" t="s">
        <v>369</v>
      </c>
      <c r="H6" s="1000" t="s">
        <v>370</v>
      </c>
      <c r="I6" s="998" t="s">
        <v>980</v>
      </c>
      <c r="J6" s="997" t="s">
        <v>982</v>
      </c>
      <c r="K6" s="999" t="s">
        <v>369</v>
      </c>
      <c r="L6" s="1001" t="s">
        <v>371</v>
      </c>
    </row>
    <row r="7" spans="1:12" s="1009" customFormat="1" ht="9.75" customHeight="1" thickBot="1" thickTop="1">
      <c r="A7" s="1003">
        <v>1</v>
      </c>
      <c r="B7" s="1004">
        <v>2</v>
      </c>
      <c r="C7" s="1005">
        <v>3</v>
      </c>
      <c r="D7" s="1006">
        <v>4</v>
      </c>
      <c r="E7" s="1006">
        <v>5</v>
      </c>
      <c r="F7" s="1006">
        <v>6</v>
      </c>
      <c r="G7" s="1007">
        <v>7</v>
      </c>
      <c r="H7" s="1006">
        <v>8</v>
      </c>
      <c r="I7" s="1006">
        <v>9</v>
      </c>
      <c r="J7" s="1006">
        <v>10</v>
      </c>
      <c r="K7" s="1008">
        <v>11</v>
      </c>
      <c r="L7" s="1005">
        <v>12</v>
      </c>
    </row>
    <row r="8" spans="1:12" s="1016" customFormat="1" ht="30" customHeight="1" thickTop="1">
      <c r="A8" s="1010" t="s">
        <v>82</v>
      </c>
      <c r="B8" s="1011" t="s">
        <v>372</v>
      </c>
      <c r="C8" s="1012">
        <v>644.993</v>
      </c>
      <c r="D8" s="1013">
        <v>913.3</v>
      </c>
      <c r="E8" s="1013">
        <v>1907</v>
      </c>
      <c r="F8" s="1013">
        <v>920.46</v>
      </c>
      <c r="G8" s="1014">
        <f>F8/E8*100</f>
        <v>48.2674357629785</v>
      </c>
      <c r="H8" s="1013">
        <v>213</v>
      </c>
      <c r="I8" s="1013">
        <v>2551.993</v>
      </c>
      <c r="J8" s="1013">
        <v>585.638</v>
      </c>
      <c r="K8" s="1015">
        <f>J8/I8*100</f>
        <v>22.948260438018444</v>
      </c>
      <c r="L8" s="1012">
        <v>979.9</v>
      </c>
    </row>
    <row r="9" spans="1:12" s="1016" customFormat="1" ht="30" customHeight="1">
      <c r="A9" s="1017" t="s">
        <v>84</v>
      </c>
      <c r="B9" s="1018" t="s">
        <v>374</v>
      </c>
      <c r="C9" s="1019">
        <v>0.8</v>
      </c>
      <c r="D9" s="1020">
        <v>0</v>
      </c>
      <c r="E9" s="1023">
        <v>5</v>
      </c>
      <c r="F9" s="1020">
        <v>0.7</v>
      </c>
      <c r="G9" s="1015">
        <f>F9/E9*100</f>
        <v>13.999999999999998</v>
      </c>
      <c r="H9" s="1023">
        <v>11.7</v>
      </c>
      <c r="I9" s="1023">
        <v>5</v>
      </c>
      <c r="J9" s="1023">
        <v>0</v>
      </c>
      <c r="K9" s="1021">
        <v>0</v>
      </c>
      <c r="L9" s="1022">
        <f>C9+F9-J9</f>
        <v>1.5</v>
      </c>
    </row>
    <row r="10" spans="1:12" s="1016" customFormat="1" ht="30" customHeight="1">
      <c r="A10" s="1017" t="s">
        <v>85</v>
      </c>
      <c r="B10" s="1018" t="s">
        <v>376</v>
      </c>
      <c r="C10" s="1019">
        <v>5.634</v>
      </c>
      <c r="D10" s="1020">
        <v>1</v>
      </c>
      <c r="E10" s="1023">
        <v>25</v>
      </c>
      <c r="F10" s="1020">
        <v>0</v>
      </c>
      <c r="G10" s="1015">
        <f>F10/E10*100</f>
        <v>0</v>
      </c>
      <c r="H10" s="1020">
        <v>6.1</v>
      </c>
      <c r="I10" s="1020">
        <v>22</v>
      </c>
      <c r="J10" s="1020">
        <v>0.265</v>
      </c>
      <c r="K10" s="1015">
        <f>J10/I10*100</f>
        <v>1.2045454545454546</v>
      </c>
      <c r="L10" s="1022">
        <v>5.3</v>
      </c>
    </row>
    <row r="11" spans="1:12" s="1025" customFormat="1" ht="34.5" customHeight="1">
      <c r="A11" s="1017" t="s">
        <v>375</v>
      </c>
      <c r="B11" s="1024" t="s">
        <v>378</v>
      </c>
      <c r="C11" s="1019">
        <v>0.454</v>
      </c>
      <c r="D11" s="1020">
        <v>0</v>
      </c>
      <c r="E11" s="1020">
        <v>0</v>
      </c>
      <c r="F11" s="1020">
        <v>0.815</v>
      </c>
      <c r="G11" s="1021">
        <v>0</v>
      </c>
      <c r="H11" s="1020">
        <v>13.2</v>
      </c>
      <c r="I11" s="1023">
        <v>0</v>
      </c>
      <c r="J11" s="1020">
        <v>1.268</v>
      </c>
      <c r="K11" s="1021">
        <v>0</v>
      </c>
      <c r="L11" s="1022">
        <f>C11+F11-J11</f>
        <v>0.0009999999999998899</v>
      </c>
    </row>
    <row r="12" spans="1:12" s="1026" customFormat="1" ht="30" customHeight="1">
      <c r="A12" s="1017" t="s">
        <v>377</v>
      </c>
      <c r="B12" s="1018" t="s">
        <v>380</v>
      </c>
      <c r="C12" s="1019">
        <v>13.62</v>
      </c>
      <c r="D12" s="1020">
        <v>3.1</v>
      </c>
      <c r="E12" s="1020">
        <v>33.885</v>
      </c>
      <c r="F12" s="1020">
        <v>28.517</v>
      </c>
      <c r="G12" s="1015">
        <f aca="true" t="shared" si="0" ref="G12:G17">F12/E12*100</f>
        <v>84.15818208646894</v>
      </c>
      <c r="H12" s="1020">
        <v>40</v>
      </c>
      <c r="I12" s="1020">
        <v>34.288</v>
      </c>
      <c r="J12" s="1020">
        <v>28.62</v>
      </c>
      <c r="K12" s="1015">
        <f aca="true" t="shared" si="1" ref="K12:K17">J12/I12*100</f>
        <v>83.46943537097528</v>
      </c>
      <c r="L12" s="1022">
        <f>C12+F12-J12</f>
        <v>13.517</v>
      </c>
    </row>
    <row r="13" spans="1:12" s="1026" customFormat="1" ht="27.75" customHeight="1" thickBot="1">
      <c r="A13" s="1017" t="s">
        <v>379</v>
      </c>
      <c r="B13" s="1018" t="s">
        <v>382</v>
      </c>
      <c r="C13" s="1019">
        <v>124.54</v>
      </c>
      <c r="D13" s="1020">
        <v>164.8</v>
      </c>
      <c r="E13" s="1020">
        <v>714.799</v>
      </c>
      <c r="F13" s="1020">
        <v>362.283</v>
      </c>
      <c r="G13" s="1027">
        <f t="shared" si="0"/>
        <v>50.6831990531604</v>
      </c>
      <c r="H13" s="1020">
        <v>325.386</v>
      </c>
      <c r="I13" s="1020">
        <v>759.745</v>
      </c>
      <c r="J13" s="1020">
        <v>385.82</v>
      </c>
      <c r="K13" s="1028">
        <f t="shared" si="1"/>
        <v>50.78282844901908</v>
      </c>
      <c r="L13" s="1012">
        <f>C13+F13-J13</f>
        <v>101.00300000000004</v>
      </c>
    </row>
    <row r="14" spans="1:12" s="300" customFormat="1" ht="16.5" customHeight="1" hidden="1" thickBot="1">
      <c r="A14" s="1029"/>
      <c r="B14" s="1030" t="s">
        <v>79</v>
      </c>
      <c r="C14" s="1031"/>
      <c r="D14" s="1032"/>
      <c r="E14" s="1032"/>
      <c r="F14" s="1032"/>
      <c r="G14" s="1033" t="e">
        <f t="shared" si="0"/>
        <v>#DIV/0!</v>
      </c>
      <c r="H14" s="1032"/>
      <c r="I14" s="1032"/>
      <c r="J14" s="1032"/>
      <c r="K14" s="1033" t="e">
        <f t="shared" si="1"/>
        <v>#DIV/0!</v>
      </c>
      <c r="L14" s="1031"/>
    </row>
    <row r="15" spans="1:12" s="1038" customFormat="1" ht="20.25" customHeight="1" hidden="1">
      <c r="A15" s="1034"/>
      <c r="B15" s="1035" t="s">
        <v>383</v>
      </c>
      <c r="C15" s="1036">
        <v>89.7</v>
      </c>
      <c r="D15" s="1037"/>
      <c r="E15" s="1037"/>
      <c r="F15" s="1037"/>
      <c r="G15" s="1033" t="e">
        <f t="shared" si="0"/>
        <v>#DIV/0!</v>
      </c>
      <c r="H15" s="1037"/>
      <c r="I15" s="1037"/>
      <c r="J15" s="1037"/>
      <c r="K15" s="1033" t="e">
        <f t="shared" si="1"/>
        <v>#DIV/0!</v>
      </c>
      <c r="L15" s="1036"/>
    </row>
    <row r="16" spans="1:12" s="1038" customFormat="1" ht="20.25" customHeight="1" hidden="1">
      <c r="A16" s="1034"/>
      <c r="B16" s="1035" t="s">
        <v>384</v>
      </c>
      <c r="C16" s="1036">
        <v>113.2</v>
      </c>
      <c r="D16" s="1037"/>
      <c r="E16" s="1037"/>
      <c r="F16" s="1037"/>
      <c r="G16" s="1033" t="e">
        <f t="shared" si="0"/>
        <v>#DIV/0!</v>
      </c>
      <c r="H16" s="1037"/>
      <c r="I16" s="1037"/>
      <c r="J16" s="1037"/>
      <c r="K16" s="1033" t="e">
        <f t="shared" si="1"/>
        <v>#DIV/0!</v>
      </c>
      <c r="L16" s="1036"/>
    </row>
    <row r="17" spans="1:12" s="1044" customFormat="1" ht="33.75" customHeight="1" thickBot="1" thickTop="1">
      <c r="A17" s="1039"/>
      <c r="B17" s="2633" t="s">
        <v>983</v>
      </c>
      <c r="C17" s="1040">
        <f>SUM(C8:C13)</f>
        <v>790.0409999999999</v>
      </c>
      <c r="D17" s="1041">
        <f>SUM(D8:D13)</f>
        <v>1082.2</v>
      </c>
      <c r="E17" s="1041">
        <f aca="true" t="shared" si="2" ref="E17:L17">SUM(E8:E13)</f>
        <v>2685.684</v>
      </c>
      <c r="F17" s="1041">
        <f t="shared" si="2"/>
        <v>1312.775</v>
      </c>
      <c r="G17" s="1042">
        <f t="shared" si="0"/>
        <v>48.88047141808195</v>
      </c>
      <c r="H17" s="1041">
        <f>SUM(H8:H13)</f>
        <v>609.386</v>
      </c>
      <c r="I17" s="1041">
        <f t="shared" si="2"/>
        <v>3373.026</v>
      </c>
      <c r="J17" s="1041">
        <f t="shared" si="2"/>
        <v>1001.6110000000001</v>
      </c>
      <c r="K17" s="1043">
        <f t="shared" si="1"/>
        <v>29.694731081230923</v>
      </c>
      <c r="L17" s="1040">
        <f t="shared" si="2"/>
        <v>1101.221</v>
      </c>
    </row>
    <row r="18" spans="3:10" ht="16.5" thickTop="1">
      <c r="C18" s="2634"/>
      <c r="D18" s="2634"/>
      <c r="E18" s="2634"/>
      <c r="F18" s="2634"/>
      <c r="G18" s="2634"/>
      <c r="H18" s="2634"/>
      <c r="I18" s="2634"/>
      <c r="J18" s="2634"/>
    </row>
    <row r="19" spans="3:10" ht="15.75">
      <c r="C19" s="2634"/>
      <c r="D19" s="2634"/>
      <c r="E19" s="2634"/>
      <c r="F19" s="2634"/>
      <c r="G19" s="2634"/>
      <c r="H19" s="2634"/>
      <c r="I19" s="2634"/>
      <c r="J19" s="2634"/>
    </row>
    <row r="20" spans="3:10" ht="15.75">
      <c r="C20" s="2634"/>
      <c r="D20" s="2634"/>
      <c r="E20" s="2634"/>
      <c r="F20" s="2634"/>
      <c r="G20" s="2634"/>
      <c r="H20" s="2634"/>
      <c r="I20" s="2634"/>
      <c r="J20" s="2634"/>
    </row>
    <row r="21" spans="3:10" ht="15.75">
      <c r="C21" s="2634"/>
      <c r="D21" s="2634"/>
      <c r="E21" s="2634"/>
      <c r="F21" s="2634"/>
      <c r="G21" s="2634"/>
      <c r="H21" s="2634"/>
      <c r="I21" s="2634"/>
      <c r="J21" s="2634"/>
    </row>
    <row r="22" spans="3:10" ht="15.75">
      <c r="C22" s="2634"/>
      <c r="D22" s="2634"/>
      <c r="E22" s="2634"/>
      <c r="F22" s="2634"/>
      <c r="G22" s="2634"/>
      <c r="H22" s="2634"/>
      <c r="I22" s="2634"/>
      <c r="J22" s="2634"/>
    </row>
    <row r="23" spans="3:10" ht="15.75">
      <c r="C23" s="2634"/>
      <c r="D23" s="2634"/>
      <c r="E23" s="2634"/>
      <c r="F23" s="2634"/>
      <c r="G23" s="2634"/>
      <c r="H23" s="2634"/>
      <c r="I23" s="2634"/>
      <c r="J23" s="2634"/>
    </row>
    <row r="24" spans="3:10" ht="15.75">
      <c r="C24" s="2634"/>
      <c r="D24" s="2634"/>
      <c r="E24" s="2634"/>
      <c r="F24" s="2634"/>
      <c r="G24" s="2634"/>
      <c r="H24" s="2634"/>
      <c r="I24" s="2634"/>
      <c r="J24" s="2634"/>
    </row>
    <row r="25" spans="3:10" ht="15.75">
      <c r="C25" s="2634"/>
      <c r="D25" s="2634"/>
      <c r="E25" s="2634"/>
      <c r="F25" s="2634"/>
      <c r="G25" s="2634"/>
      <c r="H25" s="2634"/>
      <c r="I25" s="2634"/>
      <c r="J25" s="2634"/>
    </row>
    <row r="26" spans="3:10" ht="15.75">
      <c r="C26" s="2634"/>
      <c r="D26" s="2634"/>
      <c r="E26" s="2634"/>
      <c r="F26" s="2634"/>
      <c r="G26" s="2634"/>
      <c r="H26" s="2634"/>
      <c r="I26" s="2634"/>
      <c r="J26" s="2634"/>
    </row>
  </sheetData>
  <printOptions horizontalCentered="1"/>
  <pageMargins left="0" right="0" top="0.984251968503937" bottom="0.5905511811023623" header="0.5118110236220472" footer="0.5118110236220472"/>
  <pageSetup firstPageNumber="66" useFirstPageNumber="1" horizontalDpi="600" verticalDpi="600" orientation="landscape" paperSize="9" r:id="rId1"/>
  <headerFooter alignWithMargins="0">
    <oddHeader>&amp;C&amp;"Times New Roman,Normalny"&amp;P</oddHeader>
  </headerFooter>
</worksheet>
</file>

<file path=xl/worksheets/sheet19.xml><?xml version="1.0" encoding="utf-8"?>
<worksheet xmlns="http://schemas.openxmlformats.org/spreadsheetml/2006/main" xmlns:r="http://schemas.openxmlformats.org/officeDocument/2006/relationships">
  <dimension ref="A1:H116"/>
  <sheetViews>
    <sheetView workbookViewId="0" topLeftCell="A1">
      <selection activeCell="D10" sqref="D10"/>
    </sheetView>
  </sheetViews>
  <sheetFormatPr defaultColWidth="9.00390625" defaultRowHeight="12.75"/>
  <cols>
    <col min="1" max="1" width="4.25390625" style="689" customWidth="1"/>
    <col min="2" max="2" width="50.625" style="660" customWidth="1"/>
    <col min="3" max="3" width="6.875" style="1118" customWidth="1"/>
    <col min="4" max="4" width="10.00390625" style="630" customWidth="1"/>
    <col min="5" max="5" width="9.625" style="630" customWidth="1"/>
    <col min="6" max="6" width="10.75390625" style="630" customWidth="1"/>
    <col min="7" max="7" width="6.00390625" style="695" customWidth="1"/>
    <col min="8" max="8" width="47.00390625" style="689" customWidth="1"/>
    <col min="9" max="16384" width="9.125" style="1077" customWidth="1"/>
  </cols>
  <sheetData>
    <row r="1" spans="1:8" s="2635" customFormat="1" ht="24.75" customHeight="1">
      <c r="A1" s="1045"/>
      <c r="B1" s="3039" t="s">
        <v>984</v>
      </c>
      <c r="C1" s="3040"/>
      <c r="D1" s="3040"/>
      <c r="E1" s="3040"/>
      <c r="F1" s="3040"/>
      <c r="G1" s="3040"/>
      <c r="H1" s="3040"/>
    </row>
    <row r="2" spans="1:8" s="1117" customFormat="1" ht="14.25" customHeight="1">
      <c r="A2" s="2636"/>
      <c r="B2" s="2637" t="s">
        <v>985</v>
      </c>
      <c r="C2" s="894"/>
      <c r="D2" s="2638"/>
      <c r="E2" s="2638"/>
      <c r="F2" s="2638"/>
      <c r="G2" s="2638"/>
      <c r="H2" s="2636" t="s">
        <v>163</v>
      </c>
    </row>
    <row r="3" spans="1:8" s="1117" customFormat="1" ht="13.5" customHeight="1" thickBot="1">
      <c r="A3" s="2636"/>
      <c r="B3" s="2637"/>
      <c r="C3" s="894"/>
      <c r="D3" s="2638"/>
      <c r="E3" s="2638"/>
      <c r="F3" s="628" t="s">
        <v>329</v>
      </c>
      <c r="G3" s="2638"/>
      <c r="H3" s="2639"/>
    </row>
    <row r="4" spans="1:8" s="1117" customFormat="1" ht="17.25" customHeight="1" thickTop="1">
      <c r="A4" s="1047"/>
      <c r="B4" s="1048"/>
      <c r="C4" s="938"/>
      <c r="D4" s="1049" t="s">
        <v>986</v>
      </c>
      <c r="E4" s="1049"/>
      <c r="F4" s="938" t="s">
        <v>385</v>
      </c>
      <c r="G4" s="938" t="s">
        <v>386</v>
      </c>
      <c r="H4" s="2640"/>
    </row>
    <row r="5" spans="1:8" ht="18" customHeight="1">
      <c r="A5" s="1050" t="s">
        <v>69</v>
      </c>
      <c r="B5" s="1051" t="s">
        <v>290</v>
      </c>
      <c r="C5" s="2641" t="s">
        <v>387</v>
      </c>
      <c r="D5" s="1053" t="s">
        <v>388</v>
      </c>
      <c r="E5" s="1054" t="s">
        <v>389</v>
      </c>
      <c r="F5" s="1055" t="s">
        <v>390</v>
      </c>
      <c r="G5" s="1052" t="s">
        <v>391</v>
      </c>
      <c r="H5" s="1056" t="s">
        <v>392</v>
      </c>
    </row>
    <row r="6" spans="1:8" ht="12.75" customHeight="1">
      <c r="A6" s="1057"/>
      <c r="B6" s="1058"/>
      <c r="C6" s="1059" t="s">
        <v>393</v>
      </c>
      <c r="D6" s="1060"/>
      <c r="E6" s="1061" t="s">
        <v>394</v>
      </c>
      <c r="F6" s="1062" t="s">
        <v>504</v>
      </c>
      <c r="G6" s="1063" t="s">
        <v>395</v>
      </c>
      <c r="H6" s="1064"/>
    </row>
    <row r="7" spans="1:8" s="2642" customFormat="1" ht="12" customHeight="1" thickBot="1">
      <c r="A7" s="1065">
        <v>1</v>
      </c>
      <c r="B7" s="1066">
        <v>2</v>
      </c>
      <c r="C7" s="1067">
        <v>3</v>
      </c>
      <c r="D7" s="1068">
        <v>4</v>
      </c>
      <c r="E7" s="1069">
        <v>5</v>
      </c>
      <c r="F7" s="1070">
        <v>6</v>
      </c>
      <c r="G7" s="1069">
        <v>7</v>
      </c>
      <c r="H7" s="1071">
        <v>8</v>
      </c>
    </row>
    <row r="8" spans="1:8" s="2647" customFormat="1" ht="24.75" customHeight="1" thickBot="1" thickTop="1">
      <c r="A8" s="2643" t="s">
        <v>197</v>
      </c>
      <c r="B8" s="2644" t="s">
        <v>396</v>
      </c>
      <c r="C8" s="2645"/>
      <c r="D8" s="1072">
        <f>D9+D18+D21+D23+D25+D29+D41+D44+D27</f>
        <v>27366.9</v>
      </c>
      <c r="E8" s="1072">
        <f>E9+E18+E21+E23+E25+E29+E41+E44+E27</f>
        <v>29491.6</v>
      </c>
      <c r="F8" s="1072">
        <f>F9+F18+F21+F23+F25+F29+F41+F44+F27</f>
        <v>10194.1</v>
      </c>
      <c r="G8" s="2646">
        <f>F8/E8*100</f>
        <v>34.56611374086181</v>
      </c>
      <c r="H8" s="1094"/>
    </row>
    <row r="9" spans="1:8" ht="16.5" thickTop="1">
      <c r="A9" s="1073"/>
      <c r="B9" s="1074" t="s">
        <v>397</v>
      </c>
      <c r="C9" s="2648"/>
      <c r="D9" s="1075">
        <f>D10+D14+D15+D16+D17</f>
        <v>13400</v>
      </c>
      <c r="E9" s="1075">
        <f>E10+E14+E15+E16+E17</f>
        <v>12400</v>
      </c>
      <c r="F9" s="1075">
        <f>F10+F14+F15+F16+F17</f>
        <v>5903.599999999999</v>
      </c>
      <c r="G9" s="1076">
        <f>F9/E9*100</f>
        <v>47.60967741935483</v>
      </c>
      <c r="H9" s="2649"/>
    </row>
    <row r="10" spans="1:8" s="671" customFormat="1" ht="101.25" customHeight="1">
      <c r="A10" s="1079">
        <v>1</v>
      </c>
      <c r="B10" s="2650" t="s">
        <v>987</v>
      </c>
      <c r="C10" s="1091">
        <v>60015</v>
      </c>
      <c r="D10" s="2651">
        <v>12000</v>
      </c>
      <c r="E10" s="2651">
        <v>10900</v>
      </c>
      <c r="F10" s="2651">
        <f>F11+F12</f>
        <v>5706</v>
      </c>
      <c r="G10" s="1093">
        <f>F10/E10*100</f>
        <v>52.34862385321101</v>
      </c>
      <c r="H10" s="3041" t="s">
        <v>988</v>
      </c>
    </row>
    <row r="11" spans="1:8" s="665" customFormat="1" ht="93" customHeight="1">
      <c r="A11" s="3029"/>
      <c r="B11" s="2653" t="s">
        <v>989</v>
      </c>
      <c r="C11" s="2654" t="s">
        <v>398</v>
      </c>
      <c r="D11" s="2655">
        <v>9500</v>
      </c>
      <c r="E11" s="2655">
        <v>9500</v>
      </c>
      <c r="F11" s="2655">
        <v>5488.5</v>
      </c>
      <c r="G11" s="2656">
        <f>F11/E11*100</f>
        <v>57.77368421052631</v>
      </c>
      <c r="H11" s="3031"/>
    </row>
    <row r="12" spans="1:8" s="665" customFormat="1" ht="70.5" customHeight="1">
      <c r="A12" s="3030"/>
      <c r="B12" s="2658" t="s">
        <v>399</v>
      </c>
      <c r="C12" s="2659" t="s">
        <v>400</v>
      </c>
      <c r="D12" s="2660">
        <v>2500</v>
      </c>
      <c r="E12" s="2660">
        <v>1400</v>
      </c>
      <c r="F12" s="2660">
        <v>217.5</v>
      </c>
      <c r="G12" s="2661">
        <f>F12/E12*100</f>
        <v>15.535714285714286</v>
      </c>
      <c r="H12" s="3031"/>
    </row>
    <row r="13" spans="1:8" s="671" customFormat="1" ht="40.5" customHeight="1">
      <c r="A13" s="1079"/>
      <c r="B13" s="2662"/>
      <c r="C13" s="1091"/>
      <c r="D13" s="2651"/>
      <c r="E13" s="2663"/>
      <c r="F13" s="2651"/>
      <c r="G13" s="1093"/>
      <c r="H13" s="2664" t="s">
        <v>990</v>
      </c>
    </row>
    <row r="14" spans="1:8" ht="38.25">
      <c r="A14" s="1081">
        <v>2</v>
      </c>
      <c r="B14" s="2665" t="s">
        <v>401</v>
      </c>
      <c r="C14" s="1082" t="s">
        <v>991</v>
      </c>
      <c r="D14" s="1083">
        <v>200</v>
      </c>
      <c r="E14" s="1083">
        <v>300</v>
      </c>
      <c r="F14" s="1083">
        <v>0.7</v>
      </c>
      <c r="G14" s="1084">
        <f aca="true" t="shared" si="0" ref="G14:G75">F14/E14*100</f>
        <v>0.2333333333333333</v>
      </c>
      <c r="H14" s="2666" t="s">
        <v>992</v>
      </c>
    </row>
    <row r="15" spans="1:8" ht="25.5">
      <c r="A15" s="2667">
        <v>3</v>
      </c>
      <c r="B15" s="2668" t="s">
        <v>560</v>
      </c>
      <c r="C15" s="1089" t="s">
        <v>993</v>
      </c>
      <c r="D15" s="1090">
        <v>300</v>
      </c>
      <c r="E15" s="1090">
        <v>300</v>
      </c>
      <c r="F15" s="1090">
        <v>0</v>
      </c>
      <c r="G15" s="1087">
        <f t="shared" si="0"/>
        <v>0</v>
      </c>
      <c r="H15" s="2652" t="s">
        <v>994</v>
      </c>
    </row>
    <row r="16" spans="1:8" ht="23.25" customHeight="1">
      <c r="A16" s="1081">
        <v>4</v>
      </c>
      <c r="B16" s="2665" t="s">
        <v>576</v>
      </c>
      <c r="C16" s="1089" t="s">
        <v>995</v>
      </c>
      <c r="D16" s="1090">
        <v>500</v>
      </c>
      <c r="E16" s="1090">
        <v>500</v>
      </c>
      <c r="F16" s="1090">
        <v>22.4</v>
      </c>
      <c r="G16" s="1087">
        <f t="shared" si="0"/>
        <v>4.4799999999999995</v>
      </c>
      <c r="H16" s="2666" t="s">
        <v>996</v>
      </c>
    </row>
    <row r="17" spans="1:8" ht="39.75" customHeight="1">
      <c r="A17" s="1081">
        <v>5</v>
      </c>
      <c r="B17" s="2665" t="s">
        <v>578</v>
      </c>
      <c r="C17" s="1089" t="s">
        <v>997</v>
      </c>
      <c r="D17" s="1090">
        <v>400</v>
      </c>
      <c r="E17" s="1090">
        <v>400</v>
      </c>
      <c r="F17" s="1090">
        <v>174.5</v>
      </c>
      <c r="G17" s="1087">
        <f t="shared" si="0"/>
        <v>43.625</v>
      </c>
      <c r="H17" s="2666" t="s">
        <v>998</v>
      </c>
    </row>
    <row r="18" spans="1:8" ht="15.75">
      <c r="A18" s="1073"/>
      <c r="B18" s="1074" t="s">
        <v>561</v>
      </c>
      <c r="C18" s="1095"/>
      <c r="D18" s="1085">
        <f>D19+D20</f>
        <v>1570</v>
      </c>
      <c r="E18" s="1085">
        <f>E19+E20</f>
        <v>2995</v>
      </c>
      <c r="F18" s="1085">
        <f>F19+F20</f>
        <v>371.29999999999995</v>
      </c>
      <c r="G18" s="1086">
        <f t="shared" si="0"/>
        <v>12.397328881469113</v>
      </c>
      <c r="H18" s="2649"/>
    </row>
    <row r="19" spans="1:8" ht="159" customHeight="1">
      <c r="A19" s="955">
        <v>6</v>
      </c>
      <c r="B19" s="956" t="s">
        <v>562</v>
      </c>
      <c r="C19" s="2669" t="s">
        <v>999</v>
      </c>
      <c r="D19" s="958">
        <v>1500</v>
      </c>
      <c r="E19" s="958">
        <v>2925</v>
      </c>
      <c r="F19" s="958">
        <v>317.4</v>
      </c>
      <c r="G19" s="2670">
        <f t="shared" si="0"/>
        <v>10.85128205128205</v>
      </c>
      <c r="H19" s="2666" t="s">
        <v>1000</v>
      </c>
    </row>
    <row r="20" spans="1:8" ht="57.75" customHeight="1">
      <c r="A20" s="960">
        <v>7</v>
      </c>
      <c r="B20" s="961" t="s">
        <v>1001</v>
      </c>
      <c r="C20" s="1082" t="s">
        <v>1002</v>
      </c>
      <c r="D20" s="963">
        <v>70</v>
      </c>
      <c r="E20" s="963">
        <v>70</v>
      </c>
      <c r="F20" s="963">
        <v>53.9</v>
      </c>
      <c r="G20" s="1084">
        <f t="shared" si="0"/>
        <v>77</v>
      </c>
      <c r="H20" s="2666" t="s">
        <v>1003</v>
      </c>
    </row>
    <row r="21" spans="1:8" ht="15.75">
      <c r="A21" s="1088"/>
      <c r="B21" s="1098" t="s">
        <v>579</v>
      </c>
      <c r="C21" s="1095"/>
      <c r="D21" s="1085">
        <f>D22</f>
        <v>250</v>
      </c>
      <c r="E21" s="1085">
        <f>E22</f>
        <v>250</v>
      </c>
      <c r="F21" s="1085">
        <f>F22</f>
        <v>250</v>
      </c>
      <c r="G21" s="1086">
        <f t="shared" si="0"/>
        <v>100</v>
      </c>
      <c r="H21" s="2671"/>
    </row>
    <row r="22" spans="1:8" s="1097" customFormat="1" ht="29.25" customHeight="1">
      <c r="A22" s="960">
        <v>8</v>
      </c>
      <c r="B22" s="2672" t="s">
        <v>1004</v>
      </c>
      <c r="C22" s="1082" t="s">
        <v>1005</v>
      </c>
      <c r="D22" s="2673">
        <v>250</v>
      </c>
      <c r="E22" s="2673">
        <v>250</v>
      </c>
      <c r="F22" s="1083">
        <v>250</v>
      </c>
      <c r="G22" s="1084">
        <f t="shared" si="0"/>
        <v>100</v>
      </c>
      <c r="H22" s="2666" t="s">
        <v>1006</v>
      </c>
    </row>
    <row r="23" spans="1:8" ht="15.75">
      <c r="A23" s="1088"/>
      <c r="B23" s="1098" t="s">
        <v>580</v>
      </c>
      <c r="C23" s="1095"/>
      <c r="D23" s="1085">
        <f>D24</f>
        <v>1605.9</v>
      </c>
      <c r="E23" s="1085">
        <f>E24</f>
        <v>1806.6</v>
      </c>
      <c r="F23" s="1085">
        <f>F24</f>
        <v>192.8</v>
      </c>
      <c r="G23" s="1086">
        <f t="shared" si="0"/>
        <v>10.671980515886197</v>
      </c>
      <c r="H23" s="2671"/>
    </row>
    <row r="24" spans="1:8" s="1097" customFormat="1" ht="88.5" customHeight="1">
      <c r="A24" s="960">
        <v>9</v>
      </c>
      <c r="B24" s="2674" t="s">
        <v>1007</v>
      </c>
      <c r="C24" s="1089" t="s">
        <v>1008</v>
      </c>
      <c r="D24" s="2673">
        <v>1605.9</v>
      </c>
      <c r="E24" s="2673">
        <v>1806.6</v>
      </c>
      <c r="F24" s="1083">
        <v>192.8</v>
      </c>
      <c r="G24" s="1084">
        <f t="shared" si="0"/>
        <v>10.671980515886197</v>
      </c>
      <c r="H24" s="2675" t="s">
        <v>1009</v>
      </c>
    </row>
    <row r="25" spans="1:8" ht="15.75">
      <c r="A25" s="1088"/>
      <c r="B25" s="1098" t="s">
        <v>1010</v>
      </c>
      <c r="C25" s="1095"/>
      <c r="D25" s="1085">
        <f>D26</f>
        <v>1000</v>
      </c>
      <c r="E25" s="1085">
        <f>E26</f>
        <v>1075</v>
      </c>
      <c r="F25" s="1085">
        <f>F26</f>
        <v>277.9</v>
      </c>
      <c r="G25" s="1086">
        <f t="shared" si="0"/>
        <v>25.851162790697675</v>
      </c>
      <c r="H25" s="2671"/>
    </row>
    <row r="26" spans="1:8" s="1097" customFormat="1" ht="76.5" customHeight="1">
      <c r="A26" s="960">
        <v>10</v>
      </c>
      <c r="B26" s="2676" t="s">
        <v>1011</v>
      </c>
      <c r="C26" s="1089" t="s">
        <v>1012</v>
      </c>
      <c r="D26" s="2673">
        <v>1000</v>
      </c>
      <c r="E26" s="2673">
        <v>1075</v>
      </c>
      <c r="F26" s="1083">
        <v>277.9</v>
      </c>
      <c r="G26" s="1084">
        <f t="shared" si="0"/>
        <v>25.851162790697675</v>
      </c>
      <c r="H26" s="2675" t="s">
        <v>1013</v>
      </c>
    </row>
    <row r="27" spans="1:8" ht="15.75">
      <c r="A27" s="1088"/>
      <c r="B27" s="1098" t="s">
        <v>1014</v>
      </c>
      <c r="C27" s="1095"/>
      <c r="D27" s="1085">
        <f>D28</f>
        <v>160</v>
      </c>
      <c r="E27" s="1085">
        <f>E28</f>
        <v>160</v>
      </c>
      <c r="F27" s="1085">
        <f>F28</f>
        <v>0</v>
      </c>
      <c r="G27" s="1086">
        <f t="shared" si="0"/>
        <v>0</v>
      </c>
      <c r="H27" s="2671"/>
    </row>
    <row r="28" spans="1:8" s="1097" customFormat="1" ht="21" customHeight="1">
      <c r="A28" s="960">
        <v>11</v>
      </c>
      <c r="B28" s="2672" t="s">
        <v>1015</v>
      </c>
      <c r="C28" s="1089" t="s">
        <v>1016</v>
      </c>
      <c r="D28" s="2673">
        <v>160</v>
      </c>
      <c r="E28" s="2673">
        <v>160</v>
      </c>
      <c r="F28" s="1083">
        <v>0</v>
      </c>
      <c r="G28" s="1084">
        <f t="shared" si="0"/>
        <v>0</v>
      </c>
      <c r="H28" s="2652" t="s">
        <v>577</v>
      </c>
    </row>
    <row r="29" spans="1:8" ht="15.75">
      <c r="A29" s="1088"/>
      <c r="B29" s="1098" t="s">
        <v>563</v>
      </c>
      <c r="C29" s="1095"/>
      <c r="D29" s="1085">
        <f>SUM(D30:D40)</f>
        <v>5605</v>
      </c>
      <c r="E29" s="1085">
        <f>SUM(E30:E40)</f>
        <v>6459</v>
      </c>
      <c r="F29" s="1085">
        <f>SUM(F30:F40)</f>
        <v>2815.4000000000005</v>
      </c>
      <c r="G29" s="1086">
        <f t="shared" si="0"/>
        <v>43.58879083449451</v>
      </c>
      <c r="H29" s="2671"/>
    </row>
    <row r="30" spans="1:8" ht="118.5" customHeight="1">
      <c r="A30" s="960">
        <v>12</v>
      </c>
      <c r="B30" s="971" t="s">
        <v>564</v>
      </c>
      <c r="C30" s="1082" t="s">
        <v>1017</v>
      </c>
      <c r="D30" s="963">
        <v>3000</v>
      </c>
      <c r="E30" s="963">
        <v>3400</v>
      </c>
      <c r="F30" s="963">
        <v>2297.8</v>
      </c>
      <c r="G30" s="1084">
        <f t="shared" si="0"/>
        <v>67.58235294117647</v>
      </c>
      <c r="H30" s="2677" t="s">
        <v>1018</v>
      </c>
    </row>
    <row r="31" spans="1:8" ht="156.75" customHeight="1">
      <c r="A31" s="1081">
        <v>13</v>
      </c>
      <c r="B31" s="2665" t="s">
        <v>1019</v>
      </c>
      <c r="C31" s="1082" t="s">
        <v>1020</v>
      </c>
      <c r="D31" s="1083">
        <v>1000</v>
      </c>
      <c r="E31" s="1083">
        <v>1034</v>
      </c>
      <c r="F31" s="1083">
        <v>286.6</v>
      </c>
      <c r="G31" s="1084">
        <f t="shared" si="0"/>
        <v>27.71760154738878</v>
      </c>
      <c r="H31" s="2666" t="s">
        <v>1021</v>
      </c>
    </row>
    <row r="32" spans="1:8" ht="90.75" customHeight="1">
      <c r="A32" s="1079">
        <v>14</v>
      </c>
      <c r="B32" s="2678" t="s">
        <v>1022</v>
      </c>
      <c r="C32" s="1091" t="s">
        <v>1023</v>
      </c>
      <c r="D32" s="1092">
        <v>500</v>
      </c>
      <c r="E32" s="1092">
        <v>920</v>
      </c>
      <c r="F32" s="1092">
        <v>203.5</v>
      </c>
      <c r="G32" s="1093">
        <f t="shared" si="0"/>
        <v>22.119565217391305</v>
      </c>
      <c r="H32" s="2664" t="s">
        <v>1024</v>
      </c>
    </row>
    <row r="33" spans="1:8" s="665" customFormat="1" ht="23.25" customHeight="1">
      <c r="A33" s="1081">
        <v>15</v>
      </c>
      <c r="B33" s="2665" t="s">
        <v>565</v>
      </c>
      <c r="C33" s="1082" t="s">
        <v>1025</v>
      </c>
      <c r="D33" s="1083">
        <v>50</v>
      </c>
      <c r="E33" s="1083">
        <v>50</v>
      </c>
      <c r="F33" s="1083">
        <v>0</v>
      </c>
      <c r="G33" s="1084">
        <f t="shared" si="0"/>
        <v>0</v>
      </c>
      <c r="H33" s="2666" t="s">
        <v>1026</v>
      </c>
    </row>
    <row r="34" spans="1:8" s="1097" customFormat="1" ht="42.75" customHeight="1">
      <c r="A34" s="960">
        <v>16</v>
      </c>
      <c r="B34" s="961" t="s">
        <v>1027</v>
      </c>
      <c r="C34" s="1082" t="s">
        <v>1028</v>
      </c>
      <c r="D34" s="963">
        <v>200</v>
      </c>
      <c r="E34" s="963">
        <v>200</v>
      </c>
      <c r="F34" s="963">
        <v>0</v>
      </c>
      <c r="G34" s="1084">
        <f t="shared" si="0"/>
        <v>0</v>
      </c>
      <c r="H34" s="2666" t="s">
        <v>1029</v>
      </c>
    </row>
    <row r="35" spans="1:8" s="1097" customFormat="1" ht="35.25" customHeight="1">
      <c r="A35" s="960">
        <v>17</v>
      </c>
      <c r="B35" s="961" t="s">
        <v>1030</v>
      </c>
      <c r="C35" s="1082" t="s">
        <v>1031</v>
      </c>
      <c r="D35" s="963">
        <v>75</v>
      </c>
      <c r="E35" s="963">
        <v>75</v>
      </c>
      <c r="F35" s="963">
        <v>0.3</v>
      </c>
      <c r="G35" s="1093">
        <f t="shared" si="0"/>
        <v>0.4</v>
      </c>
      <c r="H35" s="2666" t="s">
        <v>1032</v>
      </c>
    </row>
    <row r="36" spans="1:8" s="1097" customFormat="1" ht="57" customHeight="1">
      <c r="A36" s="960">
        <v>18</v>
      </c>
      <c r="B36" s="961" t="s">
        <v>1033</v>
      </c>
      <c r="C36" s="1082" t="s">
        <v>1034</v>
      </c>
      <c r="D36" s="963">
        <v>100</v>
      </c>
      <c r="E36" s="963">
        <v>100</v>
      </c>
      <c r="F36" s="963">
        <v>2.4</v>
      </c>
      <c r="G36" s="1084">
        <f t="shared" si="0"/>
        <v>2.4</v>
      </c>
      <c r="H36" s="2666" t="s">
        <v>1035</v>
      </c>
    </row>
    <row r="37" spans="1:8" ht="46.5" customHeight="1">
      <c r="A37" s="1081">
        <v>19</v>
      </c>
      <c r="B37" s="2665" t="s">
        <v>1036</v>
      </c>
      <c r="C37" s="1082" t="s">
        <v>1037</v>
      </c>
      <c r="D37" s="1083">
        <v>200</v>
      </c>
      <c r="E37" s="1083">
        <v>200</v>
      </c>
      <c r="F37" s="1083">
        <v>0</v>
      </c>
      <c r="G37" s="1084">
        <f t="shared" si="0"/>
        <v>0</v>
      </c>
      <c r="H37" s="2652" t="s">
        <v>1038</v>
      </c>
    </row>
    <row r="38" spans="1:8" ht="24.75" customHeight="1">
      <c r="A38" s="1081">
        <v>20</v>
      </c>
      <c r="B38" s="2665" t="s">
        <v>566</v>
      </c>
      <c r="C38" s="1082" t="s">
        <v>1039</v>
      </c>
      <c r="D38" s="1083">
        <v>150</v>
      </c>
      <c r="E38" s="1083">
        <v>150</v>
      </c>
      <c r="F38" s="1083">
        <v>2</v>
      </c>
      <c r="G38" s="1084">
        <f t="shared" si="0"/>
        <v>1.3333333333333335</v>
      </c>
      <c r="H38" s="2679" t="s">
        <v>585</v>
      </c>
    </row>
    <row r="39" spans="1:8" ht="81" customHeight="1">
      <c r="A39" s="1081">
        <v>21</v>
      </c>
      <c r="B39" s="2665" t="s">
        <v>567</v>
      </c>
      <c r="C39" s="1082" t="s">
        <v>1040</v>
      </c>
      <c r="D39" s="1083">
        <v>100</v>
      </c>
      <c r="E39" s="1083">
        <v>100</v>
      </c>
      <c r="F39" s="1083">
        <v>22.8</v>
      </c>
      <c r="G39" s="1084">
        <f t="shared" si="0"/>
        <v>22.8</v>
      </c>
      <c r="H39" s="2657" t="s">
        <v>1041</v>
      </c>
    </row>
    <row r="40" spans="1:8" ht="27.75" customHeight="1">
      <c r="A40" s="1081">
        <v>22</v>
      </c>
      <c r="B40" s="2665" t="s">
        <v>568</v>
      </c>
      <c r="C40" s="1082" t="s">
        <v>1042</v>
      </c>
      <c r="D40" s="1083">
        <v>230</v>
      </c>
      <c r="E40" s="1083">
        <v>230</v>
      </c>
      <c r="F40" s="1083">
        <v>0</v>
      </c>
      <c r="G40" s="1084">
        <f t="shared" si="0"/>
        <v>0</v>
      </c>
      <c r="H40" s="2679" t="s">
        <v>588</v>
      </c>
    </row>
    <row r="41" spans="1:8" ht="15.75">
      <c r="A41" s="1088"/>
      <c r="B41" s="1098" t="s">
        <v>569</v>
      </c>
      <c r="C41" s="1095"/>
      <c r="D41" s="1085">
        <f>D42+D43</f>
        <v>276</v>
      </c>
      <c r="E41" s="1085">
        <f>E42+E43</f>
        <v>296</v>
      </c>
      <c r="F41" s="1085">
        <f>F42+F43</f>
        <v>1.2</v>
      </c>
      <c r="G41" s="1086">
        <f t="shared" si="0"/>
        <v>0.40540540540540543</v>
      </c>
      <c r="H41" s="2680"/>
    </row>
    <row r="42" spans="1:8" ht="45" customHeight="1">
      <c r="A42" s="1081">
        <v>23</v>
      </c>
      <c r="B42" s="2665" t="s">
        <v>570</v>
      </c>
      <c r="C42" s="1082" t="s">
        <v>1043</v>
      </c>
      <c r="D42" s="1083">
        <v>100</v>
      </c>
      <c r="E42" s="1083">
        <v>100</v>
      </c>
      <c r="F42" s="1083">
        <v>0</v>
      </c>
      <c r="G42" s="1084">
        <f t="shared" si="0"/>
        <v>0</v>
      </c>
      <c r="H42" s="2666" t="s">
        <v>1044</v>
      </c>
    </row>
    <row r="43" spans="1:8" ht="45" customHeight="1">
      <c r="A43" s="1081">
        <v>24</v>
      </c>
      <c r="B43" s="2665" t="s">
        <v>1045</v>
      </c>
      <c r="C43" s="1082" t="s">
        <v>1046</v>
      </c>
      <c r="D43" s="1083">
        <v>176</v>
      </c>
      <c r="E43" s="1083">
        <v>196</v>
      </c>
      <c r="F43" s="1083">
        <v>1.2</v>
      </c>
      <c r="G43" s="1084">
        <f t="shared" si="0"/>
        <v>0.6122448979591837</v>
      </c>
      <c r="H43" s="2666" t="s">
        <v>1047</v>
      </c>
    </row>
    <row r="44" spans="1:8" ht="15.75">
      <c r="A44" s="1088"/>
      <c r="B44" s="1098" t="s">
        <v>571</v>
      </c>
      <c r="C44" s="1095"/>
      <c r="D44" s="1085">
        <f>D45</f>
        <v>3500</v>
      </c>
      <c r="E44" s="1085">
        <f>E45</f>
        <v>4050</v>
      </c>
      <c r="F44" s="1085">
        <f>F45</f>
        <v>381.9</v>
      </c>
      <c r="G44" s="1086">
        <f t="shared" si="0"/>
        <v>9.429629629629629</v>
      </c>
      <c r="H44" s="2671"/>
    </row>
    <row r="45" spans="1:8" s="1097" customFormat="1" ht="121.5" customHeight="1">
      <c r="A45" s="960">
        <v>25</v>
      </c>
      <c r="B45" s="2665" t="s">
        <v>572</v>
      </c>
      <c r="C45" s="1082" t="s">
        <v>1048</v>
      </c>
      <c r="D45" s="1083">
        <v>3500</v>
      </c>
      <c r="E45" s="1083">
        <v>4050</v>
      </c>
      <c r="F45" s="1083">
        <v>381.9</v>
      </c>
      <c r="G45" s="1084">
        <f t="shared" si="0"/>
        <v>9.429629629629629</v>
      </c>
      <c r="H45" s="2681" t="s">
        <v>1049</v>
      </c>
    </row>
    <row r="46" spans="1:8" s="2688" customFormat="1" ht="24.75" customHeight="1" thickBot="1">
      <c r="A46" s="2682" t="s">
        <v>204</v>
      </c>
      <c r="B46" s="2683" t="s">
        <v>573</v>
      </c>
      <c r="C46" s="2684"/>
      <c r="D46" s="2685">
        <f>D47+D75+D79+D81+D85+D92+D101+D87+D83+D77</f>
        <v>30010.2</v>
      </c>
      <c r="E46" s="2685">
        <f>E47+E75+E79+E81+E85+E92+E101+E87+E83+E77</f>
        <v>34107.5</v>
      </c>
      <c r="F46" s="2685">
        <f>F47+F75+F79+F81+F85+F92+F101+F87+F83+F77</f>
        <v>3575.33</v>
      </c>
      <c r="G46" s="2686">
        <f t="shared" si="0"/>
        <v>10.482533167191967</v>
      </c>
      <c r="H46" s="2687"/>
    </row>
    <row r="47" spans="1:8" ht="16.5" thickTop="1">
      <c r="A47" s="1073"/>
      <c r="B47" s="1074" t="s">
        <v>397</v>
      </c>
      <c r="C47" s="2648"/>
      <c r="D47" s="1075">
        <f>SUM(D56:D74)+D48+D52</f>
        <v>16331.2</v>
      </c>
      <c r="E47" s="1075">
        <f>SUM(E56:E74)+E48+E52</f>
        <v>16794.1</v>
      </c>
      <c r="F47" s="1075">
        <f>SUM(F56:F74)+F48+F52</f>
        <v>487.90000000000003</v>
      </c>
      <c r="G47" s="1076">
        <f t="shared" si="0"/>
        <v>2.905186940651777</v>
      </c>
      <c r="H47" s="2689"/>
    </row>
    <row r="48" spans="1:8" s="1097" customFormat="1" ht="29.25" customHeight="1">
      <c r="A48" s="1081">
        <v>26</v>
      </c>
      <c r="B48" s="2665" t="s">
        <v>575</v>
      </c>
      <c r="C48" s="1082">
        <v>60016</v>
      </c>
      <c r="D48" s="1083">
        <v>1980.2</v>
      </c>
      <c r="E48" s="963">
        <f>SUM(E49:E51)</f>
        <v>1340.1</v>
      </c>
      <c r="F48" s="963">
        <f>SUM(F49:F51)</f>
        <v>374.5</v>
      </c>
      <c r="G48" s="1084">
        <f t="shared" si="0"/>
        <v>27.945675695843597</v>
      </c>
      <c r="H48" s="3031" t="s">
        <v>1050</v>
      </c>
    </row>
    <row r="49" spans="1:8" s="1097" customFormat="1" ht="22.5" customHeight="1">
      <c r="A49" s="3033"/>
      <c r="B49" s="2690" t="s">
        <v>1051</v>
      </c>
      <c r="C49" s="2654" t="s">
        <v>1052</v>
      </c>
      <c r="D49" s="2655"/>
      <c r="E49" s="2655">
        <v>150</v>
      </c>
      <c r="F49" s="2655">
        <v>0</v>
      </c>
      <c r="G49" s="2691">
        <f t="shared" si="0"/>
        <v>0</v>
      </c>
      <c r="H49" s="3031"/>
    </row>
    <row r="50" spans="1:8" s="1097" customFormat="1" ht="22.5" customHeight="1">
      <c r="A50" s="3034"/>
      <c r="B50" s="2692" t="s">
        <v>1053</v>
      </c>
      <c r="C50" s="2654" t="s">
        <v>1054</v>
      </c>
      <c r="D50" s="2655">
        <v>1485.2</v>
      </c>
      <c r="E50" s="2655">
        <v>892.6</v>
      </c>
      <c r="F50" s="2655">
        <v>280.5</v>
      </c>
      <c r="G50" s="2691">
        <f t="shared" si="0"/>
        <v>31.42505041451938</v>
      </c>
      <c r="H50" s="3031"/>
    </row>
    <row r="51" spans="1:8" s="1097" customFormat="1" ht="22.5" customHeight="1">
      <c r="A51" s="3035"/>
      <c r="B51" s="2692" t="s">
        <v>1055</v>
      </c>
      <c r="C51" s="2654" t="s">
        <v>1056</v>
      </c>
      <c r="D51" s="2655">
        <v>495</v>
      </c>
      <c r="E51" s="2655">
        <v>297.5</v>
      </c>
      <c r="F51" s="2655">
        <v>94</v>
      </c>
      <c r="G51" s="2691">
        <f t="shared" si="0"/>
        <v>31.596638655462183</v>
      </c>
      <c r="H51" s="3032"/>
    </row>
    <row r="52" spans="1:8" s="1097" customFormat="1" ht="24" customHeight="1">
      <c r="A52" s="1079">
        <v>27</v>
      </c>
      <c r="B52" s="2693" t="s">
        <v>1057</v>
      </c>
      <c r="C52" s="1082">
        <v>60015</v>
      </c>
      <c r="D52" s="963">
        <f>SUM(D53:D55)</f>
        <v>5200</v>
      </c>
      <c r="E52" s="963">
        <f>SUM(E53:E55)</f>
        <v>4811.4</v>
      </c>
      <c r="F52" s="963">
        <f>SUM(F53:F55)</f>
        <v>3.1</v>
      </c>
      <c r="G52" s="1084">
        <f t="shared" si="0"/>
        <v>0.0644303113438916</v>
      </c>
      <c r="H52" s="2664" t="s">
        <v>1058</v>
      </c>
    </row>
    <row r="53" spans="1:8" s="1097" customFormat="1" ht="15.75" customHeight="1">
      <c r="A53" s="2698"/>
      <c r="B53" s="2690" t="s">
        <v>1051</v>
      </c>
      <c r="C53" s="2654" t="s">
        <v>1052</v>
      </c>
      <c r="D53" s="2655">
        <v>0</v>
      </c>
      <c r="E53" s="2655">
        <v>198.1</v>
      </c>
      <c r="F53" s="2655">
        <v>3.1</v>
      </c>
      <c r="G53" s="2691">
        <f>F53/E53*100</f>
        <v>1.5648662291771833</v>
      </c>
      <c r="H53" s="2657"/>
    </row>
    <row r="54" spans="1:8" s="1097" customFormat="1" ht="15.75" customHeight="1">
      <c r="A54" s="2698"/>
      <c r="B54" s="2692" t="s">
        <v>1053</v>
      </c>
      <c r="C54" s="2654" t="s">
        <v>1054</v>
      </c>
      <c r="D54" s="2655">
        <v>3883.3</v>
      </c>
      <c r="E54" s="2655">
        <v>3460</v>
      </c>
      <c r="F54" s="2655">
        <v>0</v>
      </c>
      <c r="G54" s="2691">
        <f>F54/E54*100</f>
        <v>0</v>
      </c>
      <c r="H54" s="2657"/>
    </row>
    <row r="55" spans="1:8" s="1097" customFormat="1" ht="15.75" customHeight="1">
      <c r="A55" s="2698"/>
      <c r="B55" s="2692" t="s">
        <v>1055</v>
      </c>
      <c r="C55" s="2654" t="s">
        <v>1056</v>
      </c>
      <c r="D55" s="2655">
        <v>1316.7</v>
      </c>
      <c r="E55" s="2655">
        <v>1153.3</v>
      </c>
      <c r="F55" s="2655">
        <v>0</v>
      </c>
      <c r="G55" s="2691">
        <f>F55/E55*100</f>
        <v>0</v>
      </c>
      <c r="H55" s="2664"/>
    </row>
    <row r="56" spans="1:8" s="1097" customFormat="1" ht="24" customHeight="1">
      <c r="A56" s="1079">
        <v>28</v>
      </c>
      <c r="B56" s="2693" t="s">
        <v>1059</v>
      </c>
      <c r="C56" s="1082" t="s">
        <v>1060</v>
      </c>
      <c r="D56" s="963">
        <v>1600</v>
      </c>
      <c r="E56" s="963">
        <v>1600</v>
      </c>
      <c r="F56" s="963">
        <v>3.8</v>
      </c>
      <c r="G56" s="1084">
        <f t="shared" si="0"/>
        <v>0.2375</v>
      </c>
      <c r="H56" s="2664" t="s">
        <v>1058</v>
      </c>
    </row>
    <row r="57" spans="1:8" s="1097" customFormat="1" ht="24" customHeight="1">
      <c r="A57" s="1079">
        <v>29</v>
      </c>
      <c r="B57" s="2693" t="s">
        <v>1061</v>
      </c>
      <c r="C57" s="1082" t="s">
        <v>1060</v>
      </c>
      <c r="D57" s="963">
        <v>1600</v>
      </c>
      <c r="E57" s="963">
        <v>2600</v>
      </c>
      <c r="F57" s="963">
        <v>7.5</v>
      </c>
      <c r="G57" s="1084">
        <f t="shared" si="0"/>
        <v>0.2884615384615385</v>
      </c>
      <c r="H57" s="2664" t="s">
        <v>1062</v>
      </c>
    </row>
    <row r="58" spans="1:8" s="1097" customFormat="1" ht="24" customHeight="1">
      <c r="A58" s="1079">
        <v>30</v>
      </c>
      <c r="B58" s="2693" t="s">
        <v>1063</v>
      </c>
      <c r="C58" s="1082" t="s">
        <v>1060</v>
      </c>
      <c r="D58" s="963">
        <v>3000</v>
      </c>
      <c r="E58" s="963">
        <v>2000</v>
      </c>
      <c r="F58" s="963">
        <v>1.8</v>
      </c>
      <c r="G58" s="1084">
        <f t="shared" si="0"/>
        <v>0.09</v>
      </c>
      <c r="H58" s="2664" t="s">
        <v>1064</v>
      </c>
    </row>
    <row r="59" spans="1:8" s="1097" customFormat="1" ht="24" customHeight="1">
      <c r="A59" s="1079">
        <v>31</v>
      </c>
      <c r="B59" s="2693" t="s">
        <v>1065</v>
      </c>
      <c r="C59" s="1082" t="s">
        <v>1060</v>
      </c>
      <c r="D59" s="963">
        <v>100</v>
      </c>
      <c r="E59" s="963">
        <v>100</v>
      </c>
      <c r="F59" s="963">
        <v>29.1</v>
      </c>
      <c r="G59" s="1084">
        <f t="shared" si="0"/>
        <v>29.100000000000005</v>
      </c>
      <c r="H59" s="2664" t="s">
        <v>1066</v>
      </c>
    </row>
    <row r="60" spans="1:8" s="1097" customFormat="1" ht="36" customHeight="1">
      <c r="A60" s="960">
        <v>32</v>
      </c>
      <c r="B60" s="2693" t="s">
        <v>1067</v>
      </c>
      <c r="C60" s="1082" t="s">
        <v>1068</v>
      </c>
      <c r="D60" s="963">
        <v>250</v>
      </c>
      <c r="E60" s="963">
        <v>250</v>
      </c>
      <c r="F60" s="963">
        <v>0</v>
      </c>
      <c r="G60" s="1084">
        <f t="shared" si="0"/>
        <v>0</v>
      </c>
      <c r="H60" s="2666" t="s">
        <v>1069</v>
      </c>
    </row>
    <row r="61" spans="1:8" s="1097" customFormat="1" ht="36" customHeight="1">
      <c r="A61" s="960">
        <v>33</v>
      </c>
      <c r="B61" s="2699" t="s">
        <v>1070</v>
      </c>
      <c r="C61" s="1082" t="s">
        <v>1068</v>
      </c>
      <c r="D61" s="963"/>
      <c r="E61" s="963">
        <v>20</v>
      </c>
      <c r="F61" s="963">
        <v>3.6</v>
      </c>
      <c r="G61" s="1084">
        <f t="shared" si="0"/>
        <v>18</v>
      </c>
      <c r="H61" s="2666" t="s">
        <v>1071</v>
      </c>
    </row>
    <row r="62" spans="1:8" s="1097" customFormat="1" ht="68.25" customHeight="1">
      <c r="A62" s="960">
        <v>34</v>
      </c>
      <c r="B62" s="2699" t="s">
        <v>1072</v>
      </c>
      <c r="C62" s="1082" t="s">
        <v>1068</v>
      </c>
      <c r="D62" s="963">
        <v>150</v>
      </c>
      <c r="E62" s="963">
        <v>150</v>
      </c>
      <c r="F62" s="963">
        <v>0</v>
      </c>
      <c r="G62" s="1084">
        <f t="shared" si="0"/>
        <v>0</v>
      </c>
      <c r="H62" s="2666" t="s">
        <v>1073</v>
      </c>
    </row>
    <row r="63" spans="1:8" s="1097" customFormat="1" ht="33" customHeight="1">
      <c r="A63" s="960">
        <v>35</v>
      </c>
      <c r="B63" s="961" t="s">
        <v>1074</v>
      </c>
      <c r="C63" s="1082" t="s">
        <v>1068</v>
      </c>
      <c r="D63" s="963">
        <v>1500</v>
      </c>
      <c r="E63" s="963">
        <v>1500</v>
      </c>
      <c r="F63" s="963">
        <v>2.1</v>
      </c>
      <c r="G63" s="1084">
        <f t="shared" si="0"/>
        <v>0.13999999999999999</v>
      </c>
      <c r="H63" s="2666" t="s">
        <v>1075</v>
      </c>
    </row>
    <row r="64" spans="1:8" s="1097" customFormat="1" ht="36" customHeight="1">
      <c r="A64" s="960">
        <v>36</v>
      </c>
      <c r="B64" s="961" t="s">
        <v>1076</v>
      </c>
      <c r="C64" s="1082" t="s">
        <v>1077</v>
      </c>
      <c r="D64" s="963">
        <v>600</v>
      </c>
      <c r="E64" s="963">
        <v>600</v>
      </c>
      <c r="F64" s="963">
        <v>3.2</v>
      </c>
      <c r="G64" s="1084">
        <f t="shared" si="0"/>
        <v>0.5333333333333334</v>
      </c>
      <c r="H64" s="2666" t="s">
        <v>1078</v>
      </c>
    </row>
    <row r="65" spans="1:8" s="1097" customFormat="1" ht="24" customHeight="1">
      <c r="A65" s="960">
        <v>37</v>
      </c>
      <c r="B65" s="961" t="s">
        <v>1079</v>
      </c>
      <c r="C65" s="1082" t="s">
        <v>1077</v>
      </c>
      <c r="D65" s="963">
        <v>170</v>
      </c>
      <c r="E65" s="963">
        <v>170</v>
      </c>
      <c r="F65" s="963">
        <v>0</v>
      </c>
      <c r="G65" s="1084">
        <f t="shared" si="0"/>
        <v>0</v>
      </c>
      <c r="H65" s="2666" t="s">
        <v>1047</v>
      </c>
    </row>
    <row r="66" spans="1:8" s="1097" customFormat="1" ht="35.25" customHeight="1">
      <c r="A66" s="960">
        <v>38</v>
      </c>
      <c r="B66" s="961" t="s">
        <v>1080</v>
      </c>
      <c r="C66" s="1082" t="s">
        <v>1077</v>
      </c>
      <c r="D66" s="963">
        <v>100</v>
      </c>
      <c r="E66" s="963">
        <v>100</v>
      </c>
      <c r="F66" s="963">
        <v>0</v>
      </c>
      <c r="G66" s="1084">
        <f t="shared" si="0"/>
        <v>0</v>
      </c>
      <c r="H66" s="2666" t="s">
        <v>1081</v>
      </c>
    </row>
    <row r="67" spans="1:8" s="1097" customFormat="1" ht="23.25" customHeight="1">
      <c r="A67" s="960">
        <v>39</v>
      </c>
      <c r="B67" s="961" t="s">
        <v>1082</v>
      </c>
      <c r="C67" s="1082" t="s">
        <v>1077</v>
      </c>
      <c r="D67" s="963">
        <v>80</v>
      </c>
      <c r="E67" s="963">
        <v>80</v>
      </c>
      <c r="F67" s="963">
        <v>0</v>
      </c>
      <c r="G67" s="1084">
        <f t="shared" si="0"/>
        <v>0</v>
      </c>
      <c r="H67" s="2666" t="s">
        <v>1047</v>
      </c>
    </row>
    <row r="68" spans="1:8" s="1097" customFormat="1" ht="33" customHeight="1">
      <c r="A68" s="960">
        <v>40</v>
      </c>
      <c r="B68" s="977" t="s">
        <v>1083</v>
      </c>
      <c r="C68" s="1082" t="s">
        <v>1084</v>
      </c>
      <c r="D68" s="963">
        <v>1</v>
      </c>
      <c r="E68" s="963">
        <v>22.6</v>
      </c>
      <c r="F68" s="963">
        <v>22.6</v>
      </c>
      <c r="G68" s="1084">
        <f t="shared" si="0"/>
        <v>100</v>
      </c>
      <c r="H68" s="2666" t="s">
        <v>1085</v>
      </c>
    </row>
    <row r="69" spans="1:8" s="1097" customFormat="1" ht="45.75" customHeight="1">
      <c r="A69" s="960">
        <v>41</v>
      </c>
      <c r="B69" s="961" t="s">
        <v>1086</v>
      </c>
      <c r="C69" s="1082" t="s">
        <v>1068</v>
      </c>
      <c r="D69" s="963"/>
      <c r="E69" s="963">
        <v>250</v>
      </c>
      <c r="F69" s="963">
        <v>29.3</v>
      </c>
      <c r="G69" s="1084">
        <f t="shared" si="0"/>
        <v>11.72</v>
      </c>
      <c r="H69" s="2666" t="s">
        <v>1087</v>
      </c>
    </row>
    <row r="70" spans="1:8" s="1097" customFormat="1" ht="57.75" customHeight="1">
      <c r="A70" s="960">
        <v>42</v>
      </c>
      <c r="B70" s="961" t="s">
        <v>1088</v>
      </c>
      <c r="C70" s="1082" t="s">
        <v>1068</v>
      </c>
      <c r="D70" s="963"/>
      <c r="E70" s="963">
        <v>100</v>
      </c>
      <c r="F70" s="963">
        <v>5</v>
      </c>
      <c r="G70" s="1093">
        <f t="shared" si="0"/>
        <v>5</v>
      </c>
      <c r="H70" s="2666" t="s">
        <v>1089</v>
      </c>
    </row>
    <row r="71" spans="1:8" s="1097" customFormat="1" ht="35.25" customHeight="1">
      <c r="A71" s="960">
        <v>43</v>
      </c>
      <c r="B71" s="961" t="s">
        <v>574</v>
      </c>
      <c r="C71" s="1082" t="s">
        <v>1068</v>
      </c>
      <c r="D71" s="963"/>
      <c r="E71" s="963">
        <v>200</v>
      </c>
      <c r="F71" s="963">
        <v>2.3</v>
      </c>
      <c r="G71" s="1084">
        <f t="shared" si="0"/>
        <v>1.15</v>
      </c>
      <c r="H71" s="2666" t="s">
        <v>1090</v>
      </c>
    </row>
    <row r="72" spans="1:8" s="1097" customFormat="1" ht="46.5" customHeight="1">
      <c r="A72" s="960">
        <v>44</v>
      </c>
      <c r="B72" s="971" t="s">
        <v>1091</v>
      </c>
      <c r="C72" s="1082" t="s">
        <v>1068</v>
      </c>
      <c r="D72" s="963"/>
      <c r="E72" s="963">
        <v>100</v>
      </c>
      <c r="F72" s="963">
        <v>0</v>
      </c>
      <c r="G72" s="1084">
        <f t="shared" si="0"/>
        <v>0</v>
      </c>
      <c r="H72" s="2666" t="s">
        <v>1092</v>
      </c>
    </row>
    <row r="73" spans="1:8" s="1097" customFormat="1" ht="45.75" customHeight="1">
      <c r="A73" s="960">
        <v>45</v>
      </c>
      <c r="B73" s="961" t="s">
        <v>1093</v>
      </c>
      <c r="C73" s="1082" t="s">
        <v>1068</v>
      </c>
      <c r="D73" s="963"/>
      <c r="E73" s="963">
        <v>200</v>
      </c>
      <c r="F73" s="963">
        <v>0</v>
      </c>
      <c r="G73" s="1093">
        <f t="shared" si="0"/>
        <v>0</v>
      </c>
      <c r="H73" s="2666" t="s">
        <v>1094</v>
      </c>
    </row>
    <row r="74" spans="1:8" s="1097" customFormat="1" ht="24" customHeight="1">
      <c r="A74" s="2700">
        <v>46</v>
      </c>
      <c r="B74" s="961" t="s">
        <v>1095</v>
      </c>
      <c r="C74" s="1082" t="s">
        <v>1096</v>
      </c>
      <c r="D74" s="963"/>
      <c r="E74" s="963">
        <v>600</v>
      </c>
      <c r="F74" s="963">
        <v>0</v>
      </c>
      <c r="G74" s="1093">
        <f t="shared" si="0"/>
        <v>0</v>
      </c>
      <c r="H74" s="2666" t="s">
        <v>1097</v>
      </c>
    </row>
    <row r="75" spans="1:8" ht="15.75">
      <c r="A75" s="2701"/>
      <c r="B75" s="1074" t="s">
        <v>561</v>
      </c>
      <c r="C75" s="1095"/>
      <c r="D75" s="1085">
        <f>SUM(D76:D76)</f>
        <v>6500</v>
      </c>
      <c r="E75" s="1085">
        <f>SUM(E76:E76)</f>
        <v>9009</v>
      </c>
      <c r="F75" s="1085">
        <f>SUM(F76:F76)</f>
        <v>2511.7</v>
      </c>
      <c r="G75" s="1086">
        <f t="shared" si="0"/>
        <v>27.87989787989788</v>
      </c>
      <c r="H75" s="2671"/>
    </row>
    <row r="76" spans="1:8" s="1097" customFormat="1" ht="21" customHeight="1">
      <c r="A76" s="960">
        <v>47</v>
      </c>
      <c r="B76" s="961" t="s">
        <v>1098</v>
      </c>
      <c r="C76" s="1082">
        <v>70001</v>
      </c>
      <c r="D76" s="963">
        <v>6500</v>
      </c>
      <c r="E76" s="963">
        <v>9009</v>
      </c>
      <c r="F76" s="963">
        <v>2511.7</v>
      </c>
      <c r="G76" s="1093"/>
      <c r="H76" s="2666" t="s">
        <v>1099</v>
      </c>
    </row>
    <row r="77" spans="1:8" ht="15.75">
      <c r="A77" s="2701"/>
      <c r="B77" s="1074" t="s">
        <v>1100</v>
      </c>
      <c r="C77" s="1095"/>
      <c r="D77" s="1085"/>
      <c r="E77" s="1085">
        <f>SUM(E78:E78)</f>
        <v>200</v>
      </c>
      <c r="F77" s="1085">
        <f>SUM(F78:F78)</f>
        <v>0</v>
      </c>
      <c r="G77" s="1086">
        <f>F77/E77*100</f>
        <v>0</v>
      </c>
      <c r="H77" s="2671"/>
    </row>
    <row r="78" spans="1:8" s="1097" customFormat="1" ht="24" customHeight="1">
      <c r="A78" s="960">
        <v>48</v>
      </c>
      <c r="B78" s="971" t="s">
        <v>1101</v>
      </c>
      <c r="C78" s="1082">
        <v>70001</v>
      </c>
      <c r="D78" s="963"/>
      <c r="E78" s="963">
        <v>200</v>
      </c>
      <c r="F78" s="963">
        <v>0</v>
      </c>
      <c r="G78" s="1093"/>
      <c r="H78" s="2666" t="s">
        <v>1097</v>
      </c>
    </row>
    <row r="79" spans="1:8" ht="14.25" customHeight="1">
      <c r="A79" s="2701"/>
      <c r="B79" s="1074" t="s">
        <v>579</v>
      </c>
      <c r="C79" s="1095"/>
      <c r="D79" s="1085">
        <f>SUM(D80:D80)</f>
        <v>30</v>
      </c>
      <c r="E79" s="1085">
        <f>SUM(E80:E80)</f>
        <v>0</v>
      </c>
      <c r="F79" s="1085">
        <f>SUM(F80:F80)</f>
        <v>0</v>
      </c>
      <c r="G79" s="2702"/>
      <c r="H79" s="2671"/>
    </row>
    <row r="80" spans="1:8" s="1097" customFormat="1" ht="24" customHeight="1">
      <c r="A80" s="960">
        <v>49</v>
      </c>
      <c r="B80" s="961" t="s">
        <v>1102</v>
      </c>
      <c r="C80" s="1082" t="s">
        <v>1103</v>
      </c>
      <c r="D80" s="963">
        <v>30</v>
      </c>
      <c r="E80" s="963">
        <v>0</v>
      </c>
      <c r="F80" s="963">
        <v>0</v>
      </c>
      <c r="G80" s="1084"/>
      <c r="H80" s="2666" t="s">
        <v>1104</v>
      </c>
    </row>
    <row r="81" spans="1:8" ht="14.25" customHeight="1">
      <c r="A81" s="2701"/>
      <c r="B81" s="1074" t="s">
        <v>581</v>
      </c>
      <c r="C81" s="1095"/>
      <c r="D81" s="1085">
        <f>SUM(D82:D82)</f>
        <v>120</v>
      </c>
      <c r="E81" s="1085">
        <f>SUM(E82:E82)</f>
        <v>120</v>
      </c>
      <c r="F81" s="1085">
        <f>SUM(F82:F82)</f>
        <v>50</v>
      </c>
      <c r="G81" s="1086">
        <f>F81/E81*100</f>
        <v>41.66666666666667</v>
      </c>
      <c r="H81" s="2671"/>
    </row>
    <row r="82" spans="1:8" s="1097" customFormat="1" ht="33" customHeight="1">
      <c r="A82" s="960">
        <v>50</v>
      </c>
      <c r="B82" s="2693" t="s">
        <v>1105</v>
      </c>
      <c r="C82" s="1082" t="s">
        <v>1106</v>
      </c>
      <c r="D82" s="963">
        <v>120</v>
      </c>
      <c r="E82" s="963">
        <v>120</v>
      </c>
      <c r="F82" s="963">
        <v>50</v>
      </c>
      <c r="G82" s="1093"/>
      <c r="H82" s="2666" t="s">
        <v>1107</v>
      </c>
    </row>
    <row r="83" spans="1:8" ht="14.25" customHeight="1">
      <c r="A83" s="2701"/>
      <c r="B83" s="1074" t="s">
        <v>1010</v>
      </c>
      <c r="C83" s="1095"/>
      <c r="D83" s="1085"/>
      <c r="E83" s="1085">
        <f>SUM(E84:E84)</f>
        <v>300</v>
      </c>
      <c r="F83" s="1085">
        <f>SUM(F84:F84)</f>
        <v>11.3</v>
      </c>
      <c r="G83" s="1086">
        <f>F83/E83*100</f>
        <v>3.7666666666666666</v>
      </c>
      <c r="H83" s="2671"/>
    </row>
    <row r="84" spans="1:8" s="1097" customFormat="1" ht="25.5" customHeight="1">
      <c r="A84" s="960">
        <v>51</v>
      </c>
      <c r="B84" s="2693" t="s">
        <v>1108</v>
      </c>
      <c r="C84" s="1082" t="s">
        <v>1109</v>
      </c>
      <c r="D84" s="963"/>
      <c r="E84" s="963">
        <v>300</v>
      </c>
      <c r="F84" s="963">
        <v>11.3</v>
      </c>
      <c r="G84" s="1093"/>
      <c r="H84" s="2666" t="s">
        <v>1110</v>
      </c>
    </row>
    <row r="85" spans="1:8" ht="14.25" customHeight="1">
      <c r="A85" s="2701"/>
      <c r="B85" s="1074" t="s">
        <v>1014</v>
      </c>
      <c r="C85" s="1095"/>
      <c r="D85" s="1085">
        <f>SUM(D86:D86)</f>
        <v>35</v>
      </c>
      <c r="E85" s="1085">
        <f>SUM(E86:E86)</f>
        <v>35</v>
      </c>
      <c r="F85" s="1085">
        <f>SUM(F86:F86)</f>
        <v>0</v>
      </c>
      <c r="G85" s="1086">
        <f>F85/E85*100</f>
        <v>0</v>
      </c>
      <c r="H85" s="2671"/>
    </row>
    <row r="86" spans="1:8" s="1097" customFormat="1" ht="16.5" customHeight="1">
      <c r="A86" s="960">
        <v>52</v>
      </c>
      <c r="B86" s="2693" t="s">
        <v>1111</v>
      </c>
      <c r="C86" s="1082" t="s">
        <v>1052</v>
      </c>
      <c r="D86" s="963">
        <v>35</v>
      </c>
      <c r="E86" s="963">
        <v>35</v>
      </c>
      <c r="F86" s="963">
        <v>0</v>
      </c>
      <c r="G86" s="1093"/>
      <c r="H86" s="2652" t="s">
        <v>577</v>
      </c>
    </row>
    <row r="87" spans="1:8" ht="13.5" customHeight="1">
      <c r="A87" s="2701"/>
      <c r="B87" s="1098" t="s">
        <v>563</v>
      </c>
      <c r="C87" s="1095"/>
      <c r="D87" s="1085">
        <f>SUM(D88:D91)</f>
        <v>900</v>
      </c>
      <c r="E87" s="1085">
        <f>SUM(E88:E91)</f>
        <v>168.5</v>
      </c>
      <c r="F87" s="1085">
        <f>SUM(F88:F91)</f>
        <v>0</v>
      </c>
      <c r="G87" s="1086">
        <f>F87/E87*100</f>
        <v>0</v>
      </c>
      <c r="H87" s="2671"/>
    </row>
    <row r="88" spans="1:8" ht="21">
      <c r="A88" s="2700">
        <v>53</v>
      </c>
      <c r="B88" s="977" t="s">
        <v>1112</v>
      </c>
      <c r="C88" s="1082" t="s">
        <v>1025</v>
      </c>
      <c r="D88" s="963">
        <v>100</v>
      </c>
      <c r="E88" s="963">
        <v>0</v>
      </c>
      <c r="F88" s="963">
        <v>0</v>
      </c>
      <c r="G88" s="1093"/>
      <c r="H88" s="2666" t="s">
        <v>1113</v>
      </c>
    </row>
    <row r="89" spans="1:8" ht="19.5" customHeight="1">
      <c r="A89" s="2700">
        <v>54</v>
      </c>
      <c r="B89" s="977" t="s">
        <v>1114</v>
      </c>
      <c r="C89" s="1082" t="s">
        <v>1115</v>
      </c>
      <c r="D89" s="963">
        <v>200</v>
      </c>
      <c r="E89" s="963">
        <v>68.5</v>
      </c>
      <c r="F89" s="963">
        <v>0</v>
      </c>
      <c r="G89" s="1093">
        <f>F89/E89*100</f>
        <v>0</v>
      </c>
      <c r="H89" s="2671"/>
    </row>
    <row r="90" spans="1:8" s="1097" customFormat="1" ht="24.75" customHeight="1">
      <c r="A90" s="960">
        <v>55</v>
      </c>
      <c r="B90" s="961" t="s">
        <v>1095</v>
      </c>
      <c r="C90" s="1082" t="s">
        <v>1040</v>
      </c>
      <c r="D90" s="963">
        <v>600</v>
      </c>
      <c r="E90" s="963">
        <v>0</v>
      </c>
      <c r="F90" s="963">
        <v>0</v>
      </c>
      <c r="G90" s="1093"/>
      <c r="H90" s="2666" t="s">
        <v>1116</v>
      </c>
    </row>
    <row r="91" spans="1:8" s="1097" customFormat="1" ht="18.75" customHeight="1">
      <c r="A91" s="960">
        <v>56</v>
      </c>
      <c r="B91" s="961" t="s">
        <v>1117</v>
      </c>
      <c r="C91" s="1082" t="s">
        <v>1040</v>
      </c>
      <c r="D91" s="963"/>
      <c r="E91" s="963">
        <v>100</v>
      </c>
      <c r="F91" s="963">
        <v>0</v>
      </c>
      <c r="G91" s="1093">
        <f>F91/E91*100</f>
        <v>0</v>
      </c>
      <c r="H91" s="2652" t="s">
        <v>577</v>
      </c>
    </row>
    <row r="92" spans="1:8" ht="14.25" customHeight="1">
      <c r="A92" s="2701"/>
      <c r="B92" s="1098" t="s">
        <v>569</v>
      </c>
      <c r="C92" s="1095"/>
      <c r="D92" s="1085">
        <f>D93+D94+D100+D98+D99</f>
        <v>2094</v>
      </c>
      <c r="E92" s="1085">
        <f>E93+E94+E100+E98+E99</f>
        <v>2261.1</v>
      </c>
      <c r="F92" s="1085">
        <f>F93+F94+F100+F98+F99</f>
        <v>513.93</v>
      </c>
      <c r="G92" s="1086">
        <f>F92/E92*100</f>
        <v>22.729202600504177</v>
      </c>
      <c r="H92" s="2671"/>
    </row>
    <row r="93" spans="1:8" s="1097" customFormat="1" ht="25.5" customHeight="1">
      <c r="A93" s="960">
        <v>57</v>
      </c>
      <c r="B93" s="961" t="s">
        <v>582</v>
      </c>
      <c r="C93" s="1082" t="s">
        <v>1118</v>
      </c>
      <c r="D93" s="963">
        <v>200</v>
      </c>
      <c r="E93" s="963">
        <v>200</v>
      </c>
      <c r="F93" s="963">
        <v>0</v>
      </c>
      <c r="G93" s="1084">
        <f>F93/E93*100</f>
        <v>0</v>
      </c>
      <c r="H93" s="2666" t="s">
        <v>1119</v>
      </c>
    </row>
    <row r="94" spans="1:8" s="1097" customFormat="1" ht="13.5" customHeight="1">
      <c r="A94" s="960">
        <v>58</v>
      </c>
      <c r="B94" s="961" t="s">
        <v>1120</v>
      </c>
      <c r="C94" s="1082">
        <v>92118</v>
      </c>
      <c r="D94" s="963">
        <f>SUM(D95:D97)</f>
        <v>1494</v>
      </c>
      <c r="E94" s="963">
        <f>SUM(E95:E97)</f>
        <v>1481.1</v>
      </c>
      <c r="F94" s="963">
        <f>SUM(F95:F97)</f>
        <v>513.93</v>
      </c>
      <c r="G94" s="1084">
        <f aca="true" t="shared" si="1" ref="G94:G100">F94/E94*100</f>
        <v>34.69921004658699</v>
      </c>
      <c r="H94" s="3036" t="s">
        <v>1121</v>
      </c>
    </row>
    <row r="95" spans="1:8" s="1097" customFormat="1" ht="105" customHeight="1">
      <c r="A95" s="960"/>
      <c r="B95" s="2690" t="s">
        <v>1122</v>
      </c>
      <c r="C95" s="2654" t="s">
        <v>1052</v>
      </c>
      <c r="D95" s="2655"/>
      <c r="E95" s="2655">
        <v>86.6</v>
      </c>
      <c r="F95" s="2655">
        <v>0.03</v>
      </c>
      <c r="G95" s="2656">
        <f t="shared" si="1"/>
        <v>0.03464203233256351</v>
      </c>
      <c r="H95" s="3037"/>
    </row>
    <row r="96" spans="1:8" s="1097" customFormat="1" ht="61.5" customHeight="1">
      <c r="A96" s="955"/>
      <c r="B96" s="2704" t="s">
        <v>1053</v>
      </c>
      <c r="C96" s="2654" t="s">
        <v>1054</v>
      </c>
      <c r="D96" s="2655">
        <v>1126.6</v>
      </c>
      <c r="E96" s="2655">
        <v>1045.9</v>
      </c>
      <c r="F96" s="2655">
        <v>385.4</v>
      </c>
      <c r="G96" s="2691">
        <f t="shared" si="1"/>
        <v>36.84864709819294</v>
      </c>
      <c r="H96" s="3037"/>
    </row>
    <row r="97" spans="1:8" s="1097" customFormat="1" ht="51" customHeight="1">
      <c r="A97" s="955"/>
      <c r="B97" s="2692" t="s">
        <v>1055</v>
      </c>
      <c r="C97" s="2654" t="s">
        <v>1056</v>
      </c>
      <c r="D97" s="2655">
        <v>367.4</v>
      </c>
      <c r="E97" s="2655">
        <v>348.6</v>
      </c>
      <c r="F97" s="2655">
        <v>128.5</v>
      </c>
      <c r="G97" s="2691">
        <f t="shared" si="1"/>
        <v>36.86173264486518</v>
      </c>
      <c r="H97" s="3038"/>
    </row>
    <row r="98" spans="1:8" s="1097" customFormat="1" ht="21.75" customHeight="1">
      <c r="A98" s="960">
        <v>59</v>
      </c>
      <c r="B98" s="2699" t="s">
        <v>1123</v>
      </c>
      <c r="C98" s="1082" t="s">
        <v>1124</v>
      </c>
      <c r="D98" s="963">
        <v>400</v>
      </c>
      <c r="E98" s="963">
        <v>400</v>
      </c>
      <c r="F98" s="963">
        <v>0</v>
      </c>
      <c r="G98" s="1093">
        <f t="shared" si="1"/>
        <v>0</v>
      </c>
      <c r="H98" s="2664" t="s">
        <v>1047</v>
      </c>
    </row>
    <row r="99" spans="1:8" s="1097" customFormat="1" ht="30.75" customHeight="1">
      <c r="A99" s="1079">
        <v>60</v>
      </c>
      <c r="B99" s="2699" t="s">
        <v>1125</v>
      </c>
      <c r="C99" s="1082" t="s">
        <v>1126</v>
      </c>
      <c r="D99" s="963"/>
      <c r="E99" s="963">
        <v>80</v>
      </c>
      <c r="F99" s="963">
        <v>0</v>
      </c>
      <c r="G99" s="1093">
        <f t="shared" si="1"/>
        <v>0</v>
      </c>
      <c r="H99" s="2664" t="s">
        <v>1127</v>
      </c>
    </row>
    <row r="100" spans="1:8" s="1097" customFormat="1" ht="45" customHeight="1">
      <c r="A100" s="960">
        <v>61</v>
      </c>
      <c r="B100" s="961" t="s">
        <v>1128</v>
      </c>
      <c r="C100" s="1082" t="s">
        <v>1129</v>
      </c>
      <c r="D100" s="963"/>
      <c r="E100" s="963">
        <v>100</v>
      </c>
      <c r="F100" s="963">
        <v>0</v>
      </c>
      <c r="G100" s="1084">
        <f t="shared" si="1"/>
        <v>0</v>
      </c>
      <c r="H100" s="2666" t="s">
        <v>1130</v>
      </c>
    </row>
    <row r="101" spans="1:8" ht="15.75">
      <c r="A101" s="2701"/>
      <c r="B101" s="1098" t="s">
        <v>571</v>
      </c>
      <c r="C101" s="1095"/>
      <c r="D101" s="1085">
        <f>D102+D107+D103</f>
        <v>4000</v>
      </c>
      <c r="E101" s="1085">
        <f>E102+E107+E103</f>
        <v>5219.8</v>
      </c>
      <c r="F101" s="1085">
        <f>F102+F107+F103</f>
        <v>0.5</v>
      </c>
      <c r="G101" s="1086">
        <f>F101/E101*100</f>
        <v>0.009578911069389632</v>
      </c>
      <c r="H101" s="2671"/>
    </row>
    <row r="102" spans="1:8" s="1097" customFormat="1" ht="42.75" customHeight="1">
      <c r="A102" s="960">
        <v>62</v>
      </c>
      <c r="B102" s="961" t="s">
        <v>1131</v>
      </c>
      <c r="C102" s="1082" t="s">
        <v>1132</v>
      </c>
      <c r="D102" s="963">
        <v>4000</v>
      </c>
      <c r="E102" s="963">
        <v>2000</v>
      </c>
      <c r="F102" s="963">
        <v>0</v>
      </c>
      <c r="G102" s="1093">
        <f>F102/E102*100</f>
        <v>0</v>
      </c>
      <c r="H102" s="2666" t="s">
        <v>1133</v>
      </c>
    </row>
    <row r="103" spans="1:8" s="1097" customFormat="1" ht="26.25" customHeight="1">
      <c r="A103" s="960">
        <v>63</v>
      </c>
      <c r="B103" s="961" t="s">
        <v>1134</v>
      </c>
      <c r="C103" s="1089">
        <v>92601</v>
      </c>
      <c r="D103" s="963"/>
      <c r="E103" s="963">
        <f>SUM(E104:E106)</f>
        <v>3119.8</v>
      </c>
      <c r="F103" s="963">
        <f>SUM(F104:F106)</f>
        <v>0.5</v>
      </c>
      <c r="G103" s="1093"/>
      <c r="H103" s="2666" t="s">
        <v>1135</v>
      </c>
    </row>
    <row r="104" spans="1:8" s="2706" customFormat="1" ht="27" customHeight="1">
      <c r="A104" s="2705"/>
      <c r="B104" s="2690" t="s">
        <v>1122</v>
      </c>
      <c r="C104" s="2654" t="s">
        <v>1052</v>
      </c>
      <c r="D104" s="2655"/>
      <c r="E104" s="2655">
        <v>50</v>
      </c>
      <c r="F104" s="2655">
        <v>0.5</v>
      </c>
      <c r="G104" s="2656"/>
      <c r="H104" s="2666" t="s">
        <v>1136</v>
      </c>
    </row>
    <row r="105" spans="1:8" s="2706" customFormat="1" ht="14.25" customHeight="1">
      <c r="A105" s="2705"/>
      <c r="B105" s="2692" t="s">
        <v>1053</v>
      </c>
      <c r="C105" s="2654" t="s">
        <v>1054</v>
      </c>
      <c r="D105" s="2655"/>
      <c r="E105" s="2655">
        <v>993</v>
      </c>
      <c r="F105" s="2655"/>
      <c r="G105" s="2691"/>
      <c r="H105" s="1078"/>
    </row>
    <row r="106" spans="1:8" s="2706" customFormat="1" ht="13.5" customHeight="1">
      <c r="A106" s="2705"/>
      <c r="B106" s="2692" t="s">
        <v>1055</v>
      </c>
      <c r="C106" s="2654" t="s">
        <v>1056</v>
      </c>
      <c r="D106" s="2655"/>
      <c r="E106" s="2655">
        <v>2076.8</v>
      </c>
      <c r="F106" s="2655"/>
      <c r="G106" s="2691"/>
      <c r="H106" s="1080"/>
    </row>
    <row r="107" spans="1:8" s="1097" customFormat="1" ht="24" customHeight="1" thickBot="1">
      <c r="A107" s="969">
        <v>64</v>
      </c>
      <c r="B107" s="977" t="s">
        <v>1137</v>
      </c>
      <c r="C107" s="1089" t="s">
        <v>1138</v>
      </c>
      <c r="D107" s="1096"/>
      <c r="E107" s="1096">
        <v>100</v>
      </c>
      <c r="F107" s="1096">
        <v>0</v>
      </c>
      <c r="G107" s="2670">
        <f aca="true" t="shared" si="2" ref="G107:G112">F107/E107*100</f>
        <v>0</v>
      </c>
      <c r="H107" s="2652" t="s">
        <v>1139</v>
      </c>
    </row>
    <row r="108" spans="1:8" s="1097" customFormat="1" ht="24.75" customHeight="1" thickBot="1" thickTop="1">
      <c r="A108" s="1099"/>
      <c r="B108" s="1778" t="s">
        <v>583</v>
      </c>
      <c r="C108" s="2707"/>
      <c r="D108" s="2708">
        <f>D8+D46</f>
        <v>57377.100000000006</v>
      </c>
      <c r="E108" s="1100">
        <f>E8+E46</f>
        <v>63599.1</v>
      </c>
      <c r="F108" s="1100">
        <f>F8+F46</f>
        <v>13769.43</v>
      </c>
      <c r="G108" s="2709">
        <f t="shared" si="2"/>
        <v>21.650353542738813</v>
      </c>
      <c r="H108" s="2710"/>
    </row>
    <row r="109" spans="1:8" ht="17.25" thickBot="1" thickTop="1">
      <c r="A109" s="1101" t="s">
        <v>584</v>
      </c>
      <c r="B109" s="1102"/>
      <c r="C109" s="1103"/>
      <c r="D109" s="1104">
        <v>1263.4</v>
      </c>
      <c r="E109" s="1104">
        <v>2329.4</v>
      </c>
      <c r="F109" s="1104">
        <v>337.7</v>
      </c>
      <c r="G109" s="1105">
        <f t="shared" si="2"/>
        <v>14.497295440886063</v>
      </c>
      <c r="H109" s="1106" t="s">
        <v>1140</v>
      </c>
    </row>
    <row r="110" spans="1:8" ht="39.75" thickBot="1" thickTop="1">
      <c r="A110" s="1107" t="s">
        <v>586</v>
      </c>
      <c r="B110" s="1108"/>
      <c r="C110" s="1109"/>
      <c r="D110" s="1110">
        <v>9570</v>
      </c>
      <c r="E110" s="1110">
        <v>9594</v>
      </c>
      <c r="F110" s="1110">
        <v>24</v>
      </c>
      <c r="G110" s="1111">
        <f t="shared" si="2"/>
        <v>0.2501563477173233</v>
      </c>
      <c r="H110" s="1112" t="s">
        <v>1141</v>
      </c>
    </row>
    <row r="111" spans="1:8" ht="17.25" thickBot="1" thickTop="1">
      <c r="A111" s="1101" t="s">
        <v>587</v>
      </c>
      <c r="B111" s="1102"/>
      <c r="C111" s="1103"/>
      <c r="D111" s="1104">
        <v>8107.3</v>
      </c>
      <c r="E111" s="1104">
        <v>8222.3</v>
      </c>
      <c r="F111" s="1104">
        <v>2370</v>
      </c>
      <c r="G111" s="1113">
        <f t="shared" si="2"/>
        <v>28.82405166437615</v>
      </c>
      <c r="H111" s="1106" t="s">
        <v>1142</v>
      </c>
    </row>
    <row r="112" spans="1:8" ht="27.75" customHeight="1" thickBot="1" thickTop="1">
      <c r="A112" s="2711" t="s">
        <v>589</v>
      </c>
      <c r="B112" s="1114"/>
      <c r="C112" s="1115" t="s">
        <v>590</v>
      </c>
      <c r="D112" s="2712">
        <f>SUM(D108:D111)</f>
        <v>76317.8</v>
      </c>
      <c r="E112" s="2712">
        <f>SUM(E108:E111)</f>
        <v>83744.8</v>
      </c>
      <c r="F112" s="2712">
        <f>SUM(F108:F111)</f>
        <v>16501.13</v>
      </c>
      <c r="G112" s="2712">
        <f t="shared" si="2"/>
        <v>19.7040652076308</v>
      </c>
      <c r="H112" s="1116"/>
    </row>
    <row r="113" ht="16.5" thickTop="1"/>
    <row r="114" spans="2:4" ht="15.75">
      <c r="B114" s="2713"/>
      <c r="C114" s="2714"/>
      <c r="D114" s="2714"/>
    </row>
    <row r="115" spans="2:4" ht="15.75">
      <c r="B115" s="2713"/>
      <c r="C115" s="2714"/>
      <c r="D115" s="2714"/>
    </row>
    <row r="116" spans="2:4" ht="15.75">
      <c r="B116" s="2713"/>
      <c r="C116" s="2714"/>
      <c r="D116" s="2714"/>
    </row>
  </sheetData>
  <mergeCells count="6">
    <mergeCell ref="B1:H1"/>
    <mergeCell ref="H10:H12"/>
    <mergeCell ref="A11:A12"/>
    <mergeCell ref="H48:H51"/>
    <mergeCell ref="A49:A51"/>
    <mergeCell ref="H94:H97"/>
  </mergeCells>
  <printOptions horizontalCentered="1"/>
  <pageMargins left="0" right="0" top="0.7874015748031497" bottom="0.3937007874015748" header="0.5118110236220472" footer="0.5118110236220472"/>
  <pageSetup firstPageNumber="72" useFirstPageNumber="1" horizontalDpi="600" verticalDpi="600" orientation="landscape" paperSize="9" r:id="rId1"/>
  <headerFooter alignWithMargins="0">
    <oddHeader>&amp;C&amp;"Times New Roman CE,Normalny" &amp;P</oddHeader>
  </headerFooter>
</worksheet>
</file>

<file path=xl/worksheets/sheet2.xml><?xml version="1.0" encoding="utf-8"?>
<worksheet xmlns="http://schemas.openxmlformats.org/spreadsheetml/2006/main" xmlns:r="http://schemas.openxmlformats.org/officeDocument/2006/relationships">
  <dimension ref="A1:Q56"/>
  <sheetViews>
    <sheetView workbookViewId="0" topLeftCell="A1">
      <selection activeCell="E11" sqref="E11"/>
    </sheetView>
  </sheetViews>
  <sheetFormatPr defaultColWidth="9.00390625" defaultRowHeight="12.75"/>
  <cols>
    <col min="1" max="1" width="2.625" style="79" customWidth="1"/>
    <col min="2" max="2" width="27.875" style="79" customWidth="1"/>
    <col min="3" max="3" width="10.25390625" style="624" customWidth="1"/>
    <col min="4" max="4" width="9.25390625" style="624" customWidth="1"/>
    <col min="5" max="6" width="9.375" style="509" customWidth="1"/>
    <col min="7" max="7" width="4.375" style="80" customWidth="1"/>
    <col min="8" max="8" width="4.375" style="81" customWidth="1"/>
    <col min="9" max="9" width="9.25390625" style="79" customWidth="1"/>
    <col min="10" max="10" width="9.625" style="79" customWidth="1"/>
    <col min="11" max="11" width="9.25390625" style="79" customWidth="1"/>
    <col min="12" max="12" width="4.875" style="81" customWidth="1"/>
    <col min="13" max="14" width="8.875" style="79" customWidth="1"/>
    <col min="15" max="15" width="8.625" style="79" customWidth="1"/>
    <col min="16" max="16" width="4.25390625" style="81" customWidth="1"/>
    <col min="17" max="17" width="10.00390625" style="82" customWidth="1"/>
    <col min="18" max="16384" width="10.00390625" style="79" customWidth="1"/>
  </cols>
  <sheetData>
    <row r="1" spans="1:15" ht="18.75" customHeight="1">
      <c r="A1" s="450"/>
      <c r="B1" s="506"/>
      <c r="C1" s="507"/>
      <c r="D1" s="507"/>
      <c r="E1" s="508"/>
      <c r="I1" s="78"/>
      <c r="J1" s="78"/>
      <c r="M1" s="78"/>
      <c r="N1" s="78"/>
      <c r="O1" s="450"/>
    </row>
    <row r="2" spans="1:14" ht="27" customHeight="1" hidden="1">
      <c r="A2" s="78"/>
      <c r="B2" s="78"/>
      <c r="C2" s="507"/>
      <c r="D2" s="507"/>
      <c r="E2" s="508"/>
      <c r="I2" s="78"/>
      <c r="J2" s="78"/>
      <c r="M2" s="78"/>
      <c r="N2" s="78"/>
    </row>
    <row r="3" spans="1:17" s="518" customFormat="1" ht="32.25" customHeight="1">
      <c r="A3" s="510" t="s">
        <v>409</v>
      </c>
      <c r="B3" s="510"/>
      <c r="C3" s="511"/>
      <c r="D3" s="511"/>
      <c r="E3" s="512"/>
      <c r="F3" s="513"/>
      <c r="G3" s="514"/>
      <c r="H3" s="515"/>
      <c r="I3" s="510"/>
      <c r="J3" s="510"/>
      <c r="K3" s="516"/>
      <c r="L3" s="515"/>
      <c r="M3" s="510"/>
      <c r="N3" s="2983" t="s">
        <v>410</v>
      </c>
      <c r="O3" s="2983"/>
      <c r="P3" s="2759"/>
      <c r="Q3" s="517"/>
    </row>
    <row r="4" spans="1:16" ht="17.25" customHeight="1" thickBot="1">
      <c r="A4" s="450"/>
      <c r="B4" s="92"/>
      <c r="C4" s="519"/>
      <c r="D4" s="519"/>
      <c r="E4" s="520"/>
      <c r="F4" s="520"/>
      <c r="G4" s="95"/>
      <c r="H4" s="96"/>
      <c r="I4" s="94"/>
      <c r="J4" s="94"/>
      <c r="K4" s="94"/>
      <c r="L4" s="99"/>
      <c r="M4" s="93"/>
      <c r="N4" s="93"/>
      <c r="O4" s="2727" t="s">
        <v>411</v>
      </c>
      <c r="P4" s="2694"/>
    </row>
    <row r="5" spans="1:16" s="82" customFormat="1" ht="25.5" customHeight="1" thickBot="1" thickTop="1">
      <c r="A5" s="521"/>
      <c r="B5" s="522"/>
      <c r="C5" s="523" t="s">
        <v>102</v>
      </c>
      <c r="D5" s="524"/>
      <c r="E5" s="525"/>
      <c r="F5" s="526"/>
      <c r="G5" s="527"/>
      <c r="H5" s="528"/>
      <c r="I5" s="529" t="s">
        <v>103</v>
      </c>
      <c r="J5" s="529"/>
      <c r="K5" s="529"/>
      <c r="L5" s="530"/>
      <c r="M5" s="531" t="s">
        <v>104</v>
      </c>
      <c r="N5" s="529"/>
      <c r="O5" s="532"/>
      <c r="P5" s="533"/>
    </row>
    <row r="6" spans="1:16" s="82" customFormat="1" ht="35.25" customHeight="1" thickBot="1" thickTop="1">
      <c r="A6" s="534" t="s">
        <v>69</v>
      </c>
      <c r="B6" s="535" t="s">
        <v>106</v>
      </c>
      <c r="C6" s="536" t="s">
        <v>190</v>
      </c>
      <c r="D6" s="537" t="s">
        <v>191</v>
      </c>
      <c r="E6" s="538" t="s">
        <v>192</v>
      </c>
      <c r="F6" s="539" t="s">
        <v>412</v>
      </c>
      <c r="G6" s="540" t="s">
        <v>193</v>
      </c>
      <c r="H6" s="541" t="s">
        <v>194</v>
      </c>
      <c r="I6" s="538" t="s">
        <v>190</v>
      </c>
      <c r="J6" s="538" t="s">
        <v>192</v>
      </c>
      <c r="K6" s="539" t="s">
        <v>412</v>
      </c>
      <c r="L6" s="542" t="s">
        <v>193</v>
      </c>
      <c r="M6" s="543" t="s">
        <v>190</v>
      </c>
      <c r="N6" s="538" t="s">
        <v>192</v>
      </c>
      <c r="O6" s="539" t="s">
        <v>412</v>
      </c>
      <c r="P6" s="544" t="s">
        <v>193</v>
      </c>
    </row>
    <row r="7" spans="1:17" s="554" customFormat="1" ht="7.5" customHeight="1" thickBot="1" thickTop="1">
      <c r="A7" s="545">
        <v>1</v>
      </c>
      <c r="B7" s="546">
        <v>2</v>
      </c>
      <c r="C7" s="547">
        <v>3</v>
      </c>
      <c r="D7" s="548">
        <v>4</v>
      </c>
      <c r="E7" s="549">
        <v>5</v>
      </c>
      <c r="F7" s="549">
        <v>6</v>
      </c>
      <c r="G7" s="550">
        <v>7</v>
      </c>
      <c r="H7" s="546">
        <v>8</v>
      </c>
      <c r="I7" s="550">
        <v>9</v>
      </c>
      <c r="J7" s="550">
        <v>10</v>
      </c>
      <c r="K7" s="550">
        <v>11</v>
      </c>
      <c r="L7" s="546">
        <v>12</v>
      </c>
      <c r="M7" s="551">
        <v>13</v>
      </c>
      <c r="N7" s="550">
        <v>14</v>
      </c>
      <c r="O7" s="550">
        <v>15</v>
      </c>
      <c r="P7" s="552">
        <v>16</v>
      </c>
      <c r="Q7" s="553"/>
    </row>
    <row r="8" spans="1:17" s="565" customFormat="1" ht="24" customHeight="1" thickBot="1" thickTop="1">
      <c r="A8" s="555" t="s">
        <v>195</v>
      </c>
      <c r="B8" s="556" t="s">
        <v>196</v>
      </c>
      <c r="C8" s="557">
        <f>C9+C15+C22+C27+C33+C36</f>
        <v>137220732</v>
      </c>
      <c r="D8" s="558">
        <f>E8-C8</f>
        <v>3322982</v>
      </c>
      <c r="E8" s="559">
        <f aca="true" t="shared" si="0" ref="E8:F40">J8+N8</f>
        <v>140543714</v>
      </c>
      <c r="F8" s="559">
        <f t="shared" si="0"/>
        <v>73334547</v>
      </c>
      <c r="G8" s="560">
        <f aca="true" t="shared" si="1" ref="G8:G48">F8/E8*100</f>
        <v>52.17917252421549</v>
      </c>
      <c r="H8" s="561">
        <v>48.7</v>
      </c>
      <c r="I8" s="557">
        <f>I9+I15+I22+I27+I33+I36</f>
        <v>118022157</v>
      </c>
      <c r="J8" s="558">
        <f>J9+J15+J22+J27+J33+J36</f>
        <v>121223889</v>
      </c>
      <c r="K8" s="558">
        <f>K9+K15+K22+K27+K33+K36</f>
        <v>63921675</v>
      </c>
      <c r="L8" s="561">
        <f aca="true" t="shared" si="2" ref="L8:L37">K8/J8*100</f>
        <v>52.73026259700346</v>
      </c>
      <c r="M8" s="558">
        <f>M33+M36</f>
        <v>19198575</v>
      </c>
      <c r="N8" s="558">
        <f>N33+N36</f>
        <v>19319825</v>
      </c>
      <c r="O8" s="558">
        <f>O33+O36</f>
        <v>9412872</v>
      </c>
      <c r="P8" s="563">
        <f>O8/N8*100</f>
        <v>48.721310881439145</v>
      </c>
      <c r="Q8" s="564"/>
    </row>
    <row r="9" spans="1:16" s="564" customFormat="1" ht="21.75" customHeight="1" thickBot="1" thickTop="1">
      <c r="A9" s="555" t="s">
        <v>197</v>
      </c>
      <c r="B9" s="566" t="s">
        <v>413</v>
      </c>
      <c r="C9" s="557">
        <f aca="true" t="shared" si="3" ref="C9:C43">I9+M9</f>
        <v>25955820</v>
      </c>
      <c r="D9" s="558"/>
      <c r="E9" s="559">
        <f t="shared" si="0"/>
        <v>25955820</v>
      </c>
      <c r="F9" s="559">
        <f t="shared" si="0"/>
        <v>14028255</v>
      </c>
      <c r="G9" s="560">
        <f t="shared" si="1"/>
        <v>54.04666467867322</v>
      </c>
      <c r="H9" s="561">
        <f>F9/F48*100</f>
        <v>9.305377783742747</v>
      </c>
      <c r="I9" s="559">
        <f>SUM(I10:I14)</f>
        <v>25955820</v>
      </c>
      <c r="J9" s="559">
        <f>SUM(J10:J14)</f>
        <v>25955820</v>
      </c>
      <c r="K9" s="559">
        <f>SUM(K10:K14)</f>
        <v>14028255</v>
      </c>
      <c r="L9" s="567">
        <f t="shared" si="2"/>
        <v>54.04666467867322</v>
      </c>
      <c r="M9" s="568"/>
      <c r="N9" s="559"/>
      <c r="O9" s="559"/>
      <c r="P9" s="563"/>
    </row>
    <row r="10" spans="1:17" s="580" customFormat="1" ht="15.75" customHeight="1" thickTop="1">
      <c r="A10" s="569">
        <v>1</v>
      </c>
      <c r="B10" s="570" t="s">
        <v>198</v>
      </c>
      <c r="C10" s="571">
        <f>I10+M10</f>
        <v>24453000</v>
      </c>
      <c r="D10" s="572"/>
      <c r="E10" s="573">
        <f t="shared" si="0"/>
        <v>24453000</v>
      </c>
      <c r="F10" s="573">
        <f>K10+O10</f>
        <v>13180402</v>
      </c>
      <c r="G10" s="574">
        <f>F10/E10*100</f>
        <v>53.900961027276814</v>
      </c>
      <c r="H10" s="575"/>
      <c r="I10" s="573">
        <v>24453000</v>
      </c>
      <c r="J10" s="573">
        <v>24453000</v>
      </c>
      <c r="K10" s="573">
        <v>13180402</v>
      </c>
      <c r="L10" s="576">
        <f>K10/J10*100</f>
        <v>53.900961027276814</v>
      </c>
      <c r="M10" s="577"/>
      <c r="N10" s="573"/>
      <c r="O10" s="573"/>
      <c r="P10" s="578"/>
      <c r="Q10" s="579"/>
    </row>
    <row r="11" spans="1:17" s="580" customFormat="1" ht="12.75" customHeight="1">
      <c r="A11" s="569">
        <v>2</v>
      </c>
      <c r="B11" s="570" t="s">
        <v>199</v>
      </c>
      <c r="C11" s="571">
        <f>I11+M11</f>
        <v>17390</v>
      </c>
      <c r="D11" s="572"/>
      <c r="E11" s="573">
        <f>J11+N11</f>
        <v>17390</v>
      </c>
      <c r="F11" s="573">
        <f>K11+O11</f>
        <v>14721</v>
      </c>
      <c r="G11" s="581">
        <f>F11/E11*100</f>
        <v>84.65209890741806</v>
      </c>
      <c r="H11" s="575"/>
      <c r="I11" s="573">
        <v>17390</v>
      </c>
      <c r="J11" s="573">
        <v>17390</v>
      </c>
      <c r="K11" s="573">
        <v>14721</v>
      </c>
      <c r="L11" s="576">
        <f>K11/J11*100</f>
        <v>84.65209890741806</v>
      </c>
      <c r="M11" s="577"/>
      <c r="N11" s="573"/>
      <c r="O11" s="573"/>
      <c r="P11" s="578"/>
      <c r="Q11" s="579"/>
    </row>
    <row r="12" spans="1:17" s="580" customFormat="1" ht="12.75" customHeight="1">
      <c r="A12" s="569">
        <v>3</v>
      </c>
      <c r="B12" s="570" t="s">
        <v>200</v>
      </c>
      <c r="C12" s="571">
        <f>I12+M12</f>
        <v>35430</v>
      </c>
      <c r="D12" s="572"/>
      <c r="E12" s="573">
        <f t="shared" si="0"/>
        <v>35430</v>
      </c>
      <c r="F12" s="573">
        <f t="shared" si="0"/>
        <v>19308</v>
      </c>
      <c r="G12" s="581">
        <f t="shared" si="1"/>
        <v>54.496189669771375</v>
      </c>
      <c r="H12" s="575"/>
      <c r="I12" s="573">
        <v>35430</v>
      </c>
      <c r="J12" s="573">
        <v>35430</v>
      </c>
      <c r="K12" s="573">
        <v>19308</v>
      </c>
      <c r="L12" s="576">
        <f t="shared" si="2"/>
        <v>54.496189669771375</v>
      </c>
      <c r="M12" s="577"/>
      <c r="N12" s="573"/>
      <c r="O12" s="573"/>
      <c r="P12" s="578"/>
      <c r="Q12" s="579"/>
    </row>
    <row r="13" spans="1:17" s="580" customFormat="1" ht="12.75" customHeight="1">
      <c r="A13" s="569">
        <v>4</v>
      </c>
      <c r="B13" s="570" t="s">
        <v>201</v>
      </c>
      <c r="C13" s="571">
        <f t="shared" si="3"/>
        <v>930000</v>
      </c>
      <c r="D13" s="572"/>
      <c r="E13" s="573">
        <f t="shared" si="0"/>
        <v>930000</v>
      </c>
      <c r="F13" s="573">
        <f t="shared" si="0"/>
        <v>612080</v>
      </c>
      <c r="G13" s="581">
        <f t="shared" si="1"/>
        <v>65.81505376344086</v>
      </c>
      <c r="H13" s="575"/>
      <c r="I13" s="573">
        <v>930000</v>
      </c>
      <c r="J13" s="573">
        <v>930000</v>
      </c>
      <c r="K13" s="573">
        <v>612080</v>
      </c>
      <c r="L13" s="576">
        <f t="shared" si="2"/>
        <v>65.81505376344086</v>
      </c>
      <c r="M13" s="577"/>
      <c r="N13" s="573"/>
      <c r="O13" s="573"/>
      <c r="P13" s="578"/>
      <c r="Q13" s="579"/>
    </row>
    <row r="14" spans="1:17" s="580" customFormat="1" ht="12.75" customHeight="1" thickBot="1">
      <c r="A14" s="569">
        <v>5</v>
      </c>
      <c r="B14" s="570" t="s">
        <v>202</v>
      </c>
      <c r="C14" s="571">
        <f t="shared" si="3"/>
        <v>520000</v>
      </c>
      <c r="D14" s="572"/>
      <c r="E14" s="573">
        <f t="shared" si="0"/>
        <v>520000</v>
      </c>
      <c r="F14" s="573">
        <f t="shared" si="0"/>
        <v>201744</v>
      </c>
      <c r="G14" s="581">
        <f t="shared" si="1"/>
        <v>38.79692307692308</v>
      </c>
      <c r="H14" s="575"/>
      <c r="I14" s="573">
        <v>520000</v>
      </c>
      <c r="J14" s="573">
        <v>520000</v>
      </c>
      <c r="K14" s="573">
        <v>201744</v>
      </c>
      <c r="L14" s="576">
        <f t="shared" si="2"/>
        <v>38.79692307692308</v>
      </c>
      <c r="M14" s="577"/>
      <c r="N14" s="573"/>
      <c r="O14" s="573"/>
      <c r="P14" s="578"/>
      <c r="Q14" s="579"/>
    </row>
    <row r="15" spans="1:17" s="1789" customFormat="1" ht="22.5" customHeight="1" thickBot="1" thickTop="1">
      <c r="A15" s="1779" t="s">
        <v>204</v>
      </c>
      <c r="B15" s="1780" t="s">
        <v>414</v>
      </c>
      <c r="C15" s="557">
        <f t="shared" si="3"/>
        <v>8036700</v>
      </c>
      <c r="D15" s="1781"/>
      <c r="E15" s="1782">
        <f t="shared" si="0"/>
        <v>8036700</v>
      </c>
      <c r="F15" s="1782">
        <f t="shared" si="0"/>
        <v>4531415</v>
      </c>
      <c r="G15" s="1783">
        <f t="shared" si="1"/>
        <v>56.38402578172633</v>
      </c>
      <c r="H15" s="1784">
        <f>F15/F48*100</f>
        <v>3.0058284847202046</v>
      </c>
      <c r="I15" s="1782">
        <f>SUM(I16:I21)</f>
        <v>8036700</v>
      </c>
      <c r="J15" s="1782">
        <f>SUM(J16:J21)</f>
        <v>8036700</v>
      </c>
      <c r="K15" s="1782">
        <f>SUM(K16:K21)</f>
        <v>4531415</v>
      </c>
      <c r="L15" s="1785">
        <f t="shared" si="2"/>
        <v>56.38402578172633</v>
      </c>
      <c r="M15" s="1786"/>
      <c r="N15" s="1782"/>
      <c r="O15" s="1782"/>
      <c r="P15" s="1787"/>
      <c r="Q15" s="1788"/>
    </row>
    <row r="16" spans="1:17" s="580" customFormat="1" ht="12.75" customHeight="1" thickTop="1">
      <c r="A16" s="569">
        <v>1</v>
      </c>
      <c r="B16" s="570" t="s">
        <v>198</v>
      </c>
      <c r="C16" s="571">
        <f t="shared" si="3"/>
        <v>6679100</v>
      </c>
      <c r="D16" s="572"/>
      <c r="E16" s="573">
        <f t="shared" si="0"/>
        <v>6679100</v>
      </c>
      <c r="F16" s="573">
        <f t="shared" si="0"/>
        <v>3762830</v>
      </c>
      <c r="G16" s="581">
        <f t="shared" si="1"/>
        <v>56.33738078483628</v>
      </c>
      <c r="H16" s="575"/>
      <c r="I16" s="573">
        <v>6679100</v>
      </c>
      <c r="J16" s="573">
        <v>6679100</v>
      </c>
      <c r="K16" s="573">
        <v>3762830</v>
      </c>
      <c r="L16" s="576">
        <f t="shared" si="2"/>
        <v>56.33738078483628</v>
      </c>
      <c r="M16" s="577"/>
      <c r="N16" s="573"/>
      <c r="O16" s="573"/>
      <c r="P16" s="578"/>
      <c r="Q16" s="579"/>
    </row>
    <row r="17" spans="1:17" s="580" customFormat="1" ht="15" customHeight="1">
      <c r="A17" s="569">
        <v>2</v>
      </c>
      <c r="B17" s="570" t="s">
        <v>199</v>
      </c>
      <c r="C17" s="571">
        <f t="shared" si="3"/>
        <v>427360</v>
      </c>
      <c r="D17" s="572"/>
      <c r="E17" s="573">
        <f t="shared" si="0"/>
        <v>427360</v>
      </c>
      <c r="F17" s="573">
        <f t="shared" si="0"/>
        <v>268944</v>
      </c>
      <c r="G17" s="581">
        <f t="shared" si="1"/>
        <v>62.9314863347061</v>
      </c>
      <c r="H17" s="575"/>
      <c r="I17" s="573">
        <v>427360</v>
      </c>
      <c r="J17" s="573">
        <v>427360</v>
      </c>
      <c r="K17" s="573">
        <v>268944</v>
      </c>
      <c r="L17" s="576">
        <f t="shared" si="2"/>
        <v>62.9314863347061</v>
      </c>
      <c r="M17" s="577"/>
      <c r="N17" s="573"/>
      <c r="O17" s="573"/>
      <c r="P17" s="578"/>
      <c r="Q17" s="579"/>
    </row>
    <row r="18" spans="1:17" s="580" customFormat="1" ht="12.75" customHeight="1">
      <c r="A18" s="569">
        <v>3</v>
      </c>
      <c r="B18" s="570" t="s">
        <v>200</v>
      </c>
      <c r="C18" s="571">
        <f t="shared" si="3"/>
        <v>240</v>
      </c>
      <c r="D18" s="572"/>
      <c r="E18" s="573">
        <f t="shared" si="0"/>
        <v>240</v>
      </c>
      <c r="F18" s="573">
        <f t="shared" si="0"/>
        <v>128</v>
      </c>
      <c r="G18" s="581">
        <f t="shared" si="1"/>
        <v>53.333333333333336</v>
      </c>
      <c r="H18" s="575"/>
      <c r="I18" s="573">
        <v>240</v>
      </c>
      <c r="J18" s="573">
        <v>240</v>
      </c>
      <c r="K18" s="573">
        <v>128</v>
      </c>
      <c r="L18" s="576">
        <f t="shared" si="2"/>
        <v>53.333333333333336</v>
      </c>
      <c r="M18" s="577"/>
      <c r="N18" s="573"/>
      <c r="O18" s="573"/>
      <c r="P18" s="578"/>
      <c r="Q18" s="579"/>
    </row>
    <row r="19" spans="1:17" s="580" customFormat="1" ht="14.25" customHeight="1">
      <c r="A19" s="569">
        <v>4</v>
      </c>
      <c r="B19" s="570" t="s">
        <v>201</v>
      </c>
      <c r="C19" s="571">
        <f t="shared" si="3"/>
        <v>610000</v>
      </c>
      <c r="D19" s="572"/>
      <c r="E19" s="573">
        <f t="shared" si="0"/>
        <v>610000</v>
      </c>
      <c r="F19" s="573">
        <f t="shared" si="0"/>
        <v>335527</v>
      </c>
      <c r="G19" s="581">
        <f t="shared" si="1"/>
        <v>55.0044262295082</v>
      </c>
      <c r="H19" s="575"/>
      <c r="I19" s="573">
        <v>610000</v>
      </c>
      <c r="J19" s="573">
        <v>610000</v>
      </c>
      <c r="K19" s="573">
        <v>335527</v>
      </c>
      <c r="L19" s="576">
        <f t="shared" si="2"/>
        <v>55.0044262295082</v>
      </c>
      <c r="M19" s="577"/>
      <c r="N19" s="573"/>
      <c r="O19" s="573"/>
      <c r="P19" s="578"/>
      <c r="Q19" s="579"/>
    </row>
    <row r="20" spans="1:17" s="580" customFormat="1" ht="15" customHeight="1">
      <c r="A20" s="569">
        <v>5</v>
      </c>
      <c r="B20" s="570" t="s">
        <v>202</v>
      </c>
      <c r="C20" s="571">
        <f t="shared" si="3"/>
        <v>200000</v>
      </c>
      <c r="D20" s="572"/>
      <c r="E20" s="573">
        <f t="shared" si="0"/>
        <v>200000</v>
      </c>
      <c r="F20" s="573">
        <f t="shared" si="0"/>
        <v>88181</v>
      </c>
      <c r="G20" s="581">
        <f t="shared" si="1"/>
        <v>44.0905</v>
      </c>
      <c r="H20" s="575"/>
      <c r="I20" s="573">
        <v>200000</v>
      </c>
      <c r="J20" s="573">
        <v>200000</v>
      </c>
      <c r="K20" s="573">
        <v>88181</v>
      </c>
      <c r="L20" s="576">
        <f t="shared" si="2"/>
        <v>44.0905</v>
      </c>
      <c r="M20" s="577"/>
      <c r="N20" s="573"/>
      <c r="O20" s="573"/>
      <c r="P20" s="578"/>
      <c r="Q20" s="579"/>
    </row>
    <row r="21" spans="1:17" s="580" customFormat="1" ht="16.5" customHeight="1" thickBot="1">
      <c r="A21" s="569">
        <v>6</v>
      </c>
      <c r="B21" s="570" t="s">
        <v>203</v>
      </c>
      <c r="C21" s="571">
        <f t="shared" si="3"/>
        <v>120000</v>
      </c>
      <c r="D21" s="572"/>
      <c r="E21" s="573">
        <f t="shared" si="0"/>
        <v>120000</v>
      </c>
      <c r="F21" s="573">
        <f t="shared" si="0"/>
        <v>75805</v>
      </c>
      <c r="G21" s="581">
        <f t="shared" si="1"/>
        <v>63.170833333333334</v>
      </c>
      <c r="H21" s="575"/>
      <c r="I21" s="573">
        <v>120000</v>
      </c>
      <c r="J21" s="573">
        <v>120000</v>
      </c>
      <c r="K21" s="573">
        <v>75805</v>
      </c>
      <c r="L21" s="576">
        <f t="shared" si="2"/>
        <v>63.170833333333334</v>
      </c>
      <c r="M21" s="577"/>
      <c r="N21" s="573"/>
      <c r="O21" s="573"/>
      <c r="P21" s="578"/>
      <c r="Q21" s="579"/>
    </row>
    <row r="22" spans="1:16" s="564" customFormat="1" ht="24" customHeight="1" thickBot="1" thickTop="1">
      <c r="A22" s="582" t="s">
        <v>209</v>
      </c>
      <c r="B22" s="566" t="s">
        <v>415</v>
      </c>
      <c r="C22" s="557">
        <f t="shared" si="3"/>
        <v>3720000</v>
      </c>
      <c r="D22" s="558"/>
      <c r="E22" s="559">
        <f t="shared" si="0"/>
        <v>3720000</v>
      </c>
      <c r="F22" s="559">
        <f t="shared" si="0"/>
        <v>2940539</v>
      </c>
      <c r="G22" s="583">
        <f t="shared" si="1"/>
        <v>79.04674731182796</v>
      </c>
      <c r="H22" s="561">
        <f>F22/F48*100</f>
        <v>1.950550961814503</v>
      </c>
      <c r="I22" s="559">
        <f>SUM(I23:I26)</f>
        <v>3720000</v>
      </c>
      <c r="J22" s="559">
        <f>SUM(J23:J26)</f>
        <v>3720000</v>
      </c>
      <c r="K22" s="559">
        <f>SUM(K23:K26)</f>
        <v>2940539</v>
      </c>
      <c r="L22" s="567">
        <f t="shared" si="2"/>
        <v>79.04674731182796</v>
      </c>
      <c r="M22" s="568"/>
      <c r="N22" s="559"/>
      <c r="O22" s="559"/>
      <c r="P22" s="584"/>
    </row>
    <row r="23" spans="1:17" s="580" customFormat="1" ht="13.5" customHeight="1" thickTop="1">
      <c r="A23" s="569">
        <v>1</v>
      </c>
      <c r="B23" s="570" t="s">
        <v>205</v>
      </c>
      <c r="C23" s="571">
        <f>I23+M23</f>
        <v>620000</v>
      </c>
      <c r="D23" s="572"/>
      <c r="E23" s="573">
        <f t="shared" si="0"/>
        <v>620000</v>
      </c>
      <c r="F23" s="573">
        <f t="shared" si="0"/>
        <v>231503</v>
      </c>
      <c r="G23" s="581">
        <f t="shared" si="1"/>
        <v>37.339193548387094</v>
      </c>
      <c r="H23" s="575"/>
      <c r="I23" s="573">
        <v>620000</v>
      </c>
      <c r="J23" s="573">
        <v>620000</v>
      </c>
      <c r="K23" s="573">
        <v>231503</v>
      </c>
      <c r="L23" s="576">
        <f t="shared" si="2"/>
        <v>37.339193548387094</v>
      </c>
      <c r="M23" s="577"/>
      <c r="N23" s="573"/>
      <c r="O23" s="573"/>
      <c r="P23" s="578"/>
      <c r="Q23" s="579"/>
    </row>
    <row r="24" spans="1:16" s="579" customFormat="1" ht="13.5" customHeight="1">
      <c r="A24" s="569">
        <v>2</v>
      </c>
      <c r="B24" s="570" t="s">
        <v>206</v>
      </c>
      <c r="C24" s="571">
        <f>I24+M24</f>
        <v>350000</v>
      </c>
      <c r="D24" s="572"/>
      <c r="E24" s="573">
        <f t="shared" si="0"/>
        <v>350000</v>
      </c>
      <c r="F24" s="573">
        <f t="shared" si="0"/>
        <v>347851</v>
      </c>
      <c r="G24" s="581">
        <f t="shared" si="1"/>
        <v>99.386</v>
      </c>
      <c r="H24" s="575"/>
      <c r="I24" s="573">
        <v>350000</v>
      </c>
      <c r="J24" s="573">
        <v>350000</v>
      </c>
      <c r="K24" s="573">
        <v>347851</v>
      </c>
      <c r="L24" s="576">
        <f t="shared" si="2"/>
        <v>99.386</v>
      </c>
      <c r="M24" s="577"/>
      <c r="N24" s="573"/>
      <c r="O24" s="573"/>
      <c r="P24" s="578"/>
    </row>
    <row r="25" spans="1:17" s="580" customFormat="1" ht="21" customHeight="1">
      <c r="A25" s="569">
        <v>3</v>
      </c>
      <c r="B25" s="570" t="s">
        <v>207</v>
      </c>
      <c r="C25" s="571">
        <f>I25+M25</f>
        <v>250000</v>
      </c>
      <c r="D25" s="572"/>
      <c r="E25" s="573">
        <f t="shared" si="0"/>
        <v>250000</v>
      </c>
      <c r="F25" s="573">
        <f t="shared" si="0"/>
        <v>148417</v>
      </c>
      <c r="G25" s="581">
        <f t="shared" si="1"/>
        <v>59.3668</v>
      </c>
      <c r="H25" s="575"/>
      <c r="I25" s="573">
        <v>250000</v>
      </c>
      <c r="J25" s="573">
        <v>250000</v>
      </c>
      <c r="K25" s="573">
        <v>148417</v>
      </c>
      <c r="L25" s="576">
        <f t="shared" si="2"/>
        <v>59.3668</v>
      </c>
      <c r="M25" s="577"/>
      <c r="N25" s="573"/>
      <c r="O25" s="573"/>
      <c r="P25" s="578"/>
      <c r="Q25" s="579"/>
    </row>
    <row r="26" spans="1:17" s="580" customFormat="1" ht="21" customHeight="1" thickBot="1">
      <c r="A26" s="569">
        <v>4</v>
      </c>
      <c r="B26" s="570" t="s">
        <v>208</v>
      </c>
      <c r="C26" s="571">
        <f t="shared" si="3"/>
        <v>2500000</v>
      </c>
      <c r="D26" s="572"/>
      <c r="E26" s="573">
        <f t="shared" si="0"/>
        <v>2500000</v>
      </c>
      <c r="F26" s="573">
        <f t="shared" si="0"/>
        <v>2212768</v>
      </c>
      <c r="G26" s="581">
        <f t="shared" si="1"/>
        <v>88.51071999999999</v>
      </c>
      <c r="H26" s="575"/>
      <c r="I26" s="573">
        <v>2500000</v>
      </c>
      <c r="J26" s="573">
        <v>2500000</v>
      </c>
      <c r="K26" s="573">
        <v>2212768</v>
      </c>
      <c r="L26" s="576">
        <f t="shared" si="2"/>
        <v>88.51071999999999</v>
      </c>
      <c r="M26" s="577"/>
      <c r="N26" s="573"/>
      <c r="O26" s="573"/>
      <c r="P26" s="578"/>
      <c r="Q26" s="579"/>
    </row>
    <row r="27" spans="1:17" s="565" customFormat="1" ht="19.5" customHeight="1" thickTop="1">
      <c r="A27" s="1790" t="s">
        <v>215</v>
      </c>
      <c r="B27" s="1791" t="s">
        <v>210</v>
      </c>
      <c r="C27" s="1792">
        <f t="shared" si="3"/>
        <v>15887000</v>
      </c>
      <c r="D27" s="1793">
        <f>E27-C27</f>
        <v>2000000</v>
      </c>
      <c r="E27" s="1794">
        <f t="shared" si="0"/>
        <v>17887000</v>
      </c>
      <c r="F27" s="1794">
        <f t="shared" si="0"/>
        <v>12197981</v>
      </c>
      <c r="G27" s="1795">
        <f t="shared" si="1"/>
        <v>68.19467210823504</v>
      </c>
      <c r="H27" s="1796">
        <f>F27/F48*100</f>
        <v>8.091300122781924</v>
      </c>
      <c r="I27" s="1794">
        <f>SUM(I28:I32)</f>
        <v>15887000</v>
      </c>
      <c r="J27" s="1794">
        <f>SUM(J28:J32)</f>
        <v>17887000</v>
      </c>
      <c r="K27" s="1794">
        <f>SUM(K28:K32)</f>
        <v>12197981</v>
      </c>
      <c r="L27" s="1797">
        <f t="shared" si="2"/>
        <v>68.19467210823504</v>
      </c>
      <c r="M27" s="1794"/>
      <c r="N27" s="1794"/>
      <c r="O27" s="1794"/>
      <c r="P27" s="1798"/>
      <c r="Q27" s="564"/>
    </row>
    <row r="28" spans="1:16" s="579" customFormat="1" ht="25.5" customHeight="1">
      <c r="A28" s="1799">
        <v>1</v>
      </c>
      <c r="B28" s="1800" t="s">
        <v>211</v>
      </c>
      <c r="C28" s="1801">
        <f>I28+M28</f>
        <v>4677000</v>
      </c>
      <c r="D28" s="1802"/>
      <c r="E28" s="1803">
        <f t="shared" si="0"/>
        <v>4677000</v>
      </c>
      <c r="F28" s="1803">
        <f t="shared" si="0"/>
        <v>3948386</v>
      </c>
      <c r="G28" s="1804">
        <f t="shared" si="1"/>
        <v>84.42133846482788</v>
      </c>
      <c r="H28" s="1805"/>
      <c r="I28" s="1803">
        <v>4677000</v>
      </c>
      <c r="J28" s="1803">
        <v>4677000</v>
      </c>
      <c r="K28" s="1803">
        <v>3948386</v>
      </c>
      <c r="L28" s="1806">
        <f t="shared" si="2"/>
        <v>84.42133846482788</v>
      </c>
      <c r="M28" s="1807"/>
      <c r="N28" s="1803"/>
      <c r="O28" s="1803"/>
      <c r="P28" s="1808"/>
    </row>
    <row r="29" spans="1:16" s="579" customFormat="1" ht="15" customHeight="1">
      <c r="A29" s="586">
        <v>2</v>
      </c>
      <c r="B29" s="587" t="s">
        <v>212</v>
      </c>
      <c r="C29" s="588">
        <f>I29+M29</f>
        <v>7900000</v>
      </c>
      <c r="D29" s="1809">
        <f>E29-C29</f>
        <v>2000000</v>
      </c>
      <c r="E29" s="589">
        <f t="shared" si="0"/>
        <v>9900000</v>
      </c>
      <c r="F29" s="589">
        <f t="shared" si="0"/>
        <v>6259930</v>
      </c>
      <c r="G29" s="590">
        <f t="shared" si="1"/>
        <v>63.23161616161617</v>
      </c>
      <c r="H29" s="591"/>
      <c r="I29" s="589">
        <v>7900000</v>
      </c>
      <c r="J29" s="589">
        <v>9900000</v>
      </c>
      <c r="K29" s="589">
        <v>6259930</v>
      </c>
      <c r="L29" s="592">
        <f t="shared" si="2"/>
        <v>63.23161616161617</v>
      </c>
      <c r="M29" s="1810"/>
      <c r="N29" s="589"/>
      <c r="O29" s="589"/>
      <c r="P29" s="593"/>
    </row>
    <row r="30" spans="1:16" s="579" customFormat="1" ht="16.5" customHeight="1">
      <c r="A30" s="1799">
        <v>3</v>
      </c>
      <c r="B30" s="1800" t="s">
        <v>213</v>
      </c>
      <c r="C30" s="1801">
        <f t="shared" si="3"/>
        <v>2000000</v>
      </c>
      <c r="D30" s="1802"/>
      <c r="E30" s="1803">
        <f t="shared" si="0"/>
        <v>2000000</v>
      </c>
      <c r="F30" s="1803">
        <f t="shared" si="0"/>
        <v>1125894</v>
      </c>
      <c r="G30" s="1804">
        <f t="shared" si="1"/>
        <v>56.2947</v>
      </c>
      <c r="H30" s="1805"/>
      <c r="I30" s="1803">
        <v>2000000</v>
      </c>
      <c r="J30" s="1803">
        <v>2000000</v>
      </c>
      <c r="K30" s="1803">
        <v>1125894</v>
      </c>
      <c r="L30" s="1806">
        <f t="shared" si="2"/>
        <v>56.2947</v>
      </c>
      <c r="M30" s="1811"/>
      <c r="N30" s="1803"/>
      <c r="O30" s="1803"/>
      <c r="P30" s="1808"/>
    </row>
    <row r="31" spans="1:17" s="580" customFormat="1" ht="13.5" customHeight="1">
      <c r="A31" s="569">
        <v>4</v>
      </c>
      <c r="B31" s="570" t="s">
        <v>416</v>
      </c>
      <c r="C31" s="571">
        <f t="shared" si="3"/>
        <v>750000</v>
      </c>
      <c r="D31" s="572"/>
      <c r="E31" s="573">
        <f t="shared" si="0"/>
        <v>750000</v>
      </c>
      <c r="F31" s="573">
        <f t="shared" si="0"/>
        <v>399846</v>
      </c>
      <c r="G31" s="581">
        <f t="shared" si="1"/>
        <v>53.3128</v>
      </c>
      <c r="H31" s="575"/>
      <c r="I31" s="573">
        <v>750000</v>
      </c>
      <c r="J31" s="573">
        <v>750000</v>
      </c>
      <c r="K31" s="573">
        <v>399846</v>
      </c>
      <c r="L31" s="576">
        <f t="shared" si="2"/>
        <v>53.3128</v>
      </c>
      <c r="M31" s="585"/>
      <c r="N31" s="573"/>
      <c r="O31" s="573"/>
      <c r="P31" s="578"/>
      <c r="Q31" s="579"/>
    </row>
    <row r="32" spans="1:17" s="580" customFormat="1" ht="13.5" customHeight="1" thickBot="1">
      <c r="A32" s="569">
        <v>5</v>
      </c>
      <c r="B32" s="570" t="s">
        <v>214</v>
      </c>
      <c r="C32" s="571">
        <f t="shared" si="3"/>
        <v>560000</v>
      </c>
      <c r="D32" s="572"/>
      <c r="E32" s="573">
        <f t="shared" si="0"/>
        <v>560000</v>
      </c>
      <c r="F32" s="573">
        <f t="shared" si="0"/>
        <v>463925</v>
      </c>
      <c r="G32" s="581">
        <f t="shared" si="1"/>
        <v>82.84375</v>
      </c>
      <c r="H32" s="575"/>
      <c r="I32" s="573">
        <v>560000</v>
      </c>
      <c r="J32" s="573">
        <v>560000</v>
      </c>
      <c r="K32" s="573">
        <f>37335+426590</f>
        <v>463925</v>
      </c>
      <c r="L32" s="576">
        <f t="shared" si="2"/>
        <v>82.84375</v>
      </c>
      <c r="M32" s="577"/>
      <c r="N32" s="573"/>
      <c r="O32" s="573"/>
      <c r="P32" s="578"/>
      <c r="Q32" s="579"/>
    </row>
    <row r="33" spans="1:16" s="564" customFormat="1" ht="33" customHeight="1" thickBot="1" thickTop="1">
      <c r="A33" s="555" t="s">
        <v>219</v>
      </c>
      <c r="B33" s="566" t="s">
        <v>216</v>
      </c>
      <c r="C33" s="557">
        <f>I33+M33</f>
        <v>71745992</v>
      </c>
      <c r="D33" s="558">
        <f>E33-C33</f>
        <v>290000</v>
      </c>
      <c r="E33" s="559">
        <f t="shared" si="0"/>
        <v>72035992</v>
      </c>
      <c r="F33" s="559">
        <f t="shared" si="0"/>
        <v>31289113</v>
      </c>
      <c r="G33" s="583">
        <f>F33/E33*100</f>
        <v>43.43538852078277</v>
      </c>
      <c r="H33" s="1812">
        <f>F33/F48*100</f>
        <v>20.755041662930733</v>
      </c>
      <c r="I33" s="559">
        <f>SUM(I34:I35)</f>
        <v>56007217</v>
      </c>
      <c r="J33" s="559">
        <f>SUM(J34:J35)</f>
        <v>56297217</v>
      </c>
      <c r="K33" s="559">
        <f>SUM(K34:K35)</f>
        <v>24441261</v>
      </c>
      <c r="L33" s="567">
        <f t="shared" si="2"/>
        <v>43.41468779886579</v>
      </c>
      <c r="M33" s="568">
        <f>SUM(M34:M35)</f>
        <v>15738775</v>
      </c>
      <c r="N33" s="558">
        <f>SUM(N34:N35)</f>
        <v>15738775</v>
      </c>
      <c r="O33" s="559">
        <f>SUM(O34:O35)</f>
        <v>6847852</v>
      </c>
      <c r="P33" s="563">
        <f aca="true" t="shared" si="4" ref="P33:P40">O33/N33*100</f>
        <v>43.50943450173219</v>
      </c>
    </row>
    <row r="34" spans="1:17" s="580" customFormat="1" ht="21" customHeight="1" thickTop="1">
      <c r="A34" s="594">
        <v>1</v>
      </c>
      <c r="B34" s="595" t="s">
        <v>217</v>
      </c>
      <c r="C34" s="596">
        <f>I34+M34</f>
        <v>68685992</v>
      </c>
      <c r="D34" s="597"/>
      <c r="E34" s="597">
        <f t="shared" si="0"/>
        <v>68685992</v>
      </c>
      <c r="F34" s="597">
        <f t="shared" si="0"/>
        <v>29374668</v>
      </c>
      <c r="G34" s="598">
        <f>F34/E34*100</f>
        <v>42.76660661754729</v>
      </c>
      <c r="H34" s="599"/>
      <c r="I34" s="600">
        <v>53447217</v>
      </c>
      <c r="J34" s="597">
        <v>53447217</v>
      </c>
      <c r="K34" s="601">
        <v>22857561</v>
      </c>
      <c r="L34" s="602">
        <f t="shared" si="2"/>
        <v>42.766606538185144</v>
      </c>
      <c r="M34" s="601">
        <v>15238775</v>
      </c>
      <c r="N34" s="597">
        <v>15238775</v>
      </c>
      <c r="O34" s="597">
        <v>6517107</v>
      </c>
      <c r="P34" s="602">
        <f t="shared" si="4"/>
        <v>42.76660689589551</v>
      </c>
      <c r="Q34" s="579"/>
    </row>
    <row r="35" spans="1:17" s="580" customFormat="1" ht="17.25" customHeight="1" thickBot="1">
      <c r="A35" s="603">
        <v>2</v>
      </c>
      <c r="B35" s="604" t="s">
        <v>218</v>
      </c>
      <c r="C35" s="571">
        <f>I35+M35</f>
        <v>3060000</v>
      </c>
      <c r="D35" s="1813">
        <f>E35-C35</f>
        <v>290000</v>
      </c>
      <c r="E35" s="605">
        <f t="shared" si="0"/>
        <v>3350000</v>
      </c>
      <c r="F35" s="605">
        <f t="shared" si="0"/>
        <v>1914445</v>
      </c>
      <c r="G35" s="606">
        <f>F35/E35*100</f>
        <v>57.1476119402985</v>
      </c>
      <c r="H35" s="607"/>
      <c r="I35" s="608">
        <v>2560000</v>
      </c>
      <c r="J35" s="605">
        <v>2850000</v>
      </c>
      <c r="K35" s="609">
        <v>1583700</v>
      </c>
      <c r="L35" s="578">
        <f t="shared" si="2"/>
        <v>55.56842105263158</v>
      </c>
      <c r="M35" s="609">
        <v>500000</v>
      </c>
      <c r="N35" s="572">
        <v>500000</v>
      </c>
      <c r="O35" s="572">
        <v>330745</v>
      </c>
      <c r="P35" s="578">
        <f t="shared" si="4"/>
        <v>66.149</v>
      </c>
      <c r="Q35" s="579"/>
    </row>
    <row r="36" spans="1:17" s="565" customFormat="1" ht="17.25" customHeight="1" thickBot="1" thickTop="1">
      <c r="A36" s="555" t="s">
        <v>221</v>
      </c>
      <c r="B36" s="566" t="s">
        <v>417</v>
      </c>
      <c r="C36" s="557">
        <f t="shared" si="3"/>
        <v>11875220</v>
      </c>
      <c r="D36" s="558">
        <f aca="true" t="shared" si="5" ref="D36:D43">E36-C36</f>
        <v>1032982</v>
      </c>
      <c r="E36" s="559">
        <f t="shared" si="0"/>
        <v>12908202</v>
      </c>
      <c r="F36" s="559">
        <f t="shared" si="0"/>
        <v>8347244</v>
      </c>
      <c r="G36" s="583">
        <f t="shared" si="1"/>
        <v>64.66620215580761</v>
      </c>
      <c r="H36" s="561">
        <f>F36/F48*100</f>
        <v>5.536986522777062</v>
      </c>
      <c r="I36" s="559">
        <v>8415420</v>
      </c>
      <c r="J36" s="559">
        <f>9297152+30000</f>
        <v>9327152</v>
      </c>
      <c r="K36" s="559">
        <f>5752224+30000</f>
        <v>5782224</v>
      </c>
      <c r="L36" s="567">
        <f t="shared" si="2"/>
        <v>61.99345738120275</v>
      </c>
      <c r="M36" s="568">
        <v>3459800</v>
      </c>
      <c r="N36" s="559">
        <v>3581050</v>
      </c>
      <c r="O36" s="559">
        <v>2565020</v>
      </c>
      <c r="P36" s="563">
        <f t="shared" si="4"/>
        <v>71.62759525837394</v>
      </c>
      <c r="Q36" s="564"/>
    </row>
    <row r="37" spans="1:17" s="614" customFormat="1" ht="21" customHeight="1" thickBot="1" thickTop="1">
      <c r="A37" s="610" t="s">
        <v>222</v>
      </c>
      <c r="B37" s="611" t="s">
        <v>223</v>
      </c>
      <c r="C37" s="557">
        <f t="shared" si="3"/>
        <v>75640044</v>
      </c>
      <c r="D37" s="558">
        <f t="shared" si="5"/>
        <v>781362</v>
      </c>
      <c r="E37" s="558">
        <f t="shared" si="0"/>
        <v>76421406</v>
      </c>
      <c r="F37" s="558">
        <f t="shared" si="0"/>
        <v>46161581</v>
      </c>
      <c r="G37" s="612">
        <f t="shared" si="1"/>
        <v>60.40399335233377</v>
      </c>
      <c r="H37" s="561">
        <f>F37/F48*100</f>
        <v>30.620412182401964</v>
      </c>
      <c r="I37" s="562">
        <f>SUM(I38:I40)</f>
        <v>33621192</v>
      </c>
      <c r="J37" s="558">
        <v>33897456</v>
      </c>
      <c r="K37" s="558">
        <v>20752684</v>
      </c>
      <c r="L37" s="567">
        <f t="shared" si="2"/>
        <v>61.22195128743585</v>
      </c>
      <c r="M37" s="562">
        <f>SUM(M38:M40)</f>
        <v>42018852</v>
      </c>
      <c r="N37" s="558">
        <f>SUM(N38:N40)</f>
        <v>42523950</v>
      </c>
      <c r="O37" s="558">
        <f>SUM(O38:O40)</f>
        <v>25408897</v>
      </c>
      <c r="P37" s="563">
        <f t="shared" si="4"/>
        <v>59.751968008616316</v>
      </c>
      <c r="Q37" s="613"/>
    </row>
    <row r="38" spans="1:16" s="579" customFormat="1" ht="15.75" customHeight="1" thickTop="1">
      <c r="A38" s="569">
        <v>1</v>
      </c>
      <c r="B38" s="570" t="s">
        <v>224</v>
      </c>
      <c r="C38" s="571">
        <f t="shared" si="3"/>
        <v>70792089</v>
      </c>
      <c r="D38" s="572">
        <f t="shared" si="5"/>
        <v>282157</v>
      </c>
      <c r="E38" s="573">
        <f t="shared" si="0"/>
        <v>71074246</v>
      </c>
      <c r="F38" s="573">
        <f t="shared" si="0"/>
        <v>43738000</v>
      </c>
      <c r="G38" s="581">
        <f t="shared" si="1"/>
        <v>61.53846500179545</v>
      </c>
      <c r="H38" s="575"/>
      <c r="I38" s="573">
        <v>32691315</v>
      </c>
      <c r="J38" s="573">
        <v>32967579</v>
      </c>
      <c r="K38" s="573">
        <v>20287744</v>
      </c>
      <c r="L38" s="576">
        <f>K38/J38*100</f>
        <v>61.538470871640286</v>
      </c>
      <c r="M38" s="577">
        <v>38100774</v>
      </c>
      <c r="N38" s="573">
        <v>38106667</v>
      </c>
      <c r="O38" s="573">
        <v>23450256</v>
      </c>
      <c r="P38" s="578">
        <f t="shared" si="4"/>
        <v>61.538459923561405</v>
      </c>
    </row>
    <row r="39" spans="1:16" s="579" customFormat="1" ht="13.5" customHeight="1">
      <c r="A39" s="569">
        <v>2</v>
      </c>
      <c r="B39" s="570" t="s">
        <v>225</v>
      </c>
      <c r="C39" s="571">
        <f>I39+M39</f>
        <v>4847955</v>
      </c>
      <c r="D39" s="572">
        <f>E39-C39</f>
        <v>-795</v>
      </c>
      <c r="E39" s="573">
        <f t="shared" si="0"/>
        <v>4847160</v>
      </c>
      <c r="F39" s="573">
        <f t="shared" si="0"/>
        <v>2423581</v>
      </c>
      <c r="G39" s="581">
        <f>F39/E39*100</f>
        <v>50.00002063063732</v>
      </c>
      <c r="H39" s="575"/>
      <c r="I39" s="573">
        <v>929877</v>
      </c>
      <c r="J39" s="573">
        <v>929877</v>
      </c>
      <c r="K39" s="573">
        <v>464940</v>
      </c>
      <c r="L39" s="578">
        <f>K39/J39*100</f>
        <v>50.000161311657344</v>
      </c>
      <c r="M39" s="577">
        <v>3918078</v>
      </c>
      <c r="N39" s="573">
        <v>3917283</v>
      </c>
      <c r="O39" s="573">
        <v>1958641</v>
      </c>
      <c r="P39" s="578">
        <f t="shared" si="4"/>
        <v>49.999987236051105</v>
      </c>
    </row>
    <row r="40" spans="1:16" s="579" customFormat="1" ht="17.25" customHeight="1" thickBot="1">
      <c r="A40" s="569">
        <v>3</v>
      </c>
      <c r="B40" s="570" t="s">
        <v>418</v>
      </c>
      <c r="C40" s="571"/>
      <c r="D40" s="1813">
        <f>E40-C40</f>
        <v>500000</v>
      </c>
      <c r="E40" s="573">
        <f t="shared" si="0"/>
        <v>500000</v>
      </c>
      <c r="F40" s="573"/>
      <c r="G40" s="581">
        <f>F40/E40*100</f>
        <v>0</v>
      </c>
      <c r="H40" s="575"/>
      <c r="I40" s="573"/>
      <c r="J40" s="573"/>
      <c r="K40" s="573"/>
      <c r="L40" s="578"/>
      <c r="M40" s="577"/>
      <c r="N40" s="573">
        <v>500000</v>
      </c>
      <c r="O40" s="573"/>
      <c r="P40" s="578">
        <f t="shared" si="4"/>
        <v>0</v>
      </c>
    </row>
    <row r="41" spans="1:17" s="565" customFormat="1" ht="25.5" customHeight="1" thickBot="1" thickTop="1">
      <c r="A41" s="555" t="s">
        <v>226</v>
      </c>
      <c r="B41" s="566" t="s">
        <v>419</v>
      </c>
      <c r="C41" s="557">
        <f>I41+M41</f>
        <v>17180367</v>
      </c>
      <c r="D41" s="558">
        <f>E41-C41</f>
        <v>2759706</v>
      </c>
      <c r="E41" s="559">
        <f>J41+N41</f>
        <v>19940073</v>
      </c>
      <c r="F41" s="559">
        <f>K41+O41</f>
        <v>8260953</v>
      </c>
      <c r="G41" s="583">
        <f>F41/E41*100</f>
        <v>41.428900485971134</v>
      </c>
      <c r="H41" s="561">
        <v>5.4</v>
      </c>
      <c r="I41" s="559">
        <v>2142152</v>
      </c>
      <c r="J41" s="559">
        <v>2919503</v>
      </c>
      <c r="K41" s="559">
        <v>145708</v>
      </c>
      <c r="L41" s="567">
        <f>K41/J41*100</f>
        <v>4.990849469926903</v>
      </c>
      <c r="M41" s="568">
        <f>14509915+359525+168775</f>
        <v>15038215</v>
      </c>
      <c r="N41" s="559">
        <v>17020570</v>
      </c>
      <c r="O41" s="559">
        <v>8115245</v>
      </c>
      <c r="P41" s="563">
        <f>O41/N41*100</f>
        <v>47.67904365129957</v>
      </c>
      <c r="Q41" s="564"/>
    </row>
    <row r="42" spans="1:17" s="614" customFormat="1" ht="21" customHeight="1" thickBot="1" thickTop="1">
      <c r="A42" s="615" t="s">
        <v>420</v>
      </c>
      <c r="B42" s="566" t="s">
        <v>421</v>
      </c>
      <c r="C42" s="557">
        <f t="shared" si="3"/>
        <v>36987453</v>
      </c>
      <c r="D42" s="558">
        <f t="shared" si="5"/>
        <v>7545844</v>
      </c>
      <c r="E42" s="559">
        <f aca="true" t="shared" si="6" ref="E42:F51">J42+N42</f>
        <v>44533297</v>
      </c>
      <c r="F42" s="559">
        <f t="shared" si="6"/>
        <v>22997196</v>
      </c>
      <c r="G42" s="583">
        <f t="shared" si="1"/>
        <v>51.64045231144687</v>
      </c>
      <c r="H42" s="561">
        <f>F42/F48*100</f>
        <v>15.254755259779461</v>
      </c>
      <c r="I42" s="559">
        <f>I43+I47</f>
        <v>31092353</v>
      </c>
      <c r="J42" s="559">
        <f>J43+J47</f>
        <v>37831925</v>
      </c>
      <c r="K42" s="559">
        <f>K43+K47</f>
        <v>18727248</v>
      </c>
      <c r="L42" s="567">
        <f aca="true" t="shared" si="7" ref="L42:L49">K42/J42*100</f>
        <v>49.50117658564823</v>
      </c>
      <c r="M42" s="559">
        <f>M43+M47</f>
        <v>5895100</v>
      </c>
      <c r="N42" s="559">
        <f>N43+N47</f>
        <v>6701372</v>
      </c>
      <c r="O42" s="559">
        <f>O43+O47</f>
        <v>4269948</v>
      </c>
      <c r="P42" s="563">
        <f aca="true" t="shared" si="8" ref="P42:P52">O42/N42*100</f>
        <v>63.71751933783112</v>
      </c>
      <c r="Q42" s="613"/>
    </row>
    <row r="43" spans="1:16" s="579" customFormat="1" ht="15.75" customHeight="1" thickTop="1">
      <c r="A43" s="1814">
        <v>1</v>
      </c>
      <c r="B43" s="1815" t="s">
        <v>422</v>
      </c>
      <c r="C43" s="1816">
        <f t="shared" si="3"/>
        <v>3810428</v>
      </c>
      <c r="D43" s="1817">
        <f t="shared" si="5"/>
        <v>2320451</v>
      </c>
      <c r="E43" s="1818">
        <f t="shared" si="6"/>
        <v>6130879</v>
      </c>
      <c r="F43" s="1818">
        <f t="shared" si="6"/>
        <v>3831769</v>
      </c>
      <c r="G43" s="1819">
        <f t="shared" si="1"/>
        <v>62.49950455717688</v>
      </c>
      <c r="H43" s="1820"/>
      <c r="I43" s="1818">
        <f>3842916-40988</f>
        <v>3801928</v>
      </c>
      <c r="J43" s="1818">
        <f>5502650-30000</f>
        <v>5472650</v>
      </c>
      <c r="K43" s="1818">
        <f>3227972-30000</f>
        <v>3197972</v>
      </c>
      <c r="L43" s="1821">
        <f t="shared" si="7"/>
        <v>58.43552940531552</v>
      </c>
      <c r="M43" s="1822">
        <f>536800-359525-168775</f>
        <v>8500</v>
      </c>
      <c r="N43" s="1818">
        <v>658229</v>
      </c>
      <c r="O43" s="1818">
        <v>633797</v>
      </c>
      <c r="P43" s="1823">
        <f t="shared" si="8"/>
        <v>96.2882218802271</v>
      </c>
    </row>
    <row r="44" spans="1:16" s="579" customFormat="1" ht="9" customHeight="1">
      <c r="A44" s="616"/>
      <c r="B44" s="570" t="s">
        <v>423</v>
      </c>
      <c r="C44" s="571">
        <f>I44+M44</f>
        <v>8500</v>
      </c>
      <c r="D44" s="572">
        <f>E44-C44</f>
        <v>112868</v>
      </c>
      <c r="E44" s="573">
        <f t="shared" si="6"/>
        <v>121368</v>
      </c>
      <c r="F44" s="573">
        <f t="shared" si="6"/>
        <v>92988</v>
      </c>
      <c r="G44" s="581">
        <f>F44/E44*100</f>
        <v>76.6165710895788</v>
      </c>
      <c r="H44" s="617"/>
      <c r="I44" s="573"/>
      <c r="J44" s="573">
        <v>16668</v>
      </c>
      <c r="K44" s="573">
        <v>4175</v>
      </c>
      <c r="L44" s="576">
        <f>K44/J44*100</f>
        <v>25.04799616030717</v>
      </c>
      <c r="M44" s="577">
        <v>8500</v>
      </c>
      <c r="N44" s="573">
        <f>SUM(N45:N46)</f>
        <v>104700</v>
      </c>
      <c r="O44" s="573">
        <f>SUM(O45:O46)</f>
        <v>88813</v>
      </c>
      <c r="P44" s="578">
        <f>O44/N44*100</f>
        <v>84.82617000955109</v>
      </c>
    </row>
    <row r="45" spans="1:16" s="1833" customFormat="1" ht="14.25" customHeight="1">
      <c r="A45" s="1824" t="s">
        <v>424</v>
      </c>
      <c r="B45" s="1825" t="s">
        <v>425</v>
      </c>
      <c r="C45" s="1826"/>
      <c r="D45" s="1813">
        <f>E45-C45</f>
        <v>112868</v>
      </c>
      <c r="E45" s="1827">
        <f t="shared" si="6"/>
        <v>112868</v>
      </c>
      <c r="F45" s="1827">
        <f t="shared" si="6"/>
        <v>84488</v>
      </c>
      <c r="G45" s="1828">
        <f>F45/E45*100</f>
        <v>74.85558351348477</v>
      </c>
      <c r="H45" s="1829"/>
      <c r="I45" s="1827"/>
      <c r="J45" s="1827">
        <v>16668</v>
      </c>
      <c r="K45" s="1827">
        <v>4175</v>
      </c>
      <c r="L45" s="1830">
        <f>K45/J45*100</f>
        <v>25.04799616030717</v>
      </c>
      <c r="M45" s="1831"/>
      <c r="N45" s="1827">
        <f>20000+76200</f>
        <v>96200</v>
      </c>
      <c r="O45" s="1827">
        <f>8000+72313</f>
        <v>80313</v>
      </c>
      <c r="P45" s="1832">
        <f>O45/N45*100</f>
        <v>83.48544698544698</v>
      </c>
    </row>
    <row r="46" spans="1:16" s="1833" customFormat="1" ht="18.75" customHeight="1">
      <c r="A46" s="1824" t="s">
        <v>426</v>
      </c>
      <c r="B46" s="1825" t="s">
        <v>427</v>
      </c>
      <c r="C46" s="1826">
        <f>I46+M46</f>
        <v>8500</v>
      </c>
      <c r="D46" s="1813"/>
      <c r="E46" s="1827">
        <f t="shared" si="6"/>
        <v>8500</v>
      </c>
      <c r="F46" s="1827">
        <f t="shared" si="6"/>
        <v>8500</v>
      </c>
      <c r="G46" s="1828">
        <f>F46/E46*100</f>
        <v>100</v>
      </c>
      <c r="H46" s="1829"/>
      <c r="I46" s="1827"/>
      <c r="J46" s="1827"/>
      <c r="K46" s="1827"/>
      <c r="L46" s="1830"/>
      <c r="M46" s="1831">
        <v>8500</v>
      </c>
      <c r="N46" s="1827">
        <v>8500</v>
      </c>
      <c r="O46" s="1827">
        <v>8500</v>
      </c>
      <c r="P46" s="1832">
        <f>O46/N46*100</f>
        <v>100</v>
      </c>
    </row>
    <row r="47" spans="1:16" s="1837" customFormat="1" ht="21.75" customHeight="1" thickBot="1">
      <c r="A47" s="1814">
        <v>2</v>
      </c>
      <c r="B47" s="1834" t="s">
        <v>428</v>
      </c>
      <c r="C47" s="1816">
        <f>I47+M47</f>
        <v>33177025</v>
      </c>
      <c r="D47" s="1817">
        <f>E47-C47</f>
        <v>5225393</v>
      </c>
      <c r="E47" s="1818">
        <f t="shared" si="6"/>
        <v>38402418</v>
      </c>
      <c r="F47" s="1818">
        <f t="shared" si="6"/>
        <v>19165427</v>
      </c>
      <c r="G47" s="1819">
        <f>F47/E47*100</f>
        <v>49.906823575536315</v>
      </c>
      <c r="H47" s="1835"/>
      <c r="I47" s="1836">
        <v>27290425</v>
      </c>
      <c r="J47" s="1817">
        <v>32359275</v>
      </c>
      <c r="K47" s="1817">
        <v>15529276</v>
      </c>
      <c r="L47" s="1830">
        <f>K47/J47*100</f>
        <v>47.99018519419857</v>
      </c>
      <c r="M47" s="1836">
        <v>5886600</v>
      </c>
      <c r="N47" s="1817">
        <v>6043143</v>
      </c>
      <c r="O47" s="1817">
        <v>3636151</v>
      </c>
      <c r="P47" s="1832">
        <f>O47/N47*100</f>
        <v>60.169865250582355</v>
      </c>
    </row>
    <row r="48" spans="1:17" s="614" customFormat="1" ht="23.25" customHeight="1" thickBot="1" thickTop="1">
      <c r="A48" s="2977" t="s">
        <v>429</v>
      </c>
      <c r="B48" s="2978"/>
      <c r="C48" s="618">
        <f>C8+C41+C37+C42</f>
        <v>267028596</v>
      </c>
      <c r="D48" s="1838">
        <f>E48-C48</f>
        <v>14409894</v>
      </c>
      <c r="E48" s="619">
        <f>E8+E41+E37+E42</f>
        <v>281438490</v>
      </c>
      <c r="F48" s="619">
        <f>F8+F41+F37+F42</f>
        <v>150754277</v>
      </c>
      <c r="G48" s="620">
        <f t="shared" si="1"/>
        <v>53.56562174562548</v>
      </c>
      <c r="H48" s="619">
        <f>H8+H41+H37+H42</f>
        <v>99.97516744218142</v>
      </c>
      <c r="I48" s="618">
        <f>I8+I41+I37+I42</f>
        <v>184877854</v>
      </c>
      <c r="J48" s="619">
        <f>J8+J41+J37+J42</f>
        <v>195872773</v>
      </c>
      <c r="K48" s="1839">
        <f>K8+K41+K37+K42</f>
        <v>103547315</v>
      </c>
      <c r="L48" s="621">
        <f t="shared" si="7"/>
        <v>52.86457806976572</v>
      </c>
      <c r="M48" s="619">
        <f>M8+M41+M37+M42</f>
        <v>82150742</v>
      </c>
      <c r="N48" s="619">
        <f>N8+N41+N37+N42</f>
        <v>85565717</v>
      </c>
      <c r="O48" s="619">
        <f>O8+O41+O37+O42</f>
        <v>47206962</v>
      </c>
      <c r="P48" s="622">
        <f t="shared" si="8"/>
        <v>55.170415973958356</v>
      </c>
      <c r="Q48" s="613"/>
    </row>
    <row r="49" spans="1:16" ht="15" customHeight="1" thickTop="1">
      <c r="A49" s="2979" t="s">
        <v>430</v>
      </c>
      <c r="B49" s="2980"/>
      <c r="C49" s="1840">
        <f>I49+M49</f>
        <v>233843071</v>
      </c>
      <c r="D49" s="1841">
        <f>E49-C49</f>
        <v>8500852</v>
      </c>
      <c r="E49" s="1842">
        <f t="shared" si="6"/>
        <v>242343923</v>
      </c>
      <c r="F49" s="1842">
        <f t="shared" si="6"/>
        <v>130925079</v>
      </c>
      <c r="G49" s="1843">
        <f>F49/E49*100</f>
        <v>54.024494354661414</v>
      </c>
      <c r="H49" s="1844"/>
      <c r="I49" s="1845">
        <v>157587429</v>
      </c>
      <c r="J49" s="1846">
        <v>163459273</v>
      </c>
      <c r="K49" s="1846">
        <v>87976304</v>
      </c>
      <c r="L49" s="1847">
        <f t="shared" si="7"/>
        <v>53.821543669780056</v>
      </c>
      <c r="M49" s="1845">
        <v>76255642</v>
      </c>
      <c r="N49" s="1846">
        <v>78884650</v>
      </c>
      <c r="O49" s="1846">
        <v>42948775</v>
      </c>
      <c r="P49" s="1847">
        <f t="shared" si="8"/>
        <v>54.4450346170009</v>
      </c>
    </row>
    <row r="50" spans="1:17" s="626" customFormat="1" ht="38.25" customHeight="1">
      <c r="A50" s="2981" t="s">
        <v>431</v>
      </c>
      <c r="B50" s="2982"/>
      <c r="C50" s="1840"/>
      <c r="D50" s="1841">
        <f>E50-C50</f>
        <v>683649</v>
      </c>
      <c r="E50" s="1842">
        <f t="shared" si="6"/>
        <v>683649</v>
      </c>
      <c r="F50" s="1842">
        <f t="shared" si="6"/>
        <v>655271</v>
      </c>
      <c r="G50" s="1843">
        <f>F50/E50*100</f>
        <v>95.8490394924881</v>
      </c>
      <c r="H50" s="1848"/>
      <c r="I50" s="1849"/>
      <c r="J50" s="1841">
        <v>54225</v>
      </c>
      <c r="K50" s="1841">
        <v>41735</v>
      </c>
      <c r="L50" s="1850">
        <f>K50/J50*100</f>
        <v>76.9663439372983</v>
      </c>
      <c r="M50" s="1851"/>
      <c r="N50" s="1841">
        <v>629424</v>
      </c>
      <c r="O50" s="1841">
        <v>613536</v>
      </c>
      <c r="P50" s="1850">
        <f t="shared" si="8"/>
        <v>97.47578738656296</v>
      </c>
      <c r="Q50" s="627"/>
    </row>
    <row r="51" spans="1:17" s="626" customFormat="1" ht="32.25" customHeight="1">
      <c r="A51" s="2981" t="s">
        <v>432</v>
      </c>
      <c r="B51" s="2982"/>
      <c r="C51" s="1840">
        <f>I51+M51</f>
        <v>8500</v>
      </c>
      <c r="D51" s="1841"/>
      <c r="E51" s="1842">
        <f t="shared" si="6"/>
        <v>8500</v>
      </c>
      <c r="F51" s="1842">
        <f t="shared" si="6"/>
        <v>8500</v>
      </c>
      <c r="G51" s="1843">
        <f>F51/E51*100</f>
        <v>100</v>
      </c>
      <c r="H51" s="1848"/>
      <c r="I51" s="1851"/>
      <c r="J51" s="1852"/>
      <c r="K51" s="1852"/>
      <c r="L51" s="1853"/>
      <c r="M51" s="1849">
        <f aca="true" t="shared" si="9" ref="M51:O52">M46</f>
        <v>8500</v>
      </c>
      <c r="N51" s="1841">
        <f t="shared" si="9"/>
        <v>8500</v>
      </c>
      <c r="O51" s="1841">
        <f t="shared" si="9"/>
        <v>8500</v>
      </c>
      <c r="P51" s="1850">
        <f t="shared" si="8"/>
        <v>100</v>
      </c>
      <c r="Q51" s="627"/>
    </row>
    <row r="52" spans="1:17" s="626" customFormat="1" ht="19.5" customHeight="1" thickBot="1">
      <c r="A52" s="2975" t="s">
        <v>433</v>
      </c>
      <c r="B52" s="2976"/>
      <c r="C52" s="1854">
        <f>C47</f>
        <v>33177025</v>
      </c>
      <c r="D52" s="1855">
        <f>D47</f>
        <v>5225393</v>
      </c>
      <c r="E52" s="1855">
        <f>E47</f>
        <v>38402418</v>
      </c>
      <c r="F52" s="1855">
        <f>F47</f>
        <v>19165427</v>
      </c>
      <c r="G52" s="1856">
        <f>F52/E52*100</f>
        <v>49.906823575536315</v>
      </c>
      <c r="H52" s="1857"/>
      <c r="I52" s="1854">
        <f>I47</f>
        <v>27290425</v>
      </c>
      <c r="J52" s="1855">
        <f>J47</f>
        <v>32359275</v>
      </c>
      <c r="K52" s="1855">
        <f>K47</f>
        <v>15529276</v>
      </c>
      <c r="L52" s="1858">
        <f>K52/J52*100</f>
        <v>47.99018519419857</v>
      </c>
      <c r="M52" s="1854">
        <f t="shared" si="9"/>
        <v>5886600</v>
      </c>
      <c r="N52" s="1855">
        <f t="shared" si="9"/>
        <v>6043143</v>
      </c>
      <c r="O52" s="1855">
        <f t="shared" si="9"/>
        <v>3636151</v>
      </c>
      <c r="P52" s="1859">
        <f t="shared" si="8"/>
        <v>60.169865250582355</v>
      </c>
      <c r="Q52" s="627"/>
    </row>
    <row r="53" spans="1:17" s="626" customFormat="1" ht="13.5" thickTop="1">
      <c r="A53" s="623"/>
      <c r="C53" s="1860"/>
      <c r="D53" s="1861"/>
      <c r="E53" s="509"/>
      <c r="F53" s="1862"/>
      <c r="G53" s="1862"/>
      <c r="H53" s="1862"/>
      <c r="I53" s="1863"/>
      <c r="J53" s="1863"/>
      <c r="K53" s="1863"/>
      <c r="L53" s="1863"/>
      <c r="M53" s="1863"/>
      <c r="N53" s="1863"/>
      <c r="O53" s="1863"/>
      <c r="P53" s="1864"/>
      <c r="Q53" s="627"/>
    </row>
    <row r="54" spans="9:16" ht="12.75">
      <c r="I54" s="1865"/>
      <c r="J54" s="1865"/>
      <c r="K54" s="1865"/>
      <c r="L54" s="1864"/>
      <c r="M54" s="1865"/>
      <c r="N54" s="1865"/>
      <c r="O54" s="1865"/>
      <c r="P54" s="1864"/>
    </row>
    <row r="55" spans="9:16" ht="12.75">
      <c r="I55" s="1865"/>
      <c r="J55" s="1865"/>
      <c r="K55" s="1865"/>
      <c r="L55" s="1864"/>
      <c r="M55" s="1865"/>
      <c r="N55" s="1865"/>
      <c r="O55" s="1865"/>
      <c r="P55" s="1864"/>
    </row>
    <row r="56" spans="9:16" ht="12.75">
      <c r="I56" s="1865"/>
      <c r="J56" s="1865"/>
      <c r="K56" s="1865"/>
      <c r="L56" s="1864"/>
      <c r="M56" s="1865"/>
      <c r="N56" s="1865"/>
      <c r="O56" s="1865"/>
      <c r="P56" s="1864"/>
    </row>
  </sheetData>
  <mergeCells count="7">
    <mergeCell ref="N3:P3"/>
    <mergeCell ref="O4:P4"/>
    <mergeCell ref="A52:B52"/>
    <mergeCell ref="A48:B48"/>
    <mergeCell ref="A49:B49"/>
    <mergeCell ref="A50:B50"/>
    <mergeCell ref="A51:B51"/>
  </mergeCells>
  <printOptions horizontalCentered="1"/>
  <pageMargins left="0" right="0" top="0.984251968503937" bottom="0.3937007874015748" header="0.5118110236220472" footer="0.5118110236220472"/>
  <pageSetup firstPageNumber="4" useFirstPageNumber="1" horizontalDpi="600" verticalDpi="600" orientation="landscape" paperSize="9" r:id="rId1"/>
  <headerFooter alignWithMargins="0">
    <oddHeader>&amp;C&amp;"Times New Roman,Normalny"&amp;P</oddHeader>
  </headerFooter>
</worksheet>
</file>

<file path=xl/worksheets/sheet20.xml><?xml version="1.0" encoding="utf-8"?>
<worksheet xmlns="http://schemas.openxmlformats.org/spreadsheetml/2006/main" xmlns:r="http://schemas.openxmlformats.org/officeDocument/2006/relationships">
  <dimension ref="A1:F19"/>
  <sheetViews>
    <sheetView workbookViewId="0" topLeftCell="A1">
      <selection activeCell="F10" sqref="F10"/>
    </sheetView>
  </sheetViews>
  <sheetFormatPr defaultColWidth="9.00390625" defaultRowHeight="12.75"/>
  <cols>
    <col min="1" max="1" width="4.125" style="630" customWidth="1"/>
    <col min="2" max="2" width="29.25390625" style="629" customWidth="1"/>
    <col min="3" max="3" width="11.375" style="629" customWidth="1"/>
    <col min="4" max="4" width="11.625" style="629" customWidth="1"/>
    <col min="5" max="5" width="12.00390625" style="630" customWidth="1"/>
    <col min="6" max="6" width="64.25390625" style="630" customWidth="1"/>
    <col min="7" max="16384" width="9.125" style="630" customWidth="1"/>
  </cols>
  <sheetData>
    <row r="1" ht="12.75">
      <c r="F1" s="2715" t="s">
        <v>588</v>
      </c>
    </row>
    <row r="2" spans="1:6" ht="25.5" customHeight="1">
      <c r="A2" s="2716"/>
      <c r="B2" s="3039" t="s">
        <v>1143</v>
      </c>
      <c r="C2" s="3039"/>
      <c r="D2" s="3039"/>
      <c r="E2" s="3042"/>
      <c r="F2" s="3042"/>
    </row>
    <row r="3" spans="4:5" ht="13.5" thickBot="1">
      <c r="D3" s="2715" t="s">
        <v>1144</v>
      </c>
      <c r="E3" s="2715"/>
    </row>
    <row r="4" spans="1:6" ht="15" customHeight="1" thickTop="1">
      <c r="A4" s="1047"/>
      <c r="B4" s="938"/>
      <c r="C4" s="938"/>
      <c r="D4" s="2717" t="s">
        <v>231</v>
      </c>
      <c r="E4" s="2718" t="s">
        <v>1145</v>
      </c>
      <c r="F4" s="2719"/>
    </row>
    <row r="5" spans="1:6" ht="12.75">
      <c r="A5" s="1050" t="s">
        <v>69</v>
      </c>
      <c r="B5" s="1052" t="s">
        <v>1146</v>
      </c>
      <c r="C5" s="1052" t="s">
        <v>1147</v>
      </c>
      <c r="D5" s="1055" t="s">
        <v>1148</v>
      </c>
      <c r="E5" s="2720" t="s">
        <v>1149</v>
      </c>
      <c r="F5" s="2721" t="s">
        <v>392</v>
      </c>
    </row>
    <row r="6" spans="1:6" ht="12.75">
      <c r="A6" s="1057"/>
      <c r="B6" s="1060"/>
      <c r="C6" s="1060"/>
      <c r="D6" s="2722" t="s">
        <v>509</v>
      </c>
      <c r="E6" s="2723"/>
      <c r="F6" s="2724"/>
    </row>
    <row r="7" spans="1:6" ht="6.75" customHeight="1">
      <c r="A7" s="2725">
        <v>1</v>
      </c>
      <c r="B7" s="2726">
        <v>2</v>
      </c>
      <c r="C7" s="2726">
        <v>2</v>
      </c>
      <c r="D7" s="2726">
        <v>3</v>
      </c>
      <c r="E7" s="2728">
        <v>4</v>
      </c>
      <c r="F7" s="2729">
        <v>5</v>
      </c>
    </row>
    <row r="8" spans="1:6" ht="37.5" customHeight="1">
      <c r="A8" s="960">
        <v>1</v>
      </c>
      <c r="B8" s="2730" t="s">
        <v>1150</v>
      </c>
      <c r="C8" s="2731">
        <v>70</v>
      </c>
      <c r="D8" s="2732">
        <v>0</v>
      </c>
      <c r="E8" s="2733">
        <v>0</v>
      </c>
      <c r="F8" s="2677" t="s">
        <v>1151</v>
      </c>
    </row>
    <row r="9" spans="1:6" ht="43.5" customHeight="1">
      <c r="A9" s="960">
        <v>2</v>
      </c>
      <c r="B9" s="2730" t="s">
        <v>1152</v>
      </c>
      <c r="C9" s="2731">
        <v>50</v>
      </c>
      <c r="D9" s="2732">
        <v>0</v>
      </c>
      <c r="E9" s="2733">
        <v>0</v>
      </c>
      <c r="F9" s="2677" t="s">
        <v>1153</v>
      </c>
    </row>
    <row r="10" spans="1:6" ht="33.75" customHeight="1">
      <c r="A10" s="960">
        <v>3</v>
      </c>
      <c r="B10" s="2730" t="s">
        <v>1154</v>
      </c>
      <c r="C10" s="2731">
        <v>5</v>
      </c>
      <c r="D10" s="2732">
        <v>0</v>
      </c>
      <c r="E10" s="2733">
        <v>0</v>
      </c>
      <c r="F10" s="2677" t="s">
        <v>1155</v>
      </c>
    </row>
    <row r="11" spans="1:6" ht="29.25" customHeight="1">
      <c r="A11" s="960">
        <v>4</v>
      </c>
      <c r="B11" s="2730" t="s">
        <v>1156</v>
      </c>
      <c r="C11" s="2731">
        <v>5</v>
      </c>
      <c r="D11" s="2732">
        <v>0</v>
      </c>
      <c r="E11" s="2733">
        <v>0</v>
      </c>
      <c r="F11" s="2677" t="s">
        <v>1157</v>
      </c>
    </row>
    <row r="12" spans="1:6" ht="18.75" customHeight="1">
      <c r="A12" s="960">
        <v>5</v>
      </c>
      <c r="B12" s="2730" t="s">
        <v>1158</v>
      </c>
      <c r="C12" s="2731">
        <v>30</v>
      </c>
      <c r="D12" s="2732">
        <v>0</v>
      </c>
      <c r="E12" s="2733">
        <v>0</v>
      </c>
      <c r="F12" s="2677" t="s">
        <v>1159</v>
      </c>
    </row>
    <row r="13" spans="1:6" ht="17.25" customHeight="1">
      <c r="A13" s="960">
        <v>6</v>
      </c>
      <c r="B13" s="2730" t="s">
        <v>1160</v>
      </c>
      <c r="C13" s="2731">
        <v>30</v>
      </c>
      <c r="D13" s="2732">
        <v>0</v>
      </c>
      <c r="E13" s="2733">
        <v>0</v>
      </c>
      <c r="F13" s="2677" t="s">
        <v>1159</v>
      </c>
    </row>
    <row r="14" spans="1:6" s="2734" customFormat="1" ht="39" customHeight="1">
      <c r="A14" s="960">
        <v>7</v>
      </c>
      <c r="B14" s="2730" t="s">
        <v>1161</v>
      </c>
      <c r="C14" s="2731">
        <v>5</v>
      </c>
      <c r="D14" s="2732">
        <v>0</v>
      </c>
      <c r="E14" s="2733">
        <v>0</v>
      </c>
      <c r="F14" s="2677" t="s">
        <v>1162</v>
      </c>
    </row>
    <row r="15" spans="1:6" ht="38.25">
      <c r="A15" s="1079">
        <v>8</v>
      </c>
      <c r="B15" s="2735" t="s">
        <v>1163</v>
      </c>
      <c r="C15" s="2736">
        <v>10</v>
      </c>
      <c r="D15" s="2737">
        <v>0</v>
      </c>
      <c r="E15" s="2738">
        <v>0</v>
      </c>
      <c r="F15" s="2739" t="s">
        <v>1164</v>
      </c>
    </row>
    <row r="16" spans="1:6" ht="18.75" customHeight="1">
      <c r="A16" s="960">
        <v>9</v>
      </c>
      <c r="B16" s="2740" t="s">
        <v>1165</v>
      </c>
      <c r="C16" s="2731">
        <v>10</v>
      </c>
      <c r="D16" s="2732">
        <v>0</v>
      </c>
      <c r="E16" s="2733">
        <v>0</v>
      </c>
      <c r="F16" s="2677" t="s">
        <v>1159</v>
      </c>
    </row>
    <row r="17" spans="1:6" ht="25.5">
      <c r="A17" s="960">
        <v>10</v>
      </c>
      <c r="B17" s="2740" t="s">
        <v>1166</v>
      </c>
      <c r="C17" s="2731">
        <v>10</v>
      </c>
      <c r="D17" s="2732">
        <v>0</v>
      </c>
      <c r="E17" s="2733">
        <v>0</v>
      </c>
      <c r="F17" s="2677" t="s">
        <v>1167</v>
      </c>
    </row>
    <row r="18" spans="1:6" ht="13.5" thickBot="1">
      <c r="A18" s="969">
        <v>11</v>
      </c>
      <c r="B18" s="2741" t="s">
        <v>1168</v>
      </c>
      <c r="C18" s="2742">
        <v>5</v>
      </c>
      <c r="D18" s="2743">
        <v>0</v>
      </c>
      <c r="E18" s="2744">
        <v>0</v>
      </c>
      <c r="F18" s="2703" t="s">
        <v>1159</v>
      </c>
    </row>
    <row r="19" spans="1:6" ht="19.5" customHeight="1" thickBot="1" thickTop="1">
      <c r="A19" s="2745"/>
      <c r="B19" s="2746" t="s">
        <v>102</v>
      </c>
      <c r="C19" s="2747">
        <f>SUM(C8:C18)</f>
        <v>230</v>
      </c>
      <c r="D19" s="2748">
        <v>0</v>
      </c>
      <c r="E19" s="2749"/>
      <c r="F19" s="2750"/>
    </row>
    <row r="20" ht="13.5" thickTop="1"/>
  </sheetData>
  <mergeCells count="1">
    <mergeCell ref="B2:F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4"/>
  <sheetViews>
    <sheetView workbookViewId="0" topLeftCell="A1">
      <selection activeCell="H7" sqref="H7"/>
    </sheetView>
  </sheetViews>
  <sheetFormatPr defaultColWidth="9.00390625" defaultRowHeight="12.75"/>
  <cols>
    <col min="1" max="1" width="6.625" style="1119" customWidth="1"/>
    <col min="2" max="2" width="27.25390625" style="1120" customWidth="1"/>
    <col min="3" max="3" width="7.875" style="1121" customWidth="1"/>
    <col min="4" max="4" width="8.625" style="1122" customWidth="1"/>
    <col min="5" max="5" width="10.00390625" style="1120" customWidth="1"/>
    <col min="6" max="6" width="10.625" style="1120" customWidth="1"/>
    <col min="7" max="16384" width="9.125" style="1120" customWidth="1"/>
  </cols>
  <sheetData>
    <row r="1" ht="15">
      <c r="F1" s="1123" t="s">
        <v>1140</v>
      </c>
    </row>
    <row r="3" spans="1:7" s="1127" customFormat="1" ht="16.5">
      <c r="A3" s="1124" t="s">
        <v>591</v>
      </c>
      <c r="B3" s="1124"/>
      <c r="C3" s="1125"/>
      <c r="D3" s="1126"/>
      <c r="E3" s="1124"/>
      <c r="F3" s="1124"/>
      <c r="G3" s="1124"/>
    </row>
    <row r="4" spans="1:7" ht="15.75">
      <c r="A4" s="1128" t="s">
        <v>1169</v>
      </c>
      <c r="B4" s="1129"/>
      <c r="C4" s="1125"/>
      <c r="D4" s="1130"/>
      <c r="E4" s="1129"/>
      <c r="F4" s="1129"/>
      <c r="G4" s="1129"/>
    </row>
    <row r="5" spans="1:7" ht="15.75">
      <c r="A5" s="1129"/>
      <c r="B5" s="1129"/>
      <c r="C5" s="1125"/>
      <c r="D5" s="1130"/>
      <c r="E5" s="1129"/>
      <c r="F5" s="1129"/>
      <c r="G5" s="1129"/>
    </row>
    <row r="6" ht="13.5" customHeight="1" thickBot="1">
      <c r="F6" s="1131" t="s">
        <v>592</v>
      </c>
    </row>
    <row r="7" spans="1:7" s="1138" customFormat="1" ht="41.25" customHeight="1" thickTop="1">
      <c r="A7" s="1132" t="s">
        <v>593</v>
      </c>
      <c r="B7" s="1133" t="s">
        <v>290</v>
      </c>
      <c r="C7" s="1134" t="s">
        <v>594</v>
      </c>
      <c r="D7" s="1135" t="s">
        <v>71</v>
      </c>
      <c r="E7" s="1135" t="s">
        <v>595</v>
      </c>
      <c r="F7" s="1136" t="s">
        <v>231</v>
      </c>
      <c r="G7" s="1137" t="s">
        <v>596</v>
      </c>
    </row>
    <row r="8" spans="1:7" s="1144" customFormat="1" ht="13.5" thickBot="1">
      <c r="A8" s="1139">
        <v>1</v>
      </c>
      <c r="B8" s="1140">
        <v>2</v>
      </c>
      <c r="C8" s="1141">
        <v>3</v>
      </c>
      <c r="D8" s="1142">
        <v>4</v>
      </c>
      <c r="E8" s="1140">
        <v>5</v>
      </c>
      <c r="F8" s="1140">
        <v>6</v>
      </c>
      <c r="G8" s="1143">
        <v>7</v>
      </c>
    </row>
    <row r="9" spans="1:7" s="1151" customFormat="1" ht="16.5" thickBot="1" thickTop="1">
      <c r="A9" s="1145"/>
      <c r="B9" s="1146" t="s">
        <v>597</v>
      </c>
      <c r="C9" s="1147"/>
      <c r="D9" s="1148">
        <f>SUM(D10)</f>
        <v>23</v>
      </c>
      <c r="E9" s="1149">
        <f>E10</f>
        <v>23</v>
      </c>
      <c r="F9" s="1149">
        <f>F10</f>
        <v>15.8</v>
      </c>
      <c r="G9" s="1150">
        <f>G10</f>
        <v>68.69565217391305</v>
      </c>
    </row>
    <row r="10" spans="1:7" s="79" customFormat="1" ht="41.25" customHeight="1" thickBot="1" thickTop="1">
      <c r="A10" s="1152">
        <v>1</v>
      </c>
      <c r="B10" s="1153" t="s">
        <v>598</v>
      </c>
      <c r="C10" s="1154" t="s">
        <v>599</v>
      </c>
      <c r="D10" s="1155">
        <v>23</v>
      </c>
      <c r="E10" s="1032">
        <v>23</v>
      </c>
      <c r="F10" s="1032">
        <v>15.8</v>
      </c>
      <c r="G10" s="1156">
        <f>F10/E10*100</f>
        <v>68.69565217391305</v>
      </c>
    </row>
    <row r="11" spans="1:7" s="1151" customFormat="1" ht="16.5" thickBot="1" thickTop="1">
      <c r="A11" s="1145"/>
      <c r="B11" s="1146" t="s">
        <v>600</v>
      </c>
      <c r="C11" s="1147"/>
      <c r="D11" s="1148">
        <f>D12</f>
        <v>500</v>
      </c>
      <c r="E11" s="1149">
        <f>SUM(E12)</f>
        <v>700</v>
      </c>
      <c r="F11" s="1149">
        <f>SUM(F12)</f>
        <v>68.3</v>
      </c>
      <c r="G11" s="1150">
        <f>G12</f>
        <v>9.757142857142858</v>
      </c>
    </row>
    <row r="12" spans="1:7" s="79" customFormat="1" ht="39.75" thickBot="1" thickTop="1">
      <c r="A12" s="1152">
        <v>2</v>
      </c>
      <c r="B12" s="1030" t="s">
        <v>601</v>
      </c>
      <c r="C12" s="1157" t="s">
        <v>602</v>
      </c>
      <c r="D12" s="1155">
        <v>500</v>
      </c>
      <c r="E12" s="1032">
        <v>700</v>
      </c>
      <c r="F12" s="1032">
        <v>68.3</v>
      </c>
      <c r="G12" s="1156">
        <f aca="true" t="shared" si="0" ref="G12:G28">F12/E12*100</f>
        <v>9.757142857142858</v>
      </c>
    </row>
    <row r="13" spans="1:7" s="1151" customFormat="1" ht="19.5" customHeight="1" thickBot="1" thickTop="1">
      <c r="A13" s="1145"/>
      <c r="B13" s="1146" t="s">
        <v>603</v>
      </c>
      <c r="C13" s="1147"/>
      <c r="D13" s="1148">
        <f>D14</f>
        <v>693.4</v>
      </c>
      <c r="E13" s="1149">
        <f>SUM(E14:E14)</f>
        <v>693.4</v>
      </c>
      <c r="F13" s="1149">
        <f>SUM(F14:F14)</f>
        <v>33.8</v>
      </c>
      <c r="G13" s="1150">
        <f t="shared" si="0"/>
        <v>4.874531295067782</v>
      </c>
    </row>
    <row r="14" spans="1:7" ht="76.5" customHeight="1" thickBot="1" thickTop="1">
      <c r="A14" s="1158">
        <v>3</v>
      </c>
      <c r="B14" s="1159" t="s">
        <v>1170</v>
      </c>
      <c r="C14" s="1160" t="s">
        <v>604</v>
      </c>
      <c r="D14" s="1161">
        <v>693.4</v>
      </c>
      <c r="E14" s="1162">
        <v>693.4</v>
      </c>
      <c r="F14" s="1162">
        <v>33.8</v>
      </c>
      <c r="G14" s="1163">
        <f t="shared" si="0"/>
        <v>4.874531295067782</v>
      </c>
    </row>
    <row r="15" spans="1:7" s="1151" customFormat="1" ht="20.25" customHeight="1" thickBot="1" thickTop="1">
      <c r="A15" s="1145"/>
      <c r="B15" s="1146" t="s">
        <v>605</v>
      </c>
      <c r="C15" s="1147"/>
      <c r="D15" s="1148"/>
      <c r="E15" s="1149">
        <f>E16+E17</f>
        <v>485</v>
      </c>
      <c r="F15" s="1149">
        <f>F16+F17</f>
        <v>155.9</v>
      </c>
      <c r="G15" s="1150">
        <f t="shared" si="0"/>
        <v>32.14432989690722</v>
      </c>
    </row>
    <row r="16" spans="1:7" s="79" customFormat="1" ht="38.25" customHeight="1" thickTop="1">
      <c r="A16" s="1164">
        <v>4</v>
      </c>
      <c r="B16" s="2751" t="s">
        <v>1171</v>
      </c>
      <c r="C16" s="1160" t="s">
        <v>1172</v>
      </c>
      <c r="D16" s="1165"/>
      <c r="E16" s="1166">
        <v>140</v>
      </c>
      <c r="F16" s="1166">
        <v>140</v>
      </c>
      <c r="G16" s="1167">
        <f t="shared" si="0"/>
        <v>100</v>
      </c>
    </row>
    <row r="17" spans="1:7" s="79" customFormat="1" ht="40.5" customHeight="1" thickBot="1">
      <c r="A17" s="2752">
        <v>5</v>
      </c>
      <c r="B17" s="2753" t="s">
        <v>1173</v>
      </c>
      <c r="C17" s="1180" t="s">
        <v>1174</v>
      </c>
      <c r="D17" s="2754"/>
      <c r="E17" s="2755">
        <v>345</v>
      </c>
      <c r="F17" s="2755">
        <v>15.9</v>
      </c>
      <c r="G17" s="1172">
        <f>F17/E17*100</f>
        <v>4.608695652173913</v>
      </c>
    </row>
    <row r="18" spans="1:7" s="1151" customFormat="1" ht="20.25" customHeight="1" thickBot="1" thickTop="1">
      <c r="A18" s="1145"/>
      <c r="B18" s="1146" t="s">
        <v>606</v>
      </c>
      <c r="C18" s="1147"/>
      <c r="D18" s="1148">
        <f>SUM(D19:D20)</f>
        <v>17</v>
      </c>
      <c r="E18" s="1149">
        <f>SUM(E19:E20)</f>
        <v>17</v>
      </c>
      <c r="F18" s="1149">
        <f>SUM(F19:F20)</f>
        <v>5</v>
      </c>
      <c r="G18" s="1150">
        <f t="shared" si="0"/>
        <v>29.411764705882355</v>
      </c>
    </row>
    <row r="19" spans="1:7" s="79" customFormat="1" ht="57" customHeight="1" thickTop="1">
      <c r="A19" s="1164">
        <v>6</v>
      </c>
      <c r="B19" s="1159" t="s">
        <v>1175</v>
      </c>
      <c r="C19" s="1160" t="s">
        <v>1176</v>
      </c>
      <c r="D19" s="1165">
        <v>7</v>
      </c>
      <c r="E19" s="1166">
        <v>7</v>
      </c>
      <c r="F19" s="1166">
        <v>5</v>
      </c>
      <c r="G19" s="1167">
        <f t="shared" si="0"/>
        <v>71.42857142857143</v>
      </c>
    </row>
    <row r="20" spans="1:7" s="79" customFormat="1" ht="32.25" customHeight="1" thickBot="1">
      <c r="A20" s="1168">
        <v>7</v>
      </c>
      <c r="B20" s="2756" t="s">
        <v>1177</v>
      </c>
      <c r="C20" s="1169" t="s">
        <v>607</v>
      </c>
      <c r="D20" s="1170">
        <v>10</v>
      </c>
      <c r="E20" s="1171">
        <v>10</v>
      </c>
      <c r="F20" s="1171">
        <v>0</v>
      </c>
      <c r="G20" s="1172">
        <f t="shared" si="0"/>
        <v>0</v>
      </c>
    </row>
    <row r="21" spans="1:7" s="1151" customFormat="1" ht="16.5" thickBot="1" thickTop="1">
      <c r="A21" s="1145"/>
      <c r="B21" s="1146" t="s">
        <v>608</v>
      </c>
      <c r="C21" s="1147"/>
      <c r="D21" s="1148">
        <f>SUM(D22:D23)</f>
        <v>30</v>
      </c>
      <c r="E21" s="1148">
        <f>SUM(E22:E23)</f>
        <v>130</v>
      </c>
      <c r="F21" s="1148">
        <f>SUM(F22:F23)</f>
        <v>24.9</v>
      </c>
      <c r="G21" s="1150">
        <f t="shared" si="0"/>
        <v>19.153846153846153</v>
      </c>
    </row>
    <row r="22" spans="1:7" ht="26.25" thickTop="1">
      <c r="A22" s="1164">
        <v>8</v>
      </c>
      <c r="B22" s="1159" t="s">
        <v>609</v>
      </c>
      <c r="C22" s="1160" t="s">
        <v>1178</v>
      </c>
      <c r="D22" s="1165">
        <v>19.8</v>
      </c>
      <c r="E22" s="1166">
        <v>119.8</v>
      </c>
      <c r="F22" s="1166">
        <v>24.9</v>
      </c>
      <c r="G22" s="1167">
        <f t="shared" si="0"/>
        <v>20.784641068447414</v>
      </c>
    </row>
    <row r="23" spans="1:7" ht="36.75" customHeight="1" thickBot="1">
      <c r="A23" s="2752">
        <v>9</v>
      </c>
      <c r="B23" s="1179" t="s">
        <v>1179</v>
      </c>
      <c r="C23" s="1180" t="s">
        <v>1180</v>
      </c>
      <c r="D23" s="2754">
        <v>10.2</v>
      </c>
      <c r="E23" s="2755">
        <v>10.2</v>
      </c>
      <c r="F23" s="2755">
        <v>0</v>
      </c>
      <c r="G23" s="1156">
        <f t="shared" si="0"/>
        <v>0</v>
      </c>
    </row>
    <row r="24" spans="1:7" s="1151" customFormat="1" ht="24.75" customHeight="1" thickBot="1" thickTop="1">
      <c r="A24" s="1145"/>
      <c r="B24" s="1146" t="s">
        <v>612</v>
      </c>
      <c r="C24" s="1147"/>
      <c r="D24" s="1148">
        <f>SUM(D26:D28)</f>
        <v>0</v>
      </c>
      <c r="E24" s="1148">
        <f>SUM(E25:E28)</f>
        <v>281</v>
      </c>
      <c r="F24" s="1148">
        <f>SUM(F25:F28)</f>
        <v>34</v>
      </c>
      <c r="G24" s="1150">
        <f t="shared" si="0"/>
        <v>12.099644128113878</v>
      </c>
    </row>
    <row r="25" spans="1:7" s="1151" customFormat="1" ht="24.75" customHeight="1" thickTop="1">
      <c r="A25" s="1164">
        <v>10</v>
      </c>
      <c r="B25" s="2757" t="s">
        <v>1181</v>
      </c>
      <c r="C25" s="1160" t="s">
        <v>1182</v>
      </c>
      <c r="D25" s="1165"/>
      <c r="E25" s="1166">
        <v>21</v>
      </c>
      <c r="F25" s="1166">
        <v>0</v>
      </c>
      <c r="G25" s="1167">
        <f>F25/E25*100</f>
        <v>0</v>
      </c>
    </row>
    <row r="26" spans="1:7" ht="100.5" customHeight="1">
      <c r="A26" s="1173">
        <v>11</v>
      </c>
      <c r="B26" s="1174" t="s">
        <v>1183</v>
      </c>
      <c r="C26" s="1175" t="s">
        <v>1184</v>
      </c>
      <c r="D26" s="1176"/>
      <c r="E26" s="1177">
        <v>150</v>
      </c>
      <c r="F26" s="1177">
        <v>24</v>
      </c>
      <c r="G26" s="1178">
        <f t="shared" si="0"/>
        <v>16</v>
      </c>
    </row>
    <row r="27" spans="1:7" ht="29.25" customHeight="1">
      <c r="A27" s="2752">
        <v>12</v>
      </c>
      <c r="B27" s="1179" t="s">
        <v>1185</v>
      </c>
      <c r="C27" s="1180" t="s">
        <v>1186</v>
      </c>
      <c r="D27" s="2754"/>
      <c r="E27" s="2755">
        <v>100</v>
      </c>
      <c r="F27" s="2755">
        <v>0</v>
      </c>
      <c r="G27" s="1172">
        <f>F27/E27*100</f>
        <v>0</v>
      </c>
    </row>
    <row r="28" spans="1:7" ht="31.5" customHeight="1" thickBot="1">
      <c r="A28" s="2752">
        <v>13</v>
      </c>
      <c r="B28" s="1179" t="s">
        <v>1187</v>
      </c>
      <c r="C28" s="1180" t="s">
        <v>613</v>
      </c>
      <c r="D28" s="2754"/>
      <c r="E28" s="2755">
        <v>10</v>
      </c>
      <c r="F28" s="2755">
        <v>10</v>
      </c>
      <c r="G28" s="1172">
        <f t="shared" si="0"/>
        <v>100</v>
      </c>
    </row>
    <row r="29" spans="1:7" s="1016" customFormat="1" ht="20.25" customHeight="1" thickBot="1" thickTop="1">
      <c r="A29" s="1181"/>
      <c r="B29" s="1182" t="s">
        <v>102</v>
      </c>
      <c r="C29" s="1183"/>
      <c r="D29" s="1184">
        <f>D9+D11+D13+D15+D18+D21+D24</f>
        <v>1263.4</v>
      </c>
      <c r="E29" s="1184">
        <f>E9+E11+E13+E15+E18+E21+E24</f>
        <v>2329.4</v>
      </c>
      <c r="F29" s="1184">
        <f>F9+F11+F13+F15+F18+F21+F24</f>
        <v>337.7</v>
      </c>
      <c r="G29" s="1185">
        <f>F29/E29*100</f>
        <v>14.497295440886063</v>
      </c>
    </row>
    <row r="30" spans="2:7" ht="15.75" thickTop="1">
      <c r="B30" s="1186"/>
      <c r="G30" s="1187"/>
    </row>
    <row r="31" ht="15">
      <c r="G31" s="1187"/>
    </row>
    <row r="32" ht="15">
      <c r="G32" s="1187"/>
    </row>
    <row r="33" ht="15">
      <c r="G33" s="1187"/>
    </row>
    <row r="34" ht="15">
      <c r="G34" s="1187"/>
    </row>
  </sheetData>
  <printOptions horizontalCentered="1"/>
  <pageMargins left="0" right="0.1968503937007874" top="0.984251968503937" bottom="0.7874015748031497" header="0.5118110236220472" footer="0.5118110236220472"/>
  <pageSetup firstPageNumber="80" useFirstPageNumber="1" horizontalDpi="600" verticalDpi="600" orientation="portrait" paperSize="9" r:id="rId1"/>
  <headerFooter alignWithMargins="0">
    <oddHeader>&amp;C&amp;"Times New Roman CE,Normalny" &amp;P</oddHeader>
  </headerFooter>
</worksheet>
</file>

<file path=xl/worksheets/sheet22.xml><?xml version="1.0" encoding="utf-8"?>
<worksheet xmlns="http://schemas.openxmlformats.org/spreadsheetml/2006/main" xmlns:r="http://schemas.openxmlformats.org/officeDocument/2006/relationships">
  <dimension ref="A1:IB47"/>
  <sheetViews>
    <sheetView workbookViewId="0" topLeftCell="A1">
      <selection activeCell="E10" sqref="E10"/>
    </sheetView>
  </sheetViews>
  <sheetFormatPr defaultColWidth="9.00390625" defaultRowHeight="12.75"/>
  <cols>
    <col min="1" max="1" width="6.625" style="1188" customWidth="1"/>
    <col min="2" max="2" width="43.00390625" style="1189" customWidth="1"/>
    <col min="3" max="3" width="5.125" style="1190" customWidth="1"/>
    <col min="4" max="5" width="10.00390625" style="1188" customWidth="1"/>
    <col min="6" max="6" width="10.25390625" style="1188" customWidth="1"/>
    <col min="7" max="7" width="9.00390625" style="1188" customWidth="1"/>
    <col min="8" max="236" width="10.00390625" style="1188" customWidth="1"/>
    <col min="237" max="16384" width="10.00390625" style="1192" customWidth="1"/>
  </cols>
  <sheetData>
    <row r="1" ht="15.75">
      <c r="F1" s="1191" t="s">
        <v>1142</v>
      </c>
    </row>
    <row r="2" spans="1:7" s="1195" customFormat="1" ht="21.75" customHeight="1">
      <c r="A2" s="1193" t="s">
        <v>614</v>
      </c>
      <c r="B2" s="1193"/>
      <c r="C2" s="1193"/>
      <c r="D2" s="1194"/>
      <c r="E2" s="1194"/>
      <c r="F2" s="1194"/>
      <c r="G2" s="1194"/>
    </row>
    <row r="3" spans="1:236" s="1202" customFormat="1" ht="13.5" customHeight="1">
      <c r="A3" s="1196" t="s">
        <v>1188</v>
      </c>
      <c r="B3" s="1197"/>
      <c r="C3" s="1198"/>
      <c r="D3" s="1199"/>
      <c r="E3" s="1199"/>
      <c r="F3" s="1200"/>
      <c r="G3" s="1199"/>
      <c r="H3" s="1201"/>
      <c r="I3" s="1201"/>
      <c r="J3" s="1201"/>
      <c r="K3" s="1201"/>
      <c r="L3" s="1201"/>
      <c r="M3" s="1201"/>
      <c r="N3" s="1201"/>
      <c r="O3" s="1201"/>
      <c r="P3" s="1201"/>
      <c r="Q3" s="1201"/>
      <c r="R3" s="1201"/>
      <c r="S3" s="1201"/>
      <c r="T3" s="1201"/>
      <c r="U3" s="1201"/>
      <c r="V3" s="1201"/>
      <c r="W3" s="1201"/>
      <c r="X3" s="1201"/>
      <c r="Y3" s="1201"/>
      <c r="Z3" s="1201"/>
      <c r="AA3" s="1201"/>
      <c r="AB3" s="1201"/>
      <c r="AC3" s="1201"/>
      <c r="AD3" s="1201"/>
      <c r="AE3" s="1201"/>
      <c r="AF3" s="1201"/>
      <c r="AG3" s="1201"/>
      <c r="AH3" s="1201"/>
      <c r="AI3" s="1201"/>
      <c r="AJ3" s="1201"/>
      <c r="AK3" s="1201"/>
      <c r="AL3" s="1201"/>
      <c r="AM3" s="1201"/>
      <c r="AN3" s="1201"/>
      <c r="AO3" s="1201"/>
      <c r="AP3" s="1201"/>
      <c r="AQ3" s="1201"/>
      <c r="AR3" s="1201"/>
      <c r="AS3" s="1201"/>
      <c r="AT3" s="1201"/>
      <c r="AU3" s="1201"/>
      <c r="AV3" s="1201"/>
      <c r="AW3" s="1201"/>
      <c r="AX3" s="1201"/>
      <c r="AY3" s="1201"/>
      <c r="AZ3" s="1201"/>
      <c r="BA3" s="1201"/>
      <c r="BB3" s="1201"/>
      <c r="BC3" s="1201"/>
      <c r="BD3" s="1201"/>
      <c r="BE3" s="1201"/>
      <c r="BF3" s="1201"/>
      <c r="BG3" s="1201"/>
      <c r="BH3" s="1201"/>
      <c r="BI3" s="1201"/>
      <c r="BJ3" s="1201"/>
      <c r="BK3" s="1201"/>
      <c r="BL3" s="1201"/>
      <c r="BM3" s="1201"/>
      <c r="BN3" s="1201"/>
      <c r="BO3" s="1201"/>
      <c r="BP3" s="1201"/>
      <c r="BQ3" s="1201"/>
      <c r="BR3" s="1201"/>
      <c r="BS3" s="1201"/>
      <c r="BT3" s="1201"/>
      <c r="BU3" s="1201"/>
      <c r="BV3" s="1201"/>
      <c r="BW3" s="1201"/>
      <c r="BX3" s="1201"/>
      <c r="BY3" s="1201"/>
      <c r="BZ3" s="1201"/>
      <c r="CA3" s="1201"/>
      <c r="CB3" s="1201"/>
      <c r="CC3" s="1201"/>
      <c r="CD3" s="1201"/>
      <c r="CE3" s="1201"/>
      <c r="CF3" s="1201"/>
      <c r="CG3" s="1201"/>
      <c r="CH3" s="1201"/>
      <c r="CI3" s="1201"/>
      <c r="CJ3" s="1201"/>
      <c r="CK3" s="1201"/>
      <c r="CL3" s="1201"/>
      <c r="CM3" s="1201"/>
      <c r="CN3" s="1201"/>
      <c r="CO3" s="1201"/>
      <c r="CP3" s="1201"/>
      <c r="CQ3" s="1201"/>
      <c r="CR3" s="1201"/>
      <c r="CS3" s="1201"/>
      <c r="CT3" s="1201"/>
      <c r="CU3" s="1201"/>
      <c r="CV3" s="1201"/>
      <c r="CW3" s="1201"/>
      <c r="CX3" s="1201"/>
      <c r="CY3" s="1201"/>
      <c r="CZ3" s="1201"/>
      <c r="DA3" s="1201"/>
      <c r="DB3" s="1201"/>
      <c r="DC3" s="1201"/>
      <c r="DD3" s="1201"/>
      <c r="DE3" s="1201"/>
      <c r="DF3" s="1201"/>
      <c r="DG3" s="1201"/>
      <c r="DH3" s="1201"/>
      <c r="DI3" s="1201"/>
      <c r="DJ3" s="1201"/>
      <c r="DK3" s="1201"/>
      <c r="DL3" s="1201"/>
      <c r="DM3" s="1201"/>
      <c r="DN3" s="1201"/>
      <c r="DO3" s="1201"/>
      <c r="DP3" s="1201"/>
      <c r="DQ3" s="1201"/>
      <c r="DR3" s="1201"/>
      <c r="DS3" s="1201"/>
      <c r="DT3" s="1201"/>
      <c r="DU3" s="1201"/>
      <c r="DV3" s="1201"/>
      <c r="DW3" s="1201"/>
      <c r="DX3" s="1201"/>
      <c r="DY3" s="1201"/>
      <c r="DZ3" s="1201"/>
      <c r="EA3" s="1201"/>
      <c r="EB3" s="1201"/>
      <c r="EC3" s="1201"/>
      <c r="ED3" s="1201"/>
      <c r="EE3" s="1201"/>
      <c r="EF3" s="1201"/>
      <c r="EG3" s="1201"/>
      <c r="EH3" s="1201"/>
      <c r="EI3" s="1201"/>
      <c r="EJ3" s="1201"/>
      <c r="EK3" s="1201"/>
      <c r="EL3" s="1201"/>
      <c r="EM3" s="1201"/>
      <c r="EN3" s="1201"/>
      <c r="EO3" s="1201"/>
      <c r="EP3" s="1201"/>
      <c r="EQ3" s="1201"/>
      <c r="ER3" s="1201"/>
      <c r="ES3" s="1201"/>
      <c r="ET3" s="1201"/>
      <c r="EU3" s="1201"/>
      <c r="EV3" s="1201"/>
      <c r="EW3" s="1201"/>
      <c r="EX3" s="1201"/>
      <c r="EY3" s="1201"/>
      <c r="EZ3" s="1201"/>
      <c r="FA3" s="1201"/>
      <c r="FB3" s="1201"/>
      <c r="FC3" s="1201"/>
      <c r="FD3" s="1201"/>
      <c r="FE3" s="1201"/>
      <c r="FF3" s="1201"/>
      <c r="FG3" s="1201"/>
      <c r="FH3" s="1201"/>
      <c r="FI3" s="1201"/>
      <c r="FJ3" s="1201"/>
      <c r="FK3" s="1201"/>
      <c r="FL3" s="1201"/>
      <c r="FM3" s="1201"/>
      <c r="FN3" s="1201"/>
      <c r="FO3" s="1201"/>
      <c r="FP3" s="1201"/>
      <c r="FQ3" s="1201"/>
      <c r="FR3" s="1201"/>
      <c r="FS3" s="1201"/>
      <c r="FT3" s="1201"/>
      <c r="FU3" s="1201"/>
      <c r="FV3" s="1201"/>
      <c r="FW3" s="1201"/>
      <c r="FX3" s="1201"/>
      <c r="FY3" s="1201"/>
      <c r="FZ3" s="1201"/>
      <c r="GA3" s="1201"/>
      <c r="GB3" s="1201"/>
      <c r="GC3" s="1201"/>
      <c r="GD3" s="1201"/>
      <c r="GE3" s="1201"/>
      <c r="GF3" s="1201"/>
      <c r="GG3" s="1201"/>
      <c r="GH3" s="1201"/>
      <c r="GI3" s="1201"/>
      <c r="GJ3" s="1201"/>
      <c r="GK3" s="1201"/>
      <c r="GL3" s="1201"/>
      <c r="GM3" s="1201"/>
      <c r="GN3" s="1201"/>
      <c r="GO3" s="1201"/>
      <c r="GP3" s="1201"/>
      <c r="GQ3" s="1201"/>
      <c r="GR3" s="1201"/>
      <c r="GS3" s="1201"/>
      <c r="GT3" s="1201"/>
      <c r="GU3" s="1201"/>
      <c r="GV3" s="1201"/>
      <c r="GW3" s="1201"/>
      <c r="GX3" s="1201"/>
      <c r="GY3" s="1201"/>
      <c r="GZ3" s="1201"/>
      <c r="HA3" s="1201"/>
      <c r="HB3" s="1201"/>
      <c r="HC3" s="1201"/>
      <c r="HD3" s="1201"/>
      <c r="HE3" s="1201"/>
      <c r="HF3" s="1201"/>
      <c r="HG3" s="1201"/>
      <c r="HH3" s="1201"/>
      <c r="HI3" s="1201"/>
      <c r="HJ3" s="1201"/>
      <c r="HK3" s="1201"/>
      <c r="HL3" s="1201"/>
      <c r="HM3" s="1201"/>
      <c r="HN3" s="1201"/>
      <c r="HO3" s="1201"/>
      <c r="HP3" s="1201"/>
      <c r="HQ3" s="1201"/>
      <c r="HR3" s="1201"/>
      <c r="HS3" s="1201"/>
      <c r="HT3" s="1201"/>
      <c r="HU3" s="1201"/>
      <c r="HV3" s="1201"/>
      <c r="HW3" s="1201"/>
      <c r="HX3" s="1201"/>
      <c r="HY3" s="1201"/>
      <c r="HZ3" s="1201"/>
      <c r="IA3" s="1201"/>
      <c r="IB3" s="1201"/>
    </row>
    <row r="4" spans="1:236" s="1202" customFormat="1" ht="13.5" customHeight="1" thickBot="1">
      <c r="A4" s="1196"/>
      <c r="B4" s="1197"/>
      <c r="C4" s="1203"/>
      <c r="D4" s="1199"/>
      <c r="E4" s="1199"/>
      <c r="F4" s="1200" t="s">
        <v>329</v>
      </c>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c r="AD4" s="1201"/>
      <c r="AE4" s="1201"/>
      <c r="AF4" s="1201"/>
      <c r="AG4" s="1201"/>
      <c r="AH4" s="1201"/>
      <c r="AI4" s="1201"/>
      <c r="AJ4" s="1201"/>
      <c r="AK4" s="1201"/>
      <c r="AL4" s="1201"/>
      <c r="AM4" s="1201"/>
      <c r="AN4" s="1201"/>
      <c r="AO4" s="1201"/>
      <c r="AP4" s="1201"/>
      <c r="AQ4" s="1201"/>
      <c r="AR4" s="1201"/>
      <c r="AS4" s="1201"/>
      <c r="AT4" s="1201"/>
      <c r="AU4" s="1201"/>
      <c r="AV4" s="1201"/>
      <c r="AW4" s="1201"/>
      <c r="AX4" s="1201"/>
      <c r="AY4" s="1201"/>
      <c r="AZ4" s="1201"/>
      <c r="BA4" s="1201"/>
      <c r="BB4" s="1201"/>
      <c r="BC4" s="1201"/>
      <c r="BD4" s="1201"/>
      <c r="BE4" s="1201"/>
      <c r="BF4" s="1201"/>
      <c r="BG4" s="1201"/>
      <c r="BH4" s="1201"/>
      <c r="BI4" s="1201"/>
      <c r="BJ4" s="1201"/>
      <c r="BK4" s="1201"/>
      <c r="BL4" s="1201"/>
      <c r="BM4" s="1201"/>
      <c r="BN4" s="1201"/>
      <c r="BO4" s="1201"/>
      <c r="BP4" s="1201"/>
      <c r="BQ4" s="1201"/>
      <c r="BR4" s="1201"/>
      <c r="BS4" s="1201"/>
      <c r="BT4" s="1201"/>
      <c r="BU4" s="1201"/>
      <c r="BV4" s="1201"/>
      <c r="BW4" s="1201"/>
      <c r="BX4" s="1201"/>
      <c r="BY4" s="1201"/>
      <c r="BZ4" s="1201"/>
      <c r="CA4" s="1201"/>
      <c r="CB4" s="1201"/>
      <c r="CC4" s="1201"/>
      <c r="CD4" s="1201"/>
      <c r="CE4" s="1201"/>
      <c r="CF4" s="1201"/>
      <c r="CG4" s="1201"/>
      <c r="CH4" s="1201"/>
      <c r="CI4" s="1201"/>
      <c r="CJ4" s="1201"/>
      <c r="CK4" s="1201"/>
      <c r="CL4" s="1201"/>
      <c r="CM4" s="1201"/>
      <c r="CN4" s="1201"/>
      <c r="CO4" s="1201"/>
      <c r="CP4" s="1201"/>
      <c r="CQ4" s="1201"/>
      <c r="CR4" s="1201"/>
      <c r="CS4" s="1201"/>
      <c r="CT4" s="1201"/>
      <c r="CU4" s="1201"/>
      <c r="CV4" s="1201"/>
      <c r="CW4" s="1201"/>
      <c r="CX4" s="1201"/>
      <c r="CY4" s="1201"/>
      <c r="CZ4" s="1201"/>
      <c r="DA4" s="1201"/>
      <c r="DB4" s="1201"/>
      <c r="DC4" s="1201"/>
      <c r="DD4" s="1201"/>
      <c r="DE4" s="1201"/>
      <c r="DF4" s="1201"/>
      <c r="DG4" s="1201"/>
      <c r="DH4" s="1201"/>
      <c r="DI4" s="1201"/>
      <c r="DJ4" s="1201"/>
      <c r="DK4" s="1201"/>
      <c r="DL4" s="1201"/>
      <c r="DM4" s="1201"/>
      <c r="DN4" s="1201"/>
      <c r="DO4" s="1201"/>
      <c r="DP4" s="1201"/>
      <c r="DQ4" s="1201"/>
      <c r="DR4" s="1201"/>
      <c r="DS4" s="1201"/>
      <c r="DT4" s="1201"/>
      <c r="DU4" s="1201"/>
      <c r="DV4" s="1201"/>
      <c r="DW4" s="1201"/>
      <c r="DX4" s="1201"/>
      <c r="DY4" s="1201"/>
      <c r="DZ4" s="1201"/>
      <c r="EA4" s="1201"/>
      <c r="EB4" s="1201"/>
      <c r="EC4" s="1201"/>
      <c r="ED4" s="1201"/>
      <c r="EE4" s="1201"/>
      <c r="EF4" s="1201"/>
      <c r="EG4" s="1201"/>
      <c r="EH4" s="1201"/>
      <c r="EI4" s="1201"/>
      <c r="EJ4" s="1201"/>
      <c r="EK4" s="1201"/>
      <c r="EL4" s="1201"/>
      <c r="EM4" s="1201"/>
      <c r="EN4" s="1201"/>
      <c r="EO4" s="1201"/>
      <c r="EP4" s="1201"/>
      <c r="EQ4" s="1201"/>
      <c r="ER4" s="1201"/>
      <c r="ES4" s="1201"/>
      <c r="ET4" s="1201"/>
      <c r="EU4" s="1201"/>
      <c r="EV4" s="1201"/>
      <c r="EW4" s="1201"/>
      <c r="EX4" s="1201"/>
      <c r="EY4" s="1201"/>
      <c r="EZ4" s="1201"/>
      <c r="FA4" s="1201"/>
      <c r="FB4" s="1201"/>
      <c r="FC4" s="1201"/>
      <c r="FD4" s="1201"/>
      <c r="FE4" s="1201"/>
      <c r="FF4" s="1201"/>
      <c r="FG4" s="1201"/>
      <c r="FH4" s="1201"/>
      <c r="FI4" s="1201"/>
      <c r="FJ4" s="1201"/>
      <c r="FK4" s="1201"/>
      <c r="FL4" s="1201"/>
      <c r="FM4" s="1201"/>
      <c r="FN4" s="1201"/>
      <c r="FO4" s="1201"/>
      <c r="FP4" s="1201"/>
      <c r="FQ4" s="1201"/>
      <c r="FR4" s="1201"/>
      <c r="FS4" s="1201"/>
      <c r="FT4" s="1201"/>
      <c r="FU4" s="1201"/>
      <c r="FV4" s="1201"/>
      <c r="FW4" s="1201"/>
      <c r="FX4" s="1201"/>
      <c r="FY4" s="1201"/>
      <c r="FZ4" s="1201"/>
      <c r="GA4" s="1201"/>
      <c r="GB4" s="1201"/>
      <c r="GC4" s="1201"/>
      <c r="GD4" s="1201"/>
      <c r="GE4" s="1201"/>
      <c r="GF4" s="1201"/>
      <c r="GG4" s="1201"/>
      <c r="GH4" s="1201"/>
      <c r="GI4" s="1201"/>
      <c r="GJ4" s="1201"/>
      <c r="GK4" s="1201"/>
      <c r="GL4" s="1201"/>
      <c r="GM4" s="1201"/>
      <c r="GN4" s="1201"/>
      <c r="GO4" s="1201"/>
      <c r="GP4" s="1201"/>
      <c r="GQ4" s="1201"/>
      <c r="GR4" s="1201"/>
      <c r="GS4" s="1201"/>
      <c r="GT4" s="1201"/>
      <c r="GU4" s="1201"/>
      <c r="GV4" s="1201"/>
      <c r="GW4" s="1201"/>
      <c r="GX4" s="1201"/>
      <c r="GY4" s="1201"/>
      <c r="GZ4" s="1201"/>
      <c r="HA4" s="1201"/>
      <c r="HB4" s="1201"/>
      <c r="HC4" s="1201"/>
      <c r="HD4" s="1201"/>
      <c r="HE4" s="1201"/>
      <c r="HF4" s="1201"/>
      <c r="HG4" s="1201"/>
      <c r="HH4" s="1201"/>
      <c r="HI4" s="1201"/>
      <c r="HJ4" s="1201"/>
      <c r="HK4" s="1201"/>
      <c r="HL4" s="1201"/>
      <c r="HM4" s="1201"/>
      <c r="HN4" s="1201"/>
      <c r="HO4" s="1201"/>
      <c r="HP4" s="1201"/>
      <c r="HQ4" s="1201"/>
      <c r="HR4" s="1201"/>
      <c r="HS4" s="1201"/>
      <c r="HT4" s="1201"/>
      <c r="HU4" s="1201"/>
      <c r="HV4" s="1201"/>
      <c r="HW4" s="1201"/>
      <c r="HX4" s="1201"/>
      <c r="HY4" s="1201"/>
      <c r="HZ4" s="1201"/>
      <c r="IA4" s="1201"/>
      <c r="IB4" s="1201"/>
    </row>
    <row r="5" spans="1:7" ht="39" customHeight="1" thickTop="1">
      <c r="A5" s="1204" t="s">
        <v>615</v>
      </c>
      <c r="B5" s="1205" t="s">
        <v>290</v>
      </c>
      <c r="C5" s="1206" t="s">
        <v>616</v>
      </c>
      <c r="D5" s="1207" t="s">
        <v>71</v>
      </c>
      <c r="E5" s="1207" t="s">
        <v>617</v>
      </c>
      <c r="F5" s="1207" t="s">
        <v>231</v>
      </c>
      <c r="G5" s="1137" t="s">
        <v>596</v>
      </c>
    </row>
    <row r="6" spans="1:7" s="1212" customFormat="1" ht="12.75" customHeight="1" thickBot="1">
      <c r="A6" s="1208">
        <v>1</v>
      </c>
      <c r="B6" s="1209">
        <v>2</v>
      </c>
      <c r="C6" s="1210">
        <v>3</v>
      </c>
      <c r="D6" s="1210">
        <v>4</v>
      </c>
      <c r="E6" s="1210">
        <v>5</v>
      </c>
      <c r="F6" s="1210">
        <v>6</v>
      </c>
      <c r="G6" s="1211">
        <v>7</v>
      </c>
    </row>
    <row r="7" spans="1:7" s="1218" customFormat="1" ht="16.5" thickBot="1" thickTop="1">
      <c r="A7" s="1213"/>
      <c r="B7" s="1214" t="s">
        <v>618</v>
      </c>
      <c r="C7" s="1215"/>
      <c r="D7" s="1216">
        <f>SUM(D8)</f>
        <v>220</v>
      </c>
      <c r="E7" s="1216">
        <f>SUM(E8)</f>
        <v>220</v>
      </c>
      <c r="F7" s="1216">
        <f>SUM(F8)</f>
        <v>0</v>
      </c>
      <c r="G7" s="1217">
        <f>F7/E7*100</f>
        <v>0</v>
      </c>
    </row>
    <row r="8" spans="1:236" ht="18" customHeight="1" thickBot="1" thickTop="1">
      <c r="A8" s="1219">
        <v>50095</v>
      </c>
      <c r="B8" s="1220" t="s">
        <v>619</v>
      </c>
      <c r="C8" s="1221">
        <v>4270</v>
      </c>
      <c r="D8" s="1222">
        <v>220</v>
      </c>
      <c r="E8" s="1222">
        <v>220</v>
      </c>
      <c r="F8" s="1222">
        <v>0</v>
      </c>
      <c r="G8" s="1223">
        <v>0</v>
      </c>
      <c r="H8" s="1192"/>
      <c r="I8" s="1192"/>
      <c r="J8" s="1192"/>
      <c r="K8" s="1192"/>
      <c r="L8" s="1192"/>
      <c r="M8" s="1192"/>
      <c r="N8" s="1192"/>
      <c r="O8" s="1192"/>
      <c r="P8" s="1192"/>
      <c r="Q8" s="1192"/>
      <c r="R8" s="1192"/>
      <c r="S8" s="1192"/>
      <c r="T8" s="1192"/>
      <c r="U8" s="1192"/>
      <c r="V8" s="1192"/>
      <c r="W8" s="1192"/>
      <c r="X8" s="1192"/>
      <c r="Y8" s="1192"/>
      <c r="Z8" s="1192"/>
      <c r="AA8" s="1192"/>
      <c r="AB8" s="1192"/>
      <c r="AC8" s="1192"/>
      <c r="AD8" s="1192"/>
      <c r="AE8" s="1192"/>
      <c r="AF8" s="1192"/>
      <c r="AG8" s="1192"/>
      <c r="AH8" s="1192"/>
      <c r="AI8" s="1192"/>
      <c r="AJ8" s="1192"/>
      <c r="AK8" s="1192"/>
      <c r="AL8" s="1192"/>
      <c r="AM8" s="1192"/>
      <c r="AN8" s="1192"/>
      <c r="AO8" s="1192"/>
      <c r="AP8" s="1192"/>
      <c r="AQ8" s="1192"/>
      <c r="AR8" s="1192"/>
      <c r="AS8" s="1192"/>
      <c r="AT8" s="1192"/>
      <c r="AU8" s="1192"/>
      <c r="AV8" s="1192"/>
      <c r="AW8" s="1192"/>
      <c r="AX8" s="1192"/>
      <c r="AY8" s="1192"/>
      <c r="AZ8" s="1192"/>
      <c r="BA8" s="1192"/>
      <c r="BB8" s="1192"/>
      <c r="BC8" s="1192"/>
      <c r="BD8" s="1192"/>
      <c r="BE8" s="1192"/>
      <c r="BF8" s="1192"/>
      <c r="BG8" s="1192"/>
      <c r="BH8" s="1192"/>
      <c r="BI8" s="1192"/>
      <c r="BJ8" s="1192"/>
      <c r="BK8" s="1192"/>
      <c r="BL8" s="1192"/>
      <c r="BM8" s="1192"/>
      <c r="BN8" s="1192"/>
      <c r="BO8" s="1192"/>
      <c r="BP8" s="1192"/>
      <c r="BQ8" s="1192"/>
      <c r="BR8" s="1192"/>
      <c r="BS8" s="1192"/>
      <c r="BT8" s="1192"/>
      <c r="BU8" s="1192"/>
      <c r="BV8" s="1192"/>
      <c r="BW8" s="1192"/>
      <c r="BX8" s="1192"/>
      <c r="BY8" s="1192"/>
      <c r="BZ8" s="1192"/>
      <c r="CA8" s="1192"/>
      <c r="CB8" s="1192"/>
      <c r="CC8" s="1192"/>
      <c r="CD8" s="1192"/>
      <c r="CE8" s="1192"/>
      <c r="CF8" s="1192"/>
      <c r="CG8" s="1192"/>
      <c r="CH8" s="1192"/>
      <c r="CI8" s="1192"/>
      <c r="CJ8" s="1192"/>
      <c r="CK8" s="1192"/>
      <c r="CL8" s="1192"/>
      <c r="CM8" s="1192"/>
      <c r="CN8" s="1192"/>
      <c r="CO8" s="1192"/>
      <c r="CP8" s="1192"/>
      <c r="CQ8" s="1192"/>
      <c r="CR8" s="1192"/>
      <c r="CS8" s="1192"/>
      <c r="CT8" s="1192"/>
      <c r="CU8" s="1192"/>
      <c r="CV8" s="1192"/>
      <c r="CW8" s="1192"/>
      <c r="CX8" s="1192"/>
      <c r="CY8" s="1192"/>
      <c r="CZ8" s="1192"/>
      <c r="DA8" s="1192"/>
      <c r="DB8" s="1192"/>
      <c r="DC8" s="1192"/>
      <c r="DD8" s="1192"/>
      <c r="DE8" s="1192"/>
      <c r="DF8" s="1192"/>
      <c r="DG8" s="1192"/>
      <c r="DH8" s="1192"/>
      <c r="DI8" s="1192"/>
      <c r="DJ8" s="1192"/>
      <c r="DK8" s="1192"/>
      <c r="DL8" s="1192"/>
      <c r="DM8" s="1192"/>
      <c r="DN8" s="1192"/>
      <c r="DO8" s="1192"/>
      <c r="DP8" s="1192"/>
      <c r="DQ8" s="1192"/>
      <c r="DR8" s="1192"/>
      <c r="DS8" s="1192"/>
      <c r="DT8" s="1192"/>
      <c r="DU8" s="1192"/>
      <c r="DV8" s="1192"/>
      <c r="DW8" s="1192"/>
      <c r="DX8" s="1192"/>
      <c r="DY8" s="1192"/>
      <c r="DZ8" s="1192"/>
      <c r="EA8" s="1192"/>
      <c r="EB8" s="1192"/>
      <c r="EC8" s="1192"/>
      <c r="ED8" s="1192"/>
      <c r="EE8" s="1192"/>
      <c r="EF8" s="1192"/>
      <c r="EG8" s="1192"/>
      <c r="EH8" s="1192"/>
      <c r="EI8" s="1192"/>
      <c r="EJ8" s="1192"/>
      <c r="EK8" s="1192"/>
      <c r="EL8" s="1192"/>
      <c r="EM8" s="1192"/>
      <c r="EN8" s="1192"/>
      <c r="EO8" s="1192"/>
      <c r="EP8" s="1192"/>
      <c r="EQ8" s="1192"/>
      <c r="ER8" s="1192"/>
      <c r="ES8" s="1192"/>
      <c r="ET8" s="1192"/>
      <c r="EU8" s="1192"/>
      <c r="EV8" s="1192"/>
      <c r="EW8" s="1192"/>
      <c r="EX8" s="1192"/>
      <c r="EY8" s="1192"/>
      <c r="EZ8" s="1192"/>
      <c r="FA8" s="1192"/>
      <c r="FB8" s="1192"/>
      <c r="FC8" s="1192"/>
      <c r="FD8" s="1192"/>
      <c r="FE8" s="1192"/>
      <c r="FF8" s="1192"/>
      <c r="FG8" s="1192"/>
      <c r="FH8" s="1192"/>
      <c r="FI8" s="1192"/>
      <c r="FJ8" s="1192"/>
      <c r="FK8" s="1192"/>
      <c r="FL8" s="1192"/>
      <c r="FM8" s="1192"/>
      <c r="FN8" s="1192"/>
      <c r="FO8" s="1192"/>
      <c r="FP8" s="1192"/>
      <c r="FQ8" s="1192"/>
      <c r="FR8" s="1192"/>
      <c r="FS8" s="1192"/>
      <c r="FT8" s="1192"/>
      <c r="FU8" s="1192"/>
      <c r="FV8" s="1192"/>
      <c r="FW8" s="1192"/>
      <c r="FX8" s="1192"/>
      <c r="FY8" s="1192"/>
      <c r="FZ8" s="1192"/>
      <c r="GA8" s="1192"/>
      <c r="GB8" s="1192"/>
      <c r="GC8" s="1192"/>
      <c r="GD8" s="1192"/>
      <c r="GE8" s="1192"/>
      <c r="GF8" s="1192"/>
      <c r="GG8" s="1192"/>
      <c r="GH8" s="1192"/>
      <c r="GI8" s="1192"/>
      <c r="GJ8" s="1192"/>
      <c r="GK8" s="1192"/>
      <c r="GL8" s="1192"/>
      <c r="GM8" s="1192"/>
      <c r="GN8" s="1192"/>
      <c r="GO8" s="1192"/>
      <c r="GP8" s="1192"/>
      <c r="GQ8" s="1192"/>
      <c r="GR8" s="1192"/>
      <c r="GS8" s="1192"/>
      <c r="GT8" s="1192"/>
      <c r="GU8" s="1192"/>
      <c r="GV8" s="1192"/>
      <c r="GW8" s="1192"/>
      <c r="GX8" s="1192"/>
      <c r="GY8" s="1192"/>
      <c r="GZ8" s="1192"/>
      <c r="HA8" s="1192"/>
      <c r="HB8" s="1192"/>
      <c r="HC8" s="1192"/>
      <c r="HD8" s="1192"/>
      <c r="HE8" s="1192"/>
      <c r="HF8" s="1192"/>
      <c r="HG8" s="1192"/>
      <c r="HH8" s="1192"/>
      <c r="HI8" s="1192"/>
      <c r="HJ8" s="1192"/>
      <c r="HK8" s="1192"/>
      <c r="HL8" s="1192"/>
      <c r="HM8" s="1192"/>
      <c r="HN8" s="1192"/>
      <c r="HO8" s="1192"/>
      <c r="HP8" s="1192"/>
      <c r="HQ8" s="1192"/>
      <c r="HR8" s="1192"/>
      <c r="HS8" s="1192"/>
      <c r="HT8" s="1192"/>
      <c r="HU8" s="1192"/>
      <c r="HV8" s="1192"/>
      <c r="HW8" s="1192"/>
      <c r="HX8" s="1192"/>
      <c r="HY8" s="1192"/>
      <c r="HZ8" s="1192"/>
      <c r="IA8" s="1192"/>
      <c r="IB8" s="1192"/>
    </row>
    <row r="9" spans="1:7" s="1218" customFormat="1" ht="16.5" thickBot="1" thickTop="1">
      <c r="A9" s="1213"/>
      <c r="B9" s="1224" t="s">
        <v>597</v>
      </c>
      <c r="C9" s="1215"/>
      <c r="D9" s="1216">
        <f>SUM(D10:D13)</f>
        <v>4966.7</v>
      </c>
      <c r="E9" s="1216">
        <f>SUM(E10:E13)</f>
        <v>4870.29</v>
      </c>
      <c r="F9" s="1216">
        <f>SUM(F10:F13)</f>
        <v>1258.446</v>
      </c>
      <c r="G9" s="1217">
        <f aca="true" t="shared" si="0" ref="G9:G14">F9/E9*100</f>
        <v>25.839241605736003</v>
      </c>
    </row>
    <row r="10" spans="1:7" s="1212" customFormat="1" ht="16.5" customHeight="1" thickTop="1">
      <c r="A10" s="1219">
        <v>60015</v>
      </c>
      <c r="B10" s="1225" t="s">
        <v>620</v>
      </c>
      <c r="C10" s="1221">
        <v>4270</v>
      </c>
      <c r="D10" s="1226">
        <v>1950</v>
      </c>
      <c r="E10" s="1226">
        <v>1865.15</v>
      </c>
      <c r="F10" s="1227">
        <v>572.788</v>
      </c>
      <c r="G10" s="1228">
        <f t="shared" si="0"/>
        <v>30.710023322520975</v>
      </c>
    </row>
    <row r="11" spans="1:7" s="1212" customFormat="1" ht="16.5" customHeight="1">
      <c r="A11" s="1219">
        <v>60016</v>
      </c>
      <c r="B11" s="1225" t="s">
        <v>621</v>
      </c>
      <c r="C11" s="1221">
        <v>4270</v>
      </c>
      <c r="D11" s="1226">
        <v>2020</v>
      </c>
      <c r="E11" s="1226">
        <v>1916.889</v>
      </c>
      <c r="F11" s="1227">
        <v>574</v>
      </c>
      <c r="G11" s="1228">
        <f t="shared" si="0"/>
        <v>29.94435254206164</v>
      </c>
    </row>
    <row r="12" spans="1:7" s="1212" customFormat="1" ht="16.5" customHeight="1">
      <c r="A12" s="1219">
        <v>60017</v>
      </c>
      <c r="B12" s="1225" t="s">
        <v>622</v>
      </c>
      <c r="C12" s="1221">
        <v>4270</v>
      </c>
      <c r="D12" s="1226">
        <v>991.7</v>
      </c>
      <c r="E12" s="1226">
        <v>1083.251</v>
      </c>
      <c r="F12" s="1227">
        <v>109.724</v>
      </c>
      <c r="G12" s="1228">
        <f t="shared" si="0"/>
        <v>10.129139045336677</v>
      </c>
    </row>
    <row r="13" spans="1:7" s="1212" customFormat="1" ht="16.5" customHeight="1" thickBot="1">
      <c r="A13" s="1219">
        <v>60095</v>
      </c>
      <c r="B13" s="1225" t="s">
        <v>372</v>
      </c>
      <c r="C13" s="1221">
        <v>4270</v>
      </c>
      <c r="D13" s="1226">
        <v>5</v>
      </c>
      <c r="E13" s="1226">
        <v>5</v>
      </c>
      <c r="F13" s="1227">
        <v>1.934</v>
      </c>
      <c r="G13" s="1228">
        <f t="shared" si="0"/>
        <v>38.68</v>
      </c>
    </row>
    <row r="14" spans="1:7" s="1218" customFormat="1" ht="16.5" hidden="1" thickBot="1" thickTop="1">
      <c r="A14" s="1213"/>
      <c r="B14" s="1214" t="s">
        <v>600</v>
      </c>
      <c r="C14" s="1215"/>
      <c r="D14" s="1216">
        <f>SUM(D15)</f>
        <v>0</v>
      </c>
      <c r="E14" s="1216">
        <f>SUM(E15)</f>
        <v>0</v>
      </c>
      <c r="F14" s="1216">
        <f>SUM(F15)</f>
        <v>0</v>
      </c>
      <c r="G14" s="1217" t="e">
        <f t="shared" si="0"/>
        <v>#DIV/0!</v>
      </c>
    </row>
    <row r="15" spans="1:236" ht="18" customHeight="1" hidden="1" thickBot="1" thickTop="1">
      <c r="A15" s="1219">
        <v>70001</v>
      </c>
      <c r="B15" s="1220" t="s">
        <v>296</v>
      </c>
      <c r="C15" s="1221">
        <v>2510</v>
      </c>
      <c r="D15" s="1222"/>
      <c r="E15" s="1222"/>
      <c r="F15" s="1222"/>
      <c r="G15" s="1223">
        <v>0</v>
      </c>
      <c r="H15" s="1192"/>
      <c r="I15" s="1192"/>
      <c r="J15" s="1192"/>
      <c r="K15" s="1192"/>
      <c r="L15" s="1192"/>
      <c r="M15" s="1192"/>
      <c r="N15" s="1192"/>
      <c r="O15" s="1192"/>
      <c r="P15" s="1192"/>
      <c r="Q15" s="1192"/>
      <c r="R15" s="1192"/>
      <c r="S15" s="1192"/>
      <c r="T15" s="1192"/>
      <c r="U15" s="1192"/>
      <c r="V15" s="1192"/>
      <c r="W15" s="1192"/>
      <c r="X15" s="1192"/>
      <c r="Y15" s="1192"/>
      <c r="Z15" s="1192"/>
      <c r="AA15" s="1192"/>
      <c r="AB15" s="1192"/>
      <c r="AC15" s="1192"/>
      <c r="AD15" s="1192"/>
      <c r="AE15" s="1192"/>
      <c r="AF15" s="1192"/>
      <c r="AG15" s="1192"/>
      <c r="AH15" s="1192"/>
      <c r="AI15" s="1192"/>
      <c r="AJ15" s="1192"/>
      <c r="AK15" s="1192"/>
      <c r="AL15" s="1192"/>
      <c r="AM15" s="1192"/>
      <c r="AN15" s="1192"/>
      <c r="AO15" s="1192"/>
      <c r="AP15" s="1192"/>
      <c r="AQ15" s="1192"/>
      <c r="AR15" s="1192"/>
      <c r="AS15" s="1192"/>
      <c r="AT15" s="1192"/>
      <c r="AU15" s="1192"/>
      <c r="AV15" s="1192"/>
      <c r="AW15" s="1192"/>
      <c r="AX15" s="1192"/>
      <c r="AY15" s="1192"/>
      <c r="AZ15" s="1192"/>
      <c r="BA15" s="1192"/>
      <c r="BB15" s="1192"/>
      <c r="BC15" s="1192"/>
      <c r="BD15" s="1192"/>
      <c r="BE15" s="1192"/>
      <c r="BF15" s="1192"/>
      <c r="BG15" s="1192"/>
      <c r="BH15" s="1192"/>
      <c r="BI15" s="1192"/>
      <c r="BJ15" s="1192"/>
      <c r="BK15" s="1192"/>
      <c r="BL15" s="1192"/>
      <c r="BM15" s="1192"/>
      <c r="BN15" s="1192"/>
      <c r="BO15" s="1192"/>
      <c r="BP15" s="1192"/>
      <c r="BQ15" s="1192"/>
      <c r="BR15" s="1192"/>
      <c r="BS15" s="1192"/>
      <c r="BT15" s="1192"/>
      <c r="BU15" s="1192"/>
      <c r="BV15" s="1192"/>
      <c r="BW15" s="1192"/>
      <c r="BX15" s="1192"/>
      <c r="BY15" s="1192"/>
      <c r="BZ15" s="1192"/>
      <c r="CA15" s="1192"/>
      <c r="CB15" s="1192"/>
      <c r="CC15" s="1192"/>
      <c r="CD15" s="1192"/>
      <c r="CE15" s="1192"/>
      <c r="CF15" s="1192"/>
      <c r="CG15" s="1192"/>
      <c r="CH15" s="1192"/>
      <c r="CI15" s="1192"/>
      <c r="CJ15" s="1192"/>
      <c r="CK15" s="1192"/>
      <c r="CL15" s="1192"/>
      <c r="CM15" s="1192"/>
      <c r="CN15" s="1192"/>
      <c r="CO15" s="1192"/>
      <c r="CP15" s="1192"/>
      <c r="CQ15" s="1192"/>
      <c r="CR15" s="1192"/>
      <c r="CS15" s="1192"/>
      <c r="CT15" s="1192"/>
      <c r="CU15" s="1192"/>
      <c r="CV15" s="1192"/>
      <c r="CW15" s="1192"/>
      <c r="CX15" s="1192"/>
      <c r="CY15" s="1192"/>
      <c r="CZ15" s="1192"/>
      <c r="DA15" s="1192"/>
      <c r="DB15" s="1192"/>
      <c r="DC15" s="1192"/>
      <c r="DD15" s="1192"/>
      <c r="DE15" s="1192"/>
      <c r="DF15" s="1192"/>
      <c r="DG15" s="1192"/>
      <c r="DH15" s="1192"/>
      <c r="DI15" s="1192"/>
      <c r="DJ15" s="1192"/>
      <c r="DK15" s="1192"/>
      <c r="DL15" s="1192"/>
      <c r="DM15" s="1192"/>
      <c r="DN15" s="1192"/>
      <c r="DO15" s="1192"/>
      <c r="DP15" s="1192"/>
      <c r="DQ15" s="1192"/>
      <c r="DR15" s="1192"/>
      <c r="DS15" s="1192"/>
      <c r="DT15" s="1192"/>
      <c r="DU15" s="1192"/>
      <c r="DV15" s="1192"/>
      <c r="DW15" s="1192"/>
      <c r="DX15" s="1192"/>
      <c r="DY15" s="1192"/>
      <c r="DZ15" s="1192"/>
      <c r="EA15" s="1192"/>
      <c r="EB15" s="1192"/>
      <c r="EC15" s="1192"/>
      <c r="ED15" s="1192"/>
      <c r="EE15" s="1192"/>
      <c r="EF15" s="1192"/>
      <c r="EG15" s="1192"/>
      <c r="EH15" s="1192"/>
      <c r="EI15" s="1192"/>
      <c r="EJ15" s="1192"/>
      <c r="EK15" s="1192"/>
      <c r="EL15" s="1192"/>
      <c r="EM15" s="1192"/>
      <c r="EN15" s="1192"/>
      <c r="EO15" s="1192"/>
      <c r="EP15" s="1192"/>
      <c r="EQ15" s="1192"/>
      <c r="ER15" s="1192"/>
      <c r="ES15" s="1192"/>
      <c r="ET15" s="1192"/>
      <c r="EU15" s="1192"/>
      <c r="EV15" s="1192"/>
      <c r="EW15" s="1192"/>
      <c r="EX15" s="1192"/>
      <c r="EY15" s="1192"/>
      <c r="EZ15" s="1192"/>
      <c r="FA15" s="1192"/>
      <c r="FB15" s="1192"/>
      <c r="FC15" s="1192"/>
      <c r="FD15" s="1192"/>
      <c r="FE15" s="1192"/>
      <c r="FF15" s="1192"/>
      <c r="FG15" s="1192"/>
      <c r="FH15" s="1192"/>
      <c r="FI15" s="1192"/>
      <c r="FJ15" s="1192"/>
      <c r="FK15" s="1192"/>
      <c r="FL15" s="1192"/>
      <c r="FM15" s="1192"/>
      <c r="FN15" s="1192"/>
      <c r="FO15" s="1192"/>
      <c r="FP15" s="1192"/>
      <c r="FQ15" s="1192"/>
      <c r="FR15" s="1192"/>
      <c r="FS15" s="1192"/>
      <c r="FT15" s="1192"/>
      <c r="FU15" s="1192"/>
      <c r="FV15" s="1192"/>
      <c r="FW15" s="1192"/>
      <c r="FX15" s="1192"/>
      <c r="FY15" s="1192"/>
      <c r="FZ15" s="1192"/>
      <c r="GA15" s="1192"/>
      <c r="GB15" s="1192"/>
      <c r="GC15" s="1192"/>
      <c r="GD15" s="1192"/>
      <c r="GE15" s="1192"/>
      <c r="GF15" s="1192"/>
      <c r="GG15" s="1192"/>
      <c r="GH15" s="1192"/>
      <c r="GI15" s="1192"/>
      <c r="GJ15" s="1192"/>
      <c r="GK15" s="1192"/>
      <c r="GL15" s="1192"/>
      <c r="GM15" s="1192"/>
      <c r="GN15" s="1192"/>
      <c r="GO15" s="1192"/>
      <c r="GP15" s="1192"/>
      <c r="GQ15" s="1192"/>
      <c r="GR15" s="1192"/>
      <c r="GS15" s="1192"/>
      <c r="GT15" s="1192"/>
      <c r="GU15" s="1192"/>
      <c r="GV15" s="1192"/>
      <c r="GW15" s="1192"/>
      <c r="GX15" s="1192"/>
      <c r="GY15" s="1192"/>
      <c r="GZ15" s="1192"/>
      <c r="HA15" s="1192"/>
      <c r="HB15" s="1192"/>
      <c r="HC15" s="1192"/>
      <c r="HD15" s="1192"/>
      <c r="HE15" s="1192"/>
      <c r="HF15" s="1192"/>
      <c r="HG15" s="1192"/>
      <c r="HH15" s="1192"/>
      <c r="HI15" s="1192"/>
      <c r="HJ15" s="1192"/>
      <c r="HK15" s="1192"/>
      <c r="HL15" s="1192"/>
      <c r="HM15" s="1192"/>
      <c r="HN15" s="1192"/>
      <c r="HO15" s="1192"/>
      <c r="HP15" s="1192"/>
      <c r="HQ15" s="1192"/>
      <c r="HR15" s="1192"/>
      <c r="HS15" s="1192"/>
      <c r="HT15" s="1192"/>
      <c r="HU15" s="1192"/>
      <c r="HV15" s="1192"/>
      <c r="HW15" s="1192"/>
      <c r="HX15" s="1192"/>
      <c r="HY15" s="1192"/>
      <c r="HZ15" s="1192"/>
      <c r="IA15" s="1192"/>
      <c r="IB15" s="1192"/>
    </row>
    <row r="16" spans="1:20" s="1218" customFormat="1" ht="16.5" thickBot="1" thickTop="1">
      <c r="A16" s="1213"/>
      <c r="B16" s="1214" t="s">
        <v>603</v>
      </c>
      <c r="C16" s="1215"/>
      <c r="D16" s="1216">
        <f>SUM(D17:D18)</f>
        <v>555</v>
      </c>
      <c r="E16" s="1229">
        <f>SUM(E17:E18)</f>
        <v>540.2</v>
      </c>
      <c r="F16" s="1229">
        <f>SUM(F17:F18)</f>
        <v>98.499</v>
      </c>
      <c r="G16" s="1217">
        <f aca="true" t="shared" si="1" ref="G16:G46">F16/E16*100</f>
        <v>18.23380229544613</v>
      </c>
      <c r="H16" s="1230"/>
      <c r="I16" s="1230"/>
      <c r="J16" s="1230"/>
      <c r="K16" s="1230"/>
      <c r="L16" s="1230"/>
      <c r="M16" s="1230"/>
      <c r="N16" s="1230"/>
      <c r="O16" s="1230"/>
      <c r="P16" s="1230"/>
      <c r="Q16" s="1230"/>
      <c r="R16" s="1230"/>
      <c r="S16" s="1230"/>
      <c r="T16" s="1230"/>
    </row>
    <row r="17" spans="1:236" ht="40.5" customHeight="1" thickTop="1">
      <c r="A17" s="1231">
        <v>75023</v>
      </c>
      <c r="B17" s="1232" t="s">
        <v>623</v>
      </c>
      <c r="C17" s="1233">
        <v>4270</v>
      </c>
      <c r="D17" s="1234">
        <v>555</v>
      </c>
      <c r="E17" s="1234">
        <v>540</v>
      </c>
      <c r="F17" s="1234">
        <v>98.499</v>
      </c>
      <c r="G17" s="1228">
        <f t="shared" si="1"/>
        <v>18.240555555555556</v>
      </c>
      <c r="H17" s="1235"/>
      <c r="I17" s="1235"/>
      <c r="J17" s="1235"/>
      <c r="K17" s="1235"/>
      <c r="L17" s="1235"/>
      <c r="M17" s="1235"/>
      <c r="N17" s="1235"/>
      <c r="O17" s="1235"/>
      <c r="P17" s="1235"/>
      <c r="Q17" s="1235"/>
      <c r="R17" s="1235"/>
      <c r="S17" s="1235"/>
      <c r="T17" s="1235"/>
      <c r="U17" s="1192"/>
      <c r="V17" s="1192"/>
      <c r="W17" s="1192"/>
      <c r="X17" s="1192"/>
      <c r="Y17" s="1192"/>
      <c r="Z17" s="1192"/>
      <c r="AA17" s="1192"/>
      <c r="AB17" s="1192"/>
      <c r="AC17" s="1192"/>
      <c r="AD17" s="1192"/>
      <c r="AE17" s="1192"/>
      <c r="AF17" s="1192"/>
      <c r="AG17" s="1192"/>
      <c r="AH17" s="1192"/>
      <c r="AI17" s="1192"/>
      <c r="AJ17" s="1192"/>
      <c r="AK17" s="1192"/>
      <c r="AL17" s="1192"/>
      <c r="AM17" s="1192"/>
      <c r="AN17" s="1192"/>
      <c r="AO17" s="1192"/>
      <c r="AP17" s="1192"/>
      <c r="AQ17" s="1192"/>
      <c r="AR17" s="1192"/>
      <c r="AS17" s="1192"/>
      <c r="AT17" s="1192"/>
      <c r="AU17" s="1192"/>
      <c r="AV17" s="1192"/>
      <c r="AW17" s="1192"/>
      <c r="AX17" s="1192"/>
      <c r="AY17" s="1192"/>
      <c r="AZ17" s="1192"/>
      <c r="BA17" s="1192"/>
      <c r="BB17" s="1192"/>
      <c r="BC17" s="1192"/>
      <c r="BD17" s="1192"/>
      <c r="BE17" s="1192"/>
      <c r="BF17" s="1192"/>
      <c r="BG17" s="1192"/>
      <c r="BH17" s="1192"/>
      <c r="BI17" s="1192"/>
      <c r="BJ17" s="1192"/>
      <c r="BK17" s="1192"/>
      <c r="BL17" s="1192"/>
      <c r="BM17" s="1192"/>
      <c r="BN17" s="1192"/>
      <c r="BO17" s="1192"/>
      <c r="BP17" s="1192"/>
      <c r="BQ17" s="1192"/>
      <c r="BR17" s="1192"/>
      <c r="BS17" s="1192"/>
      <c r="BT17" s="1192"/>
      <c r="BU17" s="1192"/>
      <c r="BV17" s="1192"/>
      <c r="BW17" s="1192"/>
      <c r="BX17" s="1192"/>
      <c r="BY17" s="1192"/>
      <c r="BZ17" s="1192"/>
      <c r="CA17" s="1192"/>
      <c r="CB17" s="1192"/>
      <c r="CC17" s="1192"/>
      <c r="CD17" s="1192"/>
      <c r="CE17" s="1192"/>
      <c r="CF17" s="1192"/>
      <c r="CG17" s="1192"/>
      <c r="CH17" s="1192"/>
      <c r="CI17" s="1192"/>
      <c r="CJ17" s="1192"/>
      <c r="CK17" s="1192"/>
      <c r="CL17" s="1192"/>
      <c r="CM17" s="1192"/>
      <c r="CN17" s="1192"/>
      <c r="CO17" s="1192"/>
      <c r="CP17" s="1192"/>
      <c r="CQ17" s="1192"/>
      <c r="CR17" s="1192"/>
      <c r="CS17" s="1192"/>
      <c r="CT17" s="1192"/>
      <c r="CU17" s="1192"/>
      <c r="CV17" s="1192"/>
      <c r="CW17" s="1192"/>
      <c r="CX17" s="1192"/>
      <c r="CY17" s="1192"/>
      <c r="CZ17" s="1192"/>
      <c r="DA17" s="1192"/>
      <c r="DB17" s="1192"/>
      <c r="DC17" s="1192"/>
      <c r="DD17" s="1192"/>
      <c r="DE17" s="1192"/>
      <c r="DF17" s="1192"/>
      <c r="DG17" s="1192"/>
      <c r="DH17" s="1192"/>
      <c r="DI17" s="1192"/>
      <c r="DJ17" s="1192"/>
      <c r="DK17" s="1192"/>
      <c r="DL17" s="1192"/>
      <c r="DM17" s="1192"/>
      <c r="DN17" s="1192"/>
      <c r="DO17" s="1192"/>
      <c r="DP17" s="1192"/>
      <c r="DQ17" s="1192"/>
      <c r="DR17" s="1192"/>
      <c r="DS17" s="1192"/>
      <c r="DT17" s="1192"/>
      <c r="DU17" s="1192"/>
      <c r="DV17" s="1192"/>
      <c r="DW17" s="1192"/>
      <c r="DX17" s="1192"/>
      <c r="DY17" s="1192"/>
      <c r="DZ17" s="1192"/>
      <c r="EA17" s="1192"/>
      <c r="EB17" s="1192"/>
      <c r="EC17" s="1192"/>
      <c r="ED17" s="1192"/>
      <c r="EE17" s="1192"/>
      <c r="EF17" s="1192"/>
      <c r="EG17" s="1192"/>
      <c r="EH17" s="1192"/>
      <c r="EI17" s="1192"/>
      <c r="EJ17" s="1192"/>
      <c r="EK17" s="1192"/>
      <c r="EL17" s="1192"/>
      <c r="EM17" s="1192"/>
      <c r="EN17" s="1192"/>
      <c r="EO17" s="1192"/>
      <c r="EP17" s="1192"/>
      <c r="EQ17" s="1192"/>
      <c r="ER17" s="1192"/>
      <c r="ES17" s="1192"/>
      <c r="ET17" s="1192"/>
      <c r="EU17" s="1192"/>
      <c r="EV17" s="1192"/>
      <c r="EW17" s="1192"/>
      <c r="EX17" s="1192"/>
      <c r="EY17" s="1192"/>
      <c r="EZ17" s="1192"/>
      <c r="FA17" s="1192"/>
      <c r="FB17" s="1192"/>
      <c r="FC17" s="1192"/>
      <c r="FD17" s="1192"/>
      <c r="FE17" s="1192"/>
      <c r="FF17" s="1192"/>
      <c r="FG17" s="1192"/>
      <c r="FH17" s="1192"/>
      <c r="FI17" s="1192"/>
      <c r="FJ17" s="1192"/>
      <c r="FK17" s="1192"/>
      <c r="FL17" s="1192"/>
      <c r="FM17" s="1192"/>
      <c r="FN17" s="1192"/>
      <c r="FO17" s="1192"/>
      <c r="FP17" s="1192"/>
      <c r="FQ17" s="1192"/>
      <c r="FR17" s="1192"/>
      <c r="FS17" s="1192"/>
      <c r="FT17" s="1192"/>
      <c r="FU17" s="1192"/>
      <c r="FV17" s="1192"/>
      <c r="FW17" s="1192"/>
      <c r="FX17" s="1192"/>
      <c r="FY17" s="1192"/>
      <c r="FZ17" s="1192"/>
      <c r="GA17" s="1192"/>
      <c r="GB17" s="1192"/>
      <c r="GC17" s="1192"/>
      <c r="GD17" s="1192"/>
      <c r="GE17" s="1192"/>
      <c r="GF17" s="1192"/>
      <c r="GG17" s="1192"/>
      <c r="GH17" s="1192"/>
      <c r="GI17" s="1192"/>
      <c r="GJ17" s="1192"/>
      <c r="GK17" s="1192"/>
      <c r="GL17" s="1192"/>
      <c r="GM17" s="1192"/>
      <c r="GN17" s="1192"/>
      <c r="GO17" s="1192"/>
      <c r="GP17" s="1192"/>
      <c r="GQ17" s="1192"/>
      <c r="GR17" s="1192"/>
      <c r="GS17" s="1192"/>
      <c r="GT17" s="1192"/>
      <c r="GU17" s="1192"/>
      <c r="GV17" s="1192"/>
      <c r="GW17" s="1192"/>
      <c r="GX17" s="1192"/>
      <c r="GY17" s="1192"/>
      <c r="GZ17" s="1192"/>
      <c r="HA17" s="1192"/>
      <c r="HB17" s="1192"/>
      <c r="HC17" s="1192"/>
      <c r="HD17" s="1192"/>
      <c r="HE17" s="1192"/>
      <c r="HF17" s="1192"/>
      <c r="HG17" s="1192"/>
      <c r="HH17" s="1192"/>
      <c r="HI17" s="1192"/>
      <c r="HJ17" s="1192"/>
      <c r="HK17" s="1192"/>
      <c r="HL17" s="1192"/>
      <c r="HM17" s="1192"/>
      <c r="HN17" s="1192"/>
      <c r="HO17" s="1192"/>
      <c r="HP17" s="1192"/>
      <c r="HQ17" s="1192"/>
      <c r="HR17" s="1192"/>
      <c r="HS17" s="1192"/>
      <c r="HT17" s="1192"/>
      <c r="HU17" s="1192"/>
      <c r="HV17" s="1192"/>
      <c r="HW17" s="1192"/>
      <c r="HX17" s="1192"/>
      <c r="HY17" s="1192"/>
      <c r="HZ17" s="1192"/>
      <c r="IA17" s="1192"/>
      <c r="IB17" s="1192"/>
    </row>
    <row r="18" spans="1:236" ht="13.5" thickBot="1">
      <c r="A18" s="1246">
        <v>75045</v>
      </c>
      <c r="B18" s="2758" t="s">
        <v>261</v>
      </c>
      <c r="C18" s="1247">
        <v>4270</v>
      </c>
      <c r="D18" s="1222">
        <v>0</v>
      </c>
      <c r="E18" s="1222">
        <v>0.2</v>
      </c>
      <c r="F18" s="1222">
        <v>0</v>
      </c>
      <c r="G18" s="1228">
        <f t="shared" si="1"/>
        <v>0</v>
      </c>
      <c r="H18" s="1235"/>
      <c r="I18" s="1235"/>
      <c r="J18" s="1235"/>
      <c r="K18" s="1235"/>
      <c r="L18" s="1235"/>
      <c r="M18" s="1235"/>
      <c r="N18" s="1235"/>
      <c r="O18" s="1235"/>
      <c r="P18" s="1235"/>
      <c r="Q18" s="1235"/>
      <c r="R18" s="1235"/>
      <c r="S18" s="1235"/>
      <c r="T18" s="1235"/>
      <c r="U18" s="1192"/>
      <c r="V18" s="1192"/>
      <c r="W18" s="1192"/>
      <c r="X18" s="1192"/>
      <c r="Y18" s="1192"/>
      <c r="Z18" s="1192"/>
      <c r="AA18" s="1192"/>
      <c r="AB18" s="1192"/>
      <c r="AC18" s="1192"/>
      <c r="AD18" s="1192"/>
      <c r="AE18" s="1192"/>
      <c r="AF18" s="1192"/>
      <c r="AG18" s="1192"/>
      <c r="AH18" s="1192"/>
      <c r="AI18" s="1192"/>
      <c r="AJ18" s="1192"/>
      <c r="AK18" s="1192"/>
      <c r="AL18" s="1192"/>
      <c r="AM18" s="1192"/>
      <c r="AN18" s="1192"/>
      <c r="AO18" s="1192"/>
      <c r="AP18" s="1192"/>
      <c r="AQ18" s="1192"/>
      <c r="AR18" s="1192"/>
      <c r="AS18" s="1192"/>
      <c r="AT18" s="1192"/>
      <c r="AU18" s="1192"/>
      <c r="AV18" s="1192"/>
      <c r="AW18" s="1192"/>
      <c r="AX18" s="1192"/>
      <c r="AY18" s="1192"/>
      <c r="AZ18" s="1192"/>
      <c r="BA18" s="1192"/>
      <c r="BB18" s="1192"/>
      <c r="BC18" s="1192"/>
      <c r="BD18" s="1192"/>
      <c r="BE18" s="1192"/>
      <c r="BF18" s="1192"/>
      <c r="BG18" s="1192"/>
      <c r="BH18" s="1192"/>
      <c r="BI18" s="1192"/>
      <c r="BJ18" s="1192"/>
      <c r="BK18" s="1192"/>
      <c r="BL18" s="1192"/>
      <c r="BM18" s="1192"/>
      <c r="BN18" s="1192"/>
      <c r="BO18" s="1192"/>
      <c r="BP18" s="1192"/>
      <c r="BQ18" s="1192"/>
      <c r="BR18" s="1192"/>
      <c r="BS18" s="1192"/>
      <c r="BT18" s="1192"/>
      <c r="BU18" s="1192"/>
      <c r="BV18" s="1192"/>
      <c r="BW18" s="1192"/>
      <c r="BX18" s="1192"/>
      <c r="BY18" s="1192"/>
      <c r="BZ18" s="1192"/>
      <c r="CA18" s="1192"/>
      <c r="CB18" s="1192"/>
      <c r="CC18" s="1192"/>
      <c r="CD18" s="1192"/>
      <c r="CE18" s="1192"/>
      <c r="CF18" s="1192"/>
      <c r="CG18" s="1192"/>
      <c r="CH18" s="1192"/>
      <c r="CI18" s="1192"/>
      <c r="CJ18" s="1192"/>
      <c r="CK18" s="1192"/>
      <c r="CL18" s="1192"/>
      <c r="CM18" s="1192"/>
      <c r="CN18" s="1192"/>
      <c r="CO18" s="1192"/>
      <c r="CP18" s="1192"/>
      <c r="CQ18" s="1192"/>
      <c r="CR18" s="1192"/>
      <c r="CS18" s="1192"/>
      <c r="CT18" s="1192"/>
      <c r="CU18" s="1192"/>
      <c r="CV18" s="1192"/>
      <c r="CW18" s="1192"/>
      <c r="CX18" s="1192"/>
      <c r="CY18" s="1192"/>
      <c r="CZ18" s="1192"/>
      <c r="DA18" s="1192"/>
      <c r="DB18" s="1192"/>
      <c r="DC18" s="1192"/>
      <c r="DD18" s="1192"/>
      <c r="DE18" s="1192"/>
      <c r="DF18" s="1192"/>
      <c r="DG18" s="1192"/>
      <c r="DH18" s="1192"/>
      <c r="DI18" s="1192"/>
      <c r="DJ18" s="1192"/>
      <c r="DK18" s="1192"/>
      <c r="DL18" s="1192"/>
      <c r="DM18" s="1192"/>
      <c r="DN18" s="1192"/>
      <c r="DO18" s="1192"/>
      <c r="DP18" s="1192"/>
      <c r="DQ18" s="1192"/>
      <c r="DR18" s="1192"/>
      <c r="DS18" s="1192"/>
      <c r="DT18" s="1192"/>
      <c r="DU18" s="1192"/>
      <c r="DV18" s="1192"/>
      <c r="DW18" s="1192"/>
      <c r="DX18" s="1192"/>
      <c r="DY18" s="1192"/>
      <c r="DZ18" s="1192"/>
      <c r="EA18" s="1192"/>
      <c r="EB18" s="1192"/>
      <c r="EC18" s="1192"/>
      <c r="ED18" s="1192"/>
      <c r="EE18" s="1192"/>
      <c r="EF18" s="1192"/>
      <c r="EG18" s="1192"/>
      <c r="EH18" s="1192"/>
      <c r="EI18" s="1192"/>
      <c r="EJ18" s="1192"/>
      <c r="EK18" s="1192"/>
      <c r="EL18" s="1192"/>
      <c r="EM18" s="1192"/>
      <c r="EN18" s="1192"/>
      <c r="EO18" s="1192"/>
      <c r="EP18" s="1192"/>
      <c r="EQ18" s="1192"/>
      <c r="ER18" s="1192"/>
      <c r="ES18" s="1192"/>
      <c r="ET18" s="1192"/>
      <c r="EU18" s="1192"/>
      <c r="EV18" s="1192"/>
      <c r="EW18" s="1192"/>
      <c r="EX18" s="1192"/>
      <c r="EY18" s="1192"/>
      <c r="EZ18" s="1192"/>
      <c r="FA18" s="1192"/>
      <c r="FB18" s="1192"/>
      <c r="FC18" s="1192"/>
      <c r="FD18" s="1192"/>
      <c r="FE18" s="1192"/>
      <c r="FF18" s="1192"/>
      <c r="FG18" s="1192"/>
      <c r="FH18" s="1192"/>
      <c r="FI18" s="1192"/>
      <c r="FJ18" s="1192"/>
      <c r="FK18" s="1192"/>
      <c r="FL18" s="1192"/>
      <c r="FM18" s="1192"/>
      <c r="FN18" s="1192"/>
      <c r="FO18" s="1192"/>
      <c r="FP18" s="1192"/>
      <c r="FQ18" s="1192"/>
      <c r="FR18" s="1192"/>
      <c r="FS18" s="1192"/>
      <c r="FT18" s="1192"/>
      <c r="FU18" s="1192"/>
      <c r="FV18" s="1192"/>
      <c r="FW18" s="1192"/>
      <c r="FX18" s="1192"/>
      <c r="FY18" s="1192"/>
      <c r="FZ18" s="1192"/>
      <c r="GA18" s="1192"/>
      <c r="GB18" s="1192"/>
      <c r="GC18" s="1192"/>
      <c r="GD18" s="1192"/>
      <c r="GE18" s="1192"/>
      <c r="GF18" s="1192"/>
      <c r="GG18" s="1192"/>
      <c r="GH18" s="1192"/>
      <c r="GI18" s="1192"/>
      <c r="GJ18" s="1192"/>
      <c r="GK18" s="1192"/>
      <c r="GL18" s="1192"/>
      <c r="GM18" s="1192"/>
      <c r="GN18" s="1192"/>
      <c r="GO18" s="1192"/>
      <c r="GP18" s="1192"/>
      <c r="GQ18" s="1192"/>
      <c r="GR18" s="1192"/>
      <c r="GS18" s="1192"/>
      <c r="GT18" s="1192"/>
      <c r="GU18" s="1192"/>
      <c r="GV18" s="1192"/>
      <c r="GW18" s="1192"/>
      <c r="GX18" s="1192"/>
      <c r="GY18" s="1192"/>
      <c r="GZ18" s="1192"/>
      <c r="HA18" s="1192"/>
      <c r="HB18" s="1192"/>
      <c r="HC18" s="1192"/>
      <c r="HD18" s="1192"/>
      <c r="HE18" s="1192"/>
      <c r="HF18" s="1192"/>
      <c r="HG18" s="1192"/>
      <c r="HH18" s="1192"/>
      <c r="HI18" s="1192"/>
      <c r="HJ18" s="1192"/>
      <c r="HK18" s="1192"/>
      <c r="HL18" s="1192"/>
      <c r="HM18" s="1192"/>
      <c r="HN18" s="1192"/>
      <c r="HO18" s="1192"/>
      <c r="HP18" s="1192"/>
      <c r="HQ18" s="1192"/>
      <c r="HR18" s="1192"/>
      <c r="HS18" s="1192"/>
      <c r="HT18" s="1192"/>
      <c r="HU18" s="1192"/>
      <c r="HV18" s="1192"/>
      <c r="HW18" s="1192"/>
      <c r="HX18" s="1192"/>
      <c r="HY18" s="1192"/>
      <c r="HZ18" s="1192"/>
      <c r="IA18" s="1192"/>
      <c r="IB18" s="1192"/>
    </row>
    <row r="19" spans="1:7" s="1218" customFormat="1" ht="16.5" thickBot="1" thickTop="1">
      <c r="A19" s="1213"/>
      <c r="B19" s="1214" t="s">
        <v>605</v>
      </c>
      <c r="C19" s="1215"/>
      <c r="D19" s="1229">
        <f>SUM(D20:D20)</f>
        <v>60</v>
      </c>
      <c r="E19" s="1229">
        <f>SUM(E20:E20)</f>
        <v>60</v>
      </c>
      <c r="F19" s="1229">
        <f>SUM(F20:F20)</f>
        <v>12.334</v>
      </c>
      <c r="G19" s="1217">
        <f t="shared" si="1"/>
        <v>20.556666666666665</v>
      </c>
    </row>
    <row r="20" spans="1:236" ht="17.25" customHeight="1" thickBot="1" thickTop="1">
      <c r="A20" s="1219">
        <v>74511</v>
      </c>
      <c r="B20" s="1220" t="s">
        <v>378</v>
      </c>
      <c r="C20" s="1221">
        <v>4270</v>
      </c>
      <c r="D20" s="1222">
        <v>60</v>
      </c>
      <c r="E20" s="1222">
        <v>60</v>
      </c>
      <c r="F20" s="1222">
        <v>12.334</v>
      </c>
      <c r="G20" s="1228">
        <f t="shared" si="1"/>
        <v>20.556666666666665</v>
      </c>
      <c r="H20" s="1192"/>
      <c r="I20" s="1192"/>
      <c r="J20" s="1192"/>
      <c r="K20" s="1192"/>
      <c r="L20" s="1192"/>
      <c r="M20" s="1192"/>
      <c r="N20" s="1192"/>
      <c r="O20" s="1192"/>
      <c r="P20" s="1192"/>
      <c r="Q20" s="1192"/>
      <c r="R20" s="1192"/>
      <c r="S20" s="1192"/>
      <c r="T20" s="1192"/>
      <c r="U20" s="1192"/>
      <c r="V20" s="1192"/>
      <c r="W20" s="1192"/>
      <c r="X20" s="1192"/>
      <c r="Y20" s="1192"/>
      <c r="Z20" s="1192"/>
      <c r="AA20" s="1192"/>
      <c r="AB20" s="1192"/>
      <c r="AC20" s="1192"/>
      <c r="AD20" s="1192"/>
      <c r="AE20" s="1192"/>
      <c r="AF20" s="1192"/>
      <c r="AG20" s="1192"/>
      <c r="AH20" s="1192"/>
      <c r="AI20" s="1192"/>
      <c r="AJ20" s="1192"/>
      <c r="AK20" s="1192"/>
      <c r="AL20" s="1192"/>
      <c r="AM20" s="1192"/>
      <c r="AN20" s="1192"/>
      <c r="AO20" s="1192"/>
      <c r="AP20" s="1192"/>
      <c r="AQ20" s="1192"/>
      <c r="AR20" s="1192"/>
      <c r="AS20" s="1192"/>
      <c r="AT20" s="1192"/>
      <c r="AU20" s="1192"/>
      <c r="AV20" s="1192"/>
      <c r="AW20" s="1192"/>
      <c r="AX20" s="1192"/>
      <c r="AY20" s="1192"/>
      <c r="AZ20" s="1192"/>
      <c r="BA20" s="1192"/>
      <c r="BB20" s="1192"/>
      <c r="BC20" s="1192"/>
      <c r="BD20" s="1192"/>
      <c r="BE20" s="1192"/>
      <c r="BF20" s="1192"/>
      <c r="BG20" s="1192"/>
      <c r="BH20" s="1192"/>
      <c r="BI20" s="1192"/>
      <c r="BJ20" s="1192"/>
      <c r="BK20" s="1192"/>
      <c r="BL20" s="1192"/>
      <c r="BM20" s="1192"/>
      <c r="BN20" s="1192"/>
      <c r="BO20" s="1192"/>
      <c r="BP20" s="1192"/>
      <c r="BQ20" s="1192"/>
      <c r="BR20" s="1192"/>
      <c r="BS20" s="1192"/>
      <c r="BT20" s="1192"/>
      <c r="BU20" s="1192"/>
      <c r="BV20" s="1192"/>
      <c r="BW20" s="1192"/>
      <c r="BX20" s="1192"/>
      <c r="BY20" s="1192"/>
      <c r="BZ20" s="1192"/>
      <c r="CA20" s="1192"/>
      <c r="CB20" s="1192"/>
      <c r="CC20" s="1192"/>
      <c r="CD20" s="1192"/>
      <c r="CE20" s="1192"/>
      <c r="CF20" s="1192"/>
      <c r="CG20" s="1192"/>
      <c r="CH20" s="1192"/>
      <c r="CI20" s="1192"/>
      <c r="CJ20" s="1192"/>
      <c r="CK20" s="1192"/>
      <c r="CL20" s="1192"/>
      <c r="CM20" s="1192"/>
      <c r="CN20" s="1192"/>
      <c r="CO20" s="1192"/>
      <c r="CP20" s="1192"/>
      <c r="CQ20" s="1192"/>
      <c r="CR20" s="1192"/>
      <c r="CS20" s="1192"/>
      <c r="CT20" s="1192"/>
      <c r="CU20" s="1192"/>
      <c r="CV20" s="1192"/>
      <c r="CW20" s="1192"/>
      <c r="CX20" s="1192"/>
      <c r="CY20" s="1192"/>
      <c r="CZ20" s="1192"/>
      <c r="DA20" s="1192"/>
      <c r="DB20" s="1192"/>
      <c r="DC20" s="1192"/>
      <c r="DD20" s="1192"/>
      <c r="DE20" s="1192"/>
      <c r="DF20" s="1192"/>
      <c r="DG20" s="1192"/>
      <c r="DH20" s="1192"/>
      <c r="DI20" s="1192"/>
      <c r="DJ20" s="1192"/>
      <c r="DK20" s="1192"/>
      <c r="DL20" s="1192"/>
      <c r="DM20" s="1192"/>
      <c r="DN20" s="1192"/>
      <c r="DO20" s="1192"/>
      <c r="DP20" s="1192"/>
      <c r="DQ20" s="1192"/>
      <c r="DR20" s="1192"/>
      <c r="DS20" s="1192"/>
      <c r="DT20" s="1192"/>
      <c r="DU20" s="1192"/>
      <c r="DV20" s="1192"/>
      <c r="DW20" s="1192"/>
      <c r="DX20" s="1192"/>
      <c r="DY20" s="1192"/>
      <c r="DZ20" s="1192"/>
      <c r="EA20" s="1192"/>
      <c r="EB20" s="1192"/>
      <c r="EC20" s="1192"/>
      <c r="ED20" s="1192"/>
      <c r="EE20" s="1192"/>
      <c r="EF20" s="1192"/>
      <c r="EG20" s="1192"/>
      <c r="EH20" s="1192"/>
      <c r="EI20" s="1192"/>
      <c r="EJ20" s="1192"/>
      <c r="EK20" s="1192"/>
      <c r="EL20" s="1192"/>
      <c r="EM20" s="1192"/>
      <c r="EN20" s="1192"/>
      <c r="EO20" s="1192"/>
      <c r="EP20" s="1192"/>
      <c r="EQ20" s="1192"/>
      <c r="ER20" s="1192"/>
      <c r="ES20" s="1192"/>
      <c r="ET20" s="1192"/>
      <c r="EU20" s="1192"/>
      <c r="EV20" s="1192"/>
      <c r="EW20" s="1192"/>
      <c r="EX20" s="1192"/>
      <c r="EY20" s="1192"/>
      <c r="EZ20" s="1192"/>
      <c r="FA20" s="1192"/>
      <c r="FB20" s="1192"/>
      <c r="FC20" s="1192"/>
      <c r="FD20" s="1192"/>
      <c r="FE20" s="1192"/>
      <c r="FF20" s="1192"/>
      <c r="FG20" s="1192"/>
      <c r="FH20" s="1192"/>
      <c r="FI20" s="1192"/>
      <c r="FJ20" s="1192"/>
      <c r="FK20" s="1192"/>
      <c r="FL20" s="1192"/>
      <c r="FM20" s="1192"/>
      <c r="FN20" s="1192"/>
      <c r="FO20" s="1192"/>
      <c r="FP20" s="1192"/>
      <c r="FQ20" s="1192"/>
      <c r="FR20" s="1192"/>
      <c r="FS20" s="1192"/>
      <c r="FT20" s="1192"/>
      <c r="FU20" s="1192"/>
      <c r="FV20" s="1192"/>
      <c r="FW20" s="1192"/>
      <c r="FX20" s="1192"/>
      <c r="FY20" s="1192"/>
      <c r="FZ20" s="1192"/>
      <c r="GA20" s="1192"/>
      <c r="GB20" s="1192"/>
      <c r="GC20" s="1192"/>
      <c r="GD20" s="1192"/>
      <c r="GE20" s="1192"/>
      <c r="GF20" s="1192"/>
      <c r="GG20" s="1192"/>
      <c r="GH20" s="1192"/>
      <c r="GI20" s="1192"/>
      <c r="GJ20" s="1192"/>
      <c r="GK20" s="1192"/>
      <c r="GL20" s="1192"/>
      <c r="GM20" s="1192"/>
      <c r="GN20" s="1192"/>
      <c r="GO20" s="1192"/>
      <c r="GP20" s="1192"/>
      <c r="GQ20" s="1192"/>
      <c r="GR20" s="1192"/>
      <c r="GS20" s="1192"/>
      <c r="GT20" s="1192"/>
      <c r="GU20" s="1192"/>
      <c r="GV20" s="1192"/>
      <c r="GW20" s="1192"/>
      <c r="GX20" s="1192"/>
      <c r="GY20" s="1192"/>
      <c r="GZ20" s="1192"/>
      <c r="HA20" s="1192"/>
      <c r="HB20" s="1192"/>
      <c r="HC20" s="1192"/>
      <c r="HD20" s="1192"/>
      <c r="HE20" s="1192"/>
      <c r="HF20" s="1192"/>
      <c r="HG20" s="1192"/>
      <c r="HH20" s="1192"/>
      <c r="HI20" s="1192"/>
      <c r="HJ20" s="1192"/>
      <c r="HK20" s="1192"/>
      <c r="HL20" s="1192"/>
      <c r="HM20" s="1192"/>
      <c r="HN20" s="1192"/>
      <c r="HO20" s="1192"/>
      <c r="HP20" s="1192"/>
      <c r="HQ20" s="1192"/>
      <c r="HR20" s="1192"/>
      <c r="HS20" s="1192"/>
      <c r="HT20" s="1192"/>
      <c r="HU20" s="1192"/>
      <c r="HV20" s="1192"/>
      <c r="HW20" s="1192"/>
      <c r="HX20" s="1192"/>
      <c r="HY20" s="1192"/>
      <c r="HZ20" s="1192"/>
      <c r="IA20" s="1192"/>
      <c r="IB20" s="1192"/>
    </row>
    <row r="21" spans="1:7" s="1218" customFormat="1" ht="16.5" thickBot="1" thickTop="1">
      <c r="A21" s="1213"/>
      <c r="B21" s="1214" t="s">
        <v>606</v>
      </c>
      <c r="C21" s="1215"/>
      <c r="D21" s="1229">
        <f>SUM(D22:D23)</f>
        <v>449.8</v>
      </c>
      <c r="E21" s="1229">
        <f>SUM(E22:E23)</f>
        <v>579.35</v>
      </c>
      <c r="F21" s="1229">
        <f>SUM(F22:F23)</f>
        <v>271.302</v>
      </c>
      <c r="G21" s="1217">
        <f t="shared" si="1"/>
        <v>46.82868732199879</v>
      </c>
    </row>
    <row r="22" spans="1:7" s="1235" customFormat="1" ht="13.5" customHeight="1" thickTop="1">
      <c r="A22" s="1219"/>
      <c r="B22" s="1220" t="s">
        <v>624</v>
      </c>
      <c r="C22" s="1221">
        <v>4270</v>
      </c>
      <c r="D22" s="1222">
        <f>449.8-234</f>
        <v>215.8</v>
      </c>
      <c r="E22" s="1222">
        <f>579.35-334</f>
        <v>245.35000000000002</v>
      </c>
      <c r="F22" s="1222">
        <v>100.62</v>
      </c>
      <c r="G22" s="1228">
        <f t="shared" si="1"/>
        <v>41.01080089667821</v>
      </c>
    </row>
    <row r="23" spans="1:7" s="1241" customFormat="1" ht="13.5" customHeight="1" thickBot="1">
      <c r="A23" s="1236">
        <v>80195</v>
      </c>
      <c r="B23" s="1237" t="s">
        <v>1189</v>
      </c>
      <c r="C23" s="1238">
        <v>4270</v>
      </c>
      <c r="D23" s="1239">
        <v>234</v>
      </c>
      <c r="E23" s="1239">
        <v>334</v>
      </c>
      <c r="F23" s="1240">
        <v>170.682</v>
      </c>
      <c r="G23" s="1228">
        <f t="shared" si="1"/>
        <v>51.102395209580834</v>
      </c>
    </row>
    <row r="24" spans="1:7" s="1218" customFormat="1" ht="16.5" hidden="1" thickBot="1" thickTop="1">
      <c r="A24" s="1213"/>
      <c r="B24" s="1214" t="s">
        <v>625</v>
      </c>
      <c r="C24" s="1215"/>
      <c r="D24" s="1229">
        <f>SUM(D25)</f>
        <v>0</v>
      </c>
      <c r="E24" s="1229">
        <f>E25+E26</f>
        <v>0</v>
      </c>
      <c r="F24" s="1229">
        <f>F25</f>
        <v>0</v>
      </c>
      <c r="G24" s="1217" t="e">
        <f>F24/E24*100</f>
        <v>#DIV/0!</v>
      </c>
    </row>
    <row r="25" spans="1:7" s="1235" customFormat="1" ht="14.25" hidden="1" thickBot="1" thickTop="1">
      <c r="A25" s="1242">
        <v>85158</v>
      </c>
      <c r="B25" s="1232" t="s">
        <v>626</v>
      </c>
      <c r="C25" s="1233">
        <v>4270</v>
      </c>
      <c r="D25" s="1234">
        <v>0</v>
      </c>
      <c r="E25" s="1234">
        <v>0</v>
      </c>
      <c r="F25" s="1243">
        <v>0</v>
      </c>
      <c r="G25" s="1228" t="e">
        <f t="shared" si="1"/>
        <v>#DIV/0!</v>
      </c>
    </row>
    <row r="26" spans="1:236" ht="13.5" hidden="1" thickBot="1">
      <c r="A26" s="1219">
        <v>85195</v>
      </c>
      <c r="B26" s="1220" t="s">
        <v>627</v>
      </c>
      <c r="C26" s="1221">
        <v>4270</v>
      </c>
      <c r="D26" s="1222"/>
      <c r="E26" s="1222">
        <v>0</v>
      </c>
      <c r="F26" s="1222">
        <v>0</v>
      </c>
      <c r="G26" s="1228" t="e">
        <f t="shared" si="1"/>
        <v>#DIV/0!</v>
      </c>
      <c r="H26" s="1192"/>
      <c r="I26" s="1192"/>
      <c r="J26" s="1192"/>
      <c r="K26" s="1192"/>
      <c r="L26" s="1192"/>
      <c r="M26" s="1192"/>
      <c r="N26" s="1192"/>
      <c r="O26" s="1192"/>
      <c r="P26" s="1192"/>
      <c r="Q26" s="1192"/>
      <c r="R26" s="1192"/>
      <c r="S26" s="1192"/>
      <c r="T26" s="1192"/>
      <c r="U26" s="1192"/>
      <c r="V26" s="1192"/>
      <c r="W26" s="1192"/>
      <c r="X26" s="1192"/>
      <c r="Y26" s="1192"/>
      <c r="Z26" s="1192"/>
      <c r="AA26" s="1192"/>
      <c r="AB26" s="1192"/>
      <c r="AC26" s="1192"/>
      <c r="AD26" s="1192"/>
      <c r="AE26" s="1192"/>
      <c r="AF26" s="1192"/>
      <c r="AG26" s="1192"/>
      <c r="AH26" s="1192"/>
      <c r="AI26" s="1192"/>
      <c r="AJ26" s="1192"/>
      <c r="AK26" s="1192"/>
      <c r="AL26" s="1192"/>
      <c r="AM26" s="1192"/>
      <c r="AN26" s="1192"/>
      <c r="AO26" s="1192"/>
      <c r="AP26" s="1192"/>
      <c r="AQ26" s="1192"/>
      <c r="AR26" s="1192"/>
      <c r="AS26" s="1192"/>
      <c r="AT26" s="1192"/>
      <c r="AU26" s="1192"/>
      <c r="AV26" s="1192"/>
      <c r="AW26" s="1192"/>
      <c r="AX26" s="1192"/>
      <c r="AY26" s="1192"/>
      <c r="AZ26" s="1192"/>
      <c r="BA26" s="1192"/>
      <c r="BB26" s="1192"/>
      <c r="BC26" s="1192"/>
      <c r="BD26" s="1192"/>
      <c r="BE26" s="1192"/>
      <c r="BF26" s="1192"/>
      <c r="BG26" s="1192"/>
      <c r="BH26" s="1192"/>
      <c r="BI26" s="1192"/>
      <c r="BJ26" s="1192"/>
      <c r="BK26" s="1192"/>
      <c r="BL26" s="1192"/>
      <c r="BM26" s="1192"/>
      <c r="BN26" s="1192"/>
      <c r="BO26" s="1192"/>
      <c r="BP26" s="1192"/>
      <c r="BQ26" s="1192"/>
      <c r="BR26" s="1192"/>
      <c r="BS26" s="1192"/>
      <c r="BT26" s="1192"/>
      <c r="BU26" s="1192"/>
      <c r="BV26" s="1192"/>
      <c r="BW26" s="1192"/>
      <c r="BX26" s="1192"/>
      <c r="BY26" s="1192"/>
      <c r="BZ26" s="1192"/>
      <c r="CA26" s="1192"/>
      <c r="CB26" s="1192"/>
      <c r="CC26" s="1192"/>
      <c r="CD26" s="1192"/>
      <c r="CE26" s="1192"/>
      <c r="CF26" s="1192"/>
      <c r="CG26" s="1192"/>
      <c r="CH26" s="1192"/>
      <c r="CI26" s="1192"/>
      <c r="CJ26" s="1192"/>
      <c r="CK26" s="1192"/>
      <c r="CL26" s="1192"/>
      <c r="CM26" s="1192"/>
      <c r="CN26" s="1192"/>
      <c r="CO26" s="1192"/>
      <c r="CP26" s="1192"/>
      <c r="CQ26" s="1192"/>
      <c r="CR26" s="1192"/>
      <c r="CS26" s="1192"/>
      <c r="CT26" s="1192"/>
      <c r="CU26" s="1192"/>
      <c r="CV26" s="1192"/>
      <c r="CW26" s="1192"/>
      <c r="CX26" s="1192"/>
      <c r="CY26" s="1192"/>
      <c r="CZ26" s="1192"/>
      <c r="DA26" s="1192"/>
      <c r="DB26" s="1192"/>
      <c r="DC26" s="1192"/>
      <c r="DD26" s="1192"/>
      <c r="DE26" s="1192"/>
      <c r="DF26" s="1192"/>
      <c r="DG26" s="1192"/>
      <c r="DH26" s="1192"/>
      <c r="DI26" s="1192"/>
      <c r="DJ26" s="1192"/>
      <c r="DK26" s="1192"/>
      <c r="DL26" s="1192"/>
      <c r="DM26" s="1192"/>
      <c r="DN26" s="1192"/>
      <c r="DO26" s="1192"/>
      <c r="DP26" s="1192"/>
      <c r="DQ26" s="1192"/>
      <c r="DR26" s="1192"/>
      <c r="DS26" s="1192"/>
      <c r="DT26" s="1192"/>
      <c r="DU26" s="1192"/>
      <c r="DV26" s="1192"/>
      <c r="DW26" s="1192"/>
      <c r="DX26" s="1192"/>
      <c r="DY26" s="1192"/>
      <c r="DZ26" s="1192"/>
      <c r="EA26" s="1192"/>
      <c r="EB26" s="1192"/>
      <c r="EC26" s="1192"/>
      <c r="ED26" s="1192"/>
      <c r="EE26" s="1192"/>
      <c r="EF26" s="1192"/>
      <c r="EG26" s="1192"/>
      <c r="EH26" s="1192"/>
      <c r="EI26" s="1192"/>
      <c r="EJ26" s="1192"/>
      <c r="EK26" s="1192"/>
      <c r="EL26" s="1192"/>
      <c r="EM26" s="1192"/>
      <c r="EN26" s="1192"/>
      <c r="EO26" s="1192"/>
      <c r="EP26" s="1192"/>
      <c r="EQ26" s="1192"/>
      <c r="ER26" s="1192"/>
      <c r="ES26" s="1192"/>
      <c r="ET26" s="1192"/>
      <c r="EU26" s="1192"/>
      <c r="EV26" s="1192"/>
      <c r="EW26" s="1192"/>
      <c r="EX26" s="1192"/>
      <c r="EY26" s="1192"/>
      <c r="EZ26" s="1192"/>
      <c r="FA26" s="1192"/>
      <c r="FB26" s="1192"/>
      <c r="FC26" s="1192"/>
      <c r="FD26" s="1192"/>
      <c r="FE26" s="1192"/>
      <c r="FF26" s="1192"/>
      <c r="FG26" s="1192"/>
      <c r="FH26" s="1192"/>
      <c r="FI26" s="1192"/>
      <c r="FJ26" s="1192"/>
      <c r="FK26" s="1192"/>
      <c r="FL26" s="1192"/>
      <c r="FM26" s="1192"/>
      <c r="FN26" s="1192"/>
      <c r="FO26" s="1192"/>
      <c r="FP26" s="1192"/>
      <c r="FQ26" s="1192"/>
      <c r="FR26" s="1192"/>
      <c r="FS26" s="1192"/>
      <c r="FT26" s="1192"/>
      <c r="FU26" s="1192"/>
      <c r="FV26" s="1192"/>
      <c r="FW26" s="1192"/>
      <c r="FX26" s="1192"/>
      <c r="FY26" s="1192"/>
      <c r="FZ26" s="1192"/>
      <c r="GA26" s="1192"/>
      <c r="GB26" s="1192"/>
      <c r="GC26" s="1192"/>
      <c r="GD26" s="1192"/>
      <c r="GE26" s="1192"/>
      <c r="GF26" s="1192"/>
      <c r="GG26" s="1192"/>
      <c r="GH26" s="1192"/>
      <c r="GI26" s="1192"/>
      <c r="GJ26" s="1192"/>
      <c r="GK26" s="1192"/>
      <c r="GL26" s="1192"/>
      <c r="GM26" s="1192"/>
      <c r="GN26" s="1192"/>
      <c r="GO26" s="1192"/>
      <c r="GP26" s="1192"/>
      <c r="GQ26" s="1192"/>
      <c r="GR26" s="1192"/>
      <c r="GS26" s="1192"/>
      <c r="GT26" s="1192"/>
      <c r="GU26" s="1192"/>
      <c r="GV26" s="1192"/>
      <c r="GW26" s="1192"/>
      <c r="GX26" s="1192"/>
      <c r="GY26" s="1192"/>
      <c r="GZ26" s="1192"/>
      <c r="HA26" s="1192"/>
      <c r="HB26" s="1192"/>
      <c r="HC26" s="1192"/>
      <c r="HD26" s="1192"/>
      <c r="HE26" s="1192"/>
      <c r="HF26" s="1192"/>
      <c r="HG26" s="1192"/>
      <c r="HH26" s="1192"/>
      <c r="HI26" s="1192"/>
      <c r="HJ26" s="1192"/>
      <c r="HK26" s="1192"/>
      <c r="HL26" s="1192"/>
      <c r="HM26" s="1192"/>
      <c r="HN26" s="1192"/>
      <c r="HO26" s="1192"/>
      <c r="HP26" s="1192"/>
      <c r="HQ26" s="1192"/>
      <c r="HR26" s="1192"/>
      <c r="HS26" s="1192"/>
      <c r="HT26" s="1192"/>
      <c r="HU26" s="1192"/>
      <c r="HV26" s="1192"/>
      <c r="HW26" s="1192"/>
      <c r="HX26" s="1192"/>
      <c r="HY26" s="1192"/>
      <c r="HZ26" s="1192"/>
      <c r="IA26" s="1192"/>
      <c r="IB26" s="1192"/>
    </row>
    <row r="27" spans="1:7" s="1245" customFormat="1" ht="16.5" thickBot="1" thickTop="1">
      <c r="A27" s="1213"/>
      <c r="B27" s="1214" t="s">
        <v>608</v>
      </c>
      <c r="C27" s="1215"/>
      <c r="D27" s="1244">
        <f>SUM(D28:D32)</f>
        <v>113</v>
      </c>
      <c r="E27" s="1244">
        <f>SUM(E28:E31)</f>
        <v>171.8</v>
      </c>
      <c r="F27" s="1244">
        <f>SUM(F28:F31)</f>
        <v>69.164</v>
      </c>
      <c r="G27" s="1217">
        <f>F27/E27*100</f>
        <v>40.258440046565774</v>
      </c>
    </row>
    <row r="28" spans="1:7" s="1248" customFormat="1" ht="13.5" thickTop="1">
      <c r="A28" s="1246">
        <v>85201</v>
      </c>
      <c r="B28" s="2760" t="s">
        <v>628</v>
      </c>
      <c r="C28" s="1247">
        <v>4270</v>
      </c>
      <c r="D28" s="1240">
        <v>1</v>
      </c>
      <c r="E28" s="1240">
        <v>1</v>
      </c>
      <c r="F28" s="1240">
        <v>0</v>
      </c>
      <c r="G28" s="1228">
        <f t="shared" si="1"/>
        <v>0</v>
      </c>
    </row>
    <row r="29" spans="1:7" s="1248" customFormat="1" ht="14.25" customHeight="1">
      <c r="A29" s="1219">
        <v>85203</v>
      </c>
      <c r="B29" s="1220" t="s">
        <v>241</v>
      </c>
      <c r="C29" s="1221">
        <v>4270</v>
      </c>
      <c r="D29" s="1240">
        <v>7</v>
      </c>
      <c r="E29" s="1240">
        <v>7</v>
      </c>
      <c r="F29" s="1240">
        <v>0</v>
      </c>
      <c r="G29" s="1228">
        <f t="shared" si="1"/>
        <v>0</v>
      </c>
    </row>
    <row r="30" spans="1:7" s="1248" customFormat="1" ht="14.25" customHeight="1">
      <c r="A30" s="1219">
        <v>85219</v>
      </c>
      <c r="B30" s="1220" t="s">
        <v>629</v>
      </c>
      <c r="C30" s="1221">
        <v>4270</v>
      </c>
      <c r="D30" s="1240">
        <v>105</v>
      </c>
      <c r="E30" s="1240">
        <v>105</v>
      </c>
      <c r="F30" s="1240">
        <v>10.424</v>
      </c>
      <c r="G30" s="1228">
        <f t="shared" si="1"/>
        <v>9.927619047619048</v>
      </c>
    </row>
    <row r="31" spans="1:7" s="1248" customFormat="1" ht="26.25" thickBot="1">
      <c r="A31" s="1219">
        <v>85220</v>
      </c>
      <c r="B31" s="1220" t="s">
        <v>916</v>
      </c>
      <c r="C31" s="1221">
        <v>4270</v>
      </c>
      <c r="D31" s="1240">
        <v>0</v>
      </c>
      <c r="E31" s="1240">
        <v>58.8</v>
      </c>
      <c r="F31" s="1240">
        <v>58.74</v>
      </c>
      <c r="G31" s="1228">
        <f t="shared" si="1"/>
        <v>99.89795918367348</v>
      </c>
    </row>
    <row r="32" spans="1:7" s="1248" customFormat="1" ht="14.25" customHeight="1" hidden="1" thickTop="1">
      <c r="A32" s="1219">
        <v>85226</v>
      </c>
      <c r="B32" s="1220" t="s">
        <v>630</v>
      </c>
      <c r="C32" s="1221">
        <v>4270</v>
      </c>
      <c r="D32" s="1240">
        <v>0</v>
      </c>
      <c r="E32" s="1240">
        <v>0</v>
      </c>
      <c r="F32" s="1240">
        <v>0</v>
      </c>
      <c r="G32" s="1228" t="e">
        <f t="shared" si="1"/>
        <v>#DIV/0!</v>
      </c>
    </row>
    <row r="33" spans="1:7" s="1218" customFormat="1" ht="17.25" customHeight="1" thickBot="1" thickTop="1">
      <c r="A33" s="1213"/>
      <c r="B33" s="1214" t="s">
        <v>610</v>
      </c>
      <c r="C33" s="1215"/>
      <c r="D33" s="1229">
        <f>D34+D35</f>
        <v>24.3</v>
      </c>
      <c r="E33" s="1229">
        <f>SUM(E34:E35)</f>
        <v>27.45</v>
      </c>
      <c r="F33" s="1229">
        <f>F34+F35</f>
        <v>10.429</v>
      </c>
      <c r="G33" s="1217">
        <f>F33/E33*100</f>
        <v>37.99271402550091</v>
      </c>
    </row>
    <row r="34" spans="1:7" s="1252" customFormat="1" ht="13.5" customHeight="1" thickBot="1" thickTop="1">
      <c r="A34" s="1249"/>
      <c r="B34" s="1250" t="s">
        <v>631</v>
      </c>
      <c r="C34" s="1251">
        <v>4270</v>
      </c>
      <c r="D34" s="1240">
        <v>24.3</v>
      </c>
      <c r="E34" s="1240">
        <v>27.45</v>
      </c>
      <c r="F34" s="1240">
        <v>10.429</v>
      </c>
      <c r="G34" s="1228">
        <f t="shared" si="1"/>
        <v>37.99271402550091</v>
      </c>
    </row>
    <row r="35" spans="1:7" s="1252" customFormat="1" ht="15.75" customHeight="1" hidden="1" thickTop="1">
      <c r="A35" s="1236">
        <v>85410</v>
      </c>
      <c r="B35" s="1253" t="s">
        <v>632</v>
      </c>
      <c r="C35" s="1251">
        <v>4270</v>
      </c>
      <c r="D35" s="1239"/>
      <c r="E35" s="1240"/>
      <c r="F35" s="1240"/>
      <c r="G35" s="1228" t="e">
        <f t="shared" si="1"/>
        <v>#DIV/0!</v>
      </c>
    </row>
    <row r="36" spans="1:7" s="1218" customFormat="1" ht="16.5" thickBot="1" thickTop="1">
      <c r="A36" s="1213"/>
      <c r="B36" s="1214" t="s">
        <v>611</v>
      </c>
      <c r="C36" s="1254"/>
      <c r="D36" s="1229">
        <f>SUM(D37:D39)</f>
        <v>1518.5</v>
      </c>
      <c r="E36" s="1229">
        <f>SUM(E37:E39)</f>
        <v>1553.2</v>
      </c>
      <c r="F36" s="1229">
        <f>SUM(F37:F39)</f>
        <v>649.8</v>
      </c>
      <c r="G36" s="1217">
        <f>F36/E36*100</f>
        <v>41.836209116662374</v>
      </c>
    </row>
    <row r="37" spans="1:7" s="1252" customFormat="1" ht="18" customHeight="1" thickTop="1">
      <c r="A37" s="1249">
        <v>90001</v>
      </c>
      <c r="B37" s="1250" t="s">
        <v>1328</v>
      </c>
      <c r="C37" s="1251">
        <v>4270</v>
      </c>
      <c r="D37" s="1240">
        <v>150</v>
      </c>
      <c r="E37" s="1240">
        <v>0</v>
      </c>
      <c r="F37" s="1240">
        <v>0</v>
      </c>
      <c r="G37" s="1228" t="s">
        <v>179</v>
      </c>
    </row>
    <row r="38" spans="1:7" s="1252" customFormat="1" ht="18" customHeight="1">
      <c r="A38" s="1236">
        <v>90015</v>
      </c>
      <c r="B38" s="1253" t="s">
        <v>633</v>
      </c>
      <c r="C38" s="1251">
        <v>4270</v>
      </c>
      <c r="D38" s="1240">
        <v>1175</v>
      </c>
      <c r="E38" s="1240">
        <v>1175</v>
      </c>
      <c r="F38" s="1240">
        <v>649.8</v>
      </c>
      <c r="G38" s="1228">
        <f t="shared" si="1"/>
        <v>55.30212765957446</v>
      </c>
    </row>
    <row r="39" spans="1:7" s="1252" customFormat="1" ht="18" customHeight="1" thickBot="1">
      <c r="A39" s="1236">
        <v>90095</v>
      </c>
      <c r="B39" s="1253" t="s">
        <v>634</v>
      </c>
      <c r="C39" s="1251">
        <v>4270</v>
      </c>
      <c r="D39" s="1240">
        <v>193.5</v>
      </c>
      <c r="E39" s="1240">
        <v>378.2</v>
      </c>
      <c r="F39" s="1240">
        <v>0</v>
      </c>
      <c r="G39" s="1228">
        <f t="shared" si="1"/>
        <v>0</v>
      </c>
    </row>
    <row r="40" spans="1:13" s="1218" customFormat="1" ht="17.25" customHeight="1" thickBot="1" thickTop="1">
      <c r="A40" s="1213"/>
      <c r="B40" s="1214" t="s">
        <v>612</v>
      </c>
      <c r="C40" s="1215"/>
      <c r="D40" s="1255">
        <f>SUM(D41:D44)</f>
        <v>200</v>
      </c>
      <c r="E40" s="1229">
        <f>SUM(E41:E44)</f>
        <v>200</v>
      </c>
      <c r="F40" s="1229">
        <f>SUM(F41:F44)</f>
        <v>0</v>
      </c>
      <c r="G40" s="1217">
        <f>F40/E40*100</f>
        <v>0</v>
      </c>
      <c r="H40" s="1230"/>
      <c r="I40" s="1230"/>
      <c r="J40" s="1230"/>
      <c r="K40" s="1230"/>
      <c r="L40" s="1230"/>
      <c r="M40" s="1230"/>
    </row>
    <row r="41" spans="1:7" s="1257" customFormat="1" ht="15.75" customHeight="1" hidden="1">
      <c r="A41" s="1219">
        <v>92109</v>
      </c>
      <c r="B41" s="1220" t="s">
        <v>344</v>
      </c>
      <c r="C41" s="1221">
        <v>2550</v>
      </c>
      <c r="D41" s="1256"/>
      <c r="E41" s="1222"/>
      <c r="F41" s="1222"/>
      <c r="G41" s="1228" t="e">
        <f t="shared" si="1"/>
        <v>#DIV/0!</v>
      </c>
    </row>
    <row r="42" spans="1:7" s="1257" customFormat="1" ht="15.75" customHeight="1" hidden="1" thickBot="1">
      <c r="A42" s="1219">
        <v>92116</v>
      </c>
      <c r="B42" s="1220" t="s">
        <v>324</v>
      </c>
      <c r="C42" s="1221">
        <v>2550</v>
      </c>
      <c r="D42" s="1256"/>
      <c r="E42" s="1222"/>
      <c r="F42" s="1222"/>
      <c r="G42" s="1228" t="e">
        <f t="shared" si="1"/>
        <v>#DIV/0!</v>
      </c>
    </row>
    <row r="43" spans="1:7" s="1257" customFormat="1" ht="15.75" customHeight="1" hidden="1">
      <c r="A43" s="1219">
        <v>92118</v>
      </c>
      <c r="B43" s="1220" t="s">
        <v>635</v>
      </c>
      <c r="C43" s="1221">
        <v>2550</v>
      </c>
      <c r="D43" s="1256"/>
      <c r="E43" s="1222"/>
      <c r="F43" s="1222"/>
      <c r="G43" s="1228" t="e">
        <f t="shared" si="1"/>
        <v>#DIV/0!</v>
      </c>
    </row>
    <row r="44" spans="1:7" s="1258" customFormat="1" ht="15.75" customHeight="1" thickBot="1" thickTop="1">
      <c r="A44" s="1219">
        <v>92120</v>
      </c>
      <c r="B44" s="1220" t="s">
        <v>636</v>
      </c>
      <c r="C44" s="1221">
        <v>4270</v>
      </c>
      <c r="D44" s="1256">
        <v>200</v>
      </c>
      <c r="E44" s="1222">
        <v>200</v>
      </c>
      <c r="F44" s="1222">
        <v>0</v>
      </c>
      <c r="G44" s="1228">
        <f t="shared" si="1"/>
        <v>0</v>
      </c>
    </row>
    <row r="45" spans="1:13" s="1218" customFormat="1" ht="17.25" customHeight="1" hidden="1" thickBot="1" thickTop="1">
      <c r="A45" s="1213"/>
      <c r="B45" s="1214" t="s">
        <v>637</v>
      </c>
      <c r="C45" s="1215"/>
      <c r="D45" s="1255">
        <f>D46</f>
        <v>0</v>
      </c>
      <c r="E45" s="1229">
        <f>SUM(E46)</f>
        <v>0</v>
      </c>
      <c r="F45" s="1229">
        <f>F46</f>
        <v>173.3</v>
      </c>
      <c r="G45" s="1217" t="e">
        <f>F45/E45*100</f>
        <v>#DIV/0!</v>
      </c>
      <c r="H45" s="1230"/>
      <c r="I45" s="1230"/>
      <c r="J45" s="1230"/>
      <c r="K45" s="1230"/>
      <c r="L45" s="1230"/>
      <c r="M45" s="1230"/>
    </row>
    <row r="46" spans="1:236" ht="27.75" customHeight="1" hidden="1" thickTop="1">
      <c r="A46" s="1259">
        <v>92601</v>
      </c>
      <c r="B46" s="1260" t="s">
        <v>638</v>
      </c>
      <c r="C46" s="1261">
        <v>4270</v>
      </c>
      <c r="D46" s="1262">
        <v>0</v>
      </c>
      <c r="E46" s="1262">
        <v>0</v>
      </c>
      <c r="F46" s="1262">
        <v>173.3</v>
      </c>
      <c r="G46" s="1228" t="e">
        <f t="shared" si="1"/>
        <v>#DIV/0!</v>
      </c>
      <c r="H46" s="1235"/>
      <c r="I46" s="1235"/>
      <c r="J46" s="1235"/>
      <c r="K46" s="1235"/>
      <c r="L46" s="1235"/>
      <c r="M46" s="1235"/>
      <c r="N46" s="1192"/>
      <c r="O46" s="1192"/>
      <c r="P46" s="1192"/>
      <c r="Q46" s="1192"/>
      <c r="R46" s="1192"/>
      <c r="S46" s="1192"/>
      <c r="T46" s="1192"/>
      <c r="U46" s="1192"/>
      <c r="V46" s="1192"/>
      <c r="W46" s="1192"/>
      <c r="X46" s="1192"/>
      <c r="Y46" s="1192"/>
      <c r="Z46" s="1192"/>
      <c r="AA46" s="1192"/>
      <c r="AB46" s="1192"/>
      <c r="AC46" s="1192"/>
      <c r="AD46" s="1192"/>
      <c r="AE46" s="1192"/>
      <c r="AF46" s="1192"/>
      <c r="AG46" s="1192"/>
      <c r="AH46" s="1192"/>
      <c r="AI46" s="1192"/>
      <c r="AJ46" s="1192"/>
      <c r="AK46" s="1192"/>
      <c r="AL46" s="1192"/>
      <c r="AM46" s="1192"/>
      <c r="AN46" s="1192"/>
      <c r="AO46" s="1192"/>
      <c r="AP46" s="1192"/>
      <c r="AQ46" s="1192"/>
      <c r="AR46" s="1192"/>
      <c r="AS46" s="1192"/>
      <c r="AT46" s="1192"/>
      <c r="AU46" s="1192"/>
      <c r="AV46" s="1192"/>
      <c r="AW46" s="1192"/>
      <c r="AX46" s="1192"/>
      <c r="AY46" s="1192"/>
      <c r="AZ46" s="1192"/>
      <c r="BA46" s="1192"/>
      <c r="BB46" s="1192"/>
      <c r="BC46" s="1192"/>
      <c r="BD46" s="1192"/>
      <c r="BE46" s="1192"/>
      <c r="BF46" s="1192"/>
      <c r="BG46" s="1192"/>
      <c r="BH46" s="1192"/>
      <c r="BI46" s="1192"/>
      <c r="BJ46" s="1192"/>
      <c r="BK46" s="1192"/>
      <c r="BL46" s="1192"/>
      <c r="BM46" s="1192"/>
      <c r="BN46" s="1192"/>
      <c r="BO46" s="1192"/>
      <c r="BP46" s="1192"/>
      <c r="BQ46" s="1192"/>
      <c r="BR46" s="1192"/>
      <c r="BS46" s="1192"/>
      <c r="BT46" s="1192"/>
      <c r="BU46" s="1192"/>
      <c r="BV46" s="1192"/>
      <c r="BW46" s="1192"/>
      <c r="BX46" s="1192"/>
      <c r="BY46" s="1192"/>
      <c r="BZ46" s="1192"/>
      <c r="CA46" s="1192"/>
      <c r="CB46" s="1192"/>
      <c r="CC46" s="1192"/>
      <c r="CD46" s="1192"/>
      <c r="CE46" s="1192"/>
      <c r="CF46" s="1192"/>
      <c r="CG46" s="1192"/>
      <c r="CH46" s="1192"/>
      <c r="CI46" s="1192"/>
      <c r="CJ46" s="1192"/>
      <c r="CK46" s="1192"/>
      <c r="CL46" s="1192"/>
      <c r="CM46" s="1192"/>
      <c r="CN46" s="1192"/>
      <c r="CO46" s="1192"/>
      <c r="CP46" s="1192"/>
      <c r="CQ46" s="1192"/>
      <c r="CR46" s="1192"/>
      <c r="CS46" s="1192"/>
      <c r="CT46" s="1192"/>
      <c r="CU46" s="1192"/>
      <c r="CV46" s="1192"/>
      <c r="CW46" s="1192"/>
      <c r="CX46" s="1192"/>
      <c r="CY46" s="1192"/>
      <c r="CZ46" s="1192"/>
      <c r="DA46" s="1192"/>
      <c r="DB46" s="1192"/>
      <c r="DC46" s="1192"/>
      <c r="DD46" s="1192"/>
      <c r="DE46" s="1192"/>
      <c r="DF46" s="1192"/>
      <c r="DG46" s="1192"/>
      <c r="DH46" s="1192"/>
      <c r="DI46" s="1192"/>
      <c r="DJ46" s="1192"/>
      <c r="DK46" s="1192"/>
      <c r="DL46" s="1192"/>
      <c r="DM46" s="1192"/>
      <c r="DN46" s="1192"/>
      <c r="DO46" s="1192"/>
      <c r="DP46" s="1192"/>
      <c r="DQ46" s="1192"/>
      <c r="DR46" s="1192"/>
      <c r="DS46" s="1192"/>
      <c r="DT46" s="1192"/>
      <c r="DU46" s="1192"/>
      <c r="DV46" s="1192"/>
      <c r="DW46" s="1192"/>
      <c r="DX46" s="1192"/>
      <c r="DY46" s="1192"/>
      <c r="DZ46" s="1192"/>
      <c r="EA46" s="1192"/>
      <c r="EB46" s="1192"/>
      <c r="EC46" s="1192"/>
      <c r="ED46" s="1192"/>
      <c r="EE46" s="1192"/>
      <c r="EF46" s="1192"/>
      <c r="EG46" s="1192"/>
      <c r="EH46" s="1192"/>
      <c r="EI46" s="1192"/>
      <c r="EJ46" s="1192"/>
      <c r="EK46" s="1192"/>
      <c r="EL46" s="1192"/>
      <c r="EM46" s="1192"/>
      <c r="EN46" s="1192"/>
      <c r="EO46" s="1192"/>
      <c r="EP46" s="1192"/>
      <c r="EQ46" s="1192"/>
      <c r="ER46" s="1192"/>
      <c r="ES46" s="1192"/>
      <c r="ET46" s="1192"/>
      <c r="EU46" s="1192"/>
      <c r="EV46" s="1192"/>
      <c r="EW46" s="1192"/>
      <c r="EX46" s="1192"/>
      <c r="EY46" s="1192"/>
      <c r="EZ46" s="1192"/>
      <c r="FA46" s="1192"/>
      <c r="FB46" s="1192"/>
      <c r="FC46" s="1192"/>
      <c r="FD46" s="1192"/>
      <c r="FE46" s="1192"/>
      <c r="FF46" s="1192"/>
      <c r="FG46" s="1192"/>
      <c r="FH46" s="1192"/>
      <c r="FI46" s="1192"/>
      <c r="FJ46" s="1192"/>
      <c r="FK46" s="1192"/>
      <c r="FL46" s="1192"/>
      <c r="FM46" s="1192"/>
      <c r="FN46" s="1192"/>
      <c r="FO46" s="1192"/>
      <c r="FP46" s="1192"/>
      <c r="FQ46" s="1192"/>
      <c r="FR46" s="1192"/>
      <c r="FS46" s="1192"/>
      <c r="FT46" s="1192"/>
      <c r="FU46" s="1192"/>
      <c r="FV46" s="1192"/>
      <c r="FW46" s="1192"/>
      <c r="FX46" s="1192"/>
      <c r="FY46" s="1192"/>
      <c r="FZ46" s="1192"/>
      <c r="GA46" s="1192"/>
      <c r="GB46" s="1192"/>
      <c r="GC46" s="1192"/>
      <c r="GD46" s="1192"/>
      <c r="GE46" s="1192"/>
      <c r="GF46" s="1192"/>
      <c r="GG46" s="1192"/>
      <c r="GH46" s="1192"/>
      <c r="GI46" s="1192"/>
      <c r="GJ46" s="1192"/>
      <c r="GK46" s="1192"/>
      <c r="GL46" s="1192"/>
      <c r="GM46" s="1192"/>
      <c r="GN46" s="1192"/>
      <c r="GO46" s="1192"/>
      <c r="GP46" s="1192"/>
      <c r="GQ46" s="1192"/>
      <c r="GR46" s="1192"/>
      <c r="GS46" s="1192"/>
      <c r="GT46" s="1192"/>
      <c r="GU46" s="1192"/>
      <c r="GV46" s="1192"/>
      <c r="GW46" s="1192"/>
      <c r="GX46" s="1192"/>
      <c r="GY46" s="1192"/>
      <c r="GZ46" s="1192"/>
      <c r="HA46" s="1192"/>
      <c r="HB46" s="1192"/>
      <c r="HC46" s="1192"/>
      <c r="HD46" s="1192"/>
      <c r="HE46" s="1192"/>
      <c r="HF46" s="1192"/>
      <c r="HG46" s="1192"/>
      <c r="HH46" s="1192"/>
      <c r="HI46" s="1192"/>
      <c r="HJ46" s="1192"/>
      <c r="HK46" s="1192"/>
      <c r="HL46" s="1192"/>
      <c r="HM46" s="1192"/>
      <c r="HN46" s="1192"/>
      <c r="HO46" s="1192"/>
      <c r="HP46" s="1192"/>
      <c r="HQ46" s="1192"/>
      <c r="HR46" s="1192"/>
      <c r="HS46" s="1192"/>
      <c r="HT46" s="1192"/>
      <c r="HU46" s="1192"/>
      <c r="HV46" s="1192"/>
      <c r="HW46" s="1192"/>
      <c r="HX46" s="1192"/>
      <c r="HY46" s="1192"/>
      <c r="HZ46" s="1192"/>
      <c r="IA46" s="1192"/>
      <c r="IB46" s="1192"/>
    </row>
    <row r="47" spans="1:13" s="1269" customFormat="1" ht="17.25" customHeight="1" thickBot="1" thickTop="1">
      <c r="A47" s="1263"/>
      <c r="B47" s="1264" t="s">
        <v>102</v>
      </c>
      <c r="C47" s="1265"/>
      <c r="D47" s="1266">
        <f>D7+D9+D14+D16+D19+D21+D27+D33+D36+D40</f>
        <v>8107.3</v>
      </c>
      <c r="E47" s="1266">
        <f>E7+E9+E14+E16+E19+E21+E27+E33+E36+E40</f>
        <v>8222.29</v>
      </c>
      <c r="F47" s="1266">
        <f>F7+F9+F14+F16+F19+F21+F27+F33+F36+F40</f>
        <v>2369.974</v>
      </c>
      <c r="G47" s="1267">
        <f>F47/E47*100</f>
        <v>28.82377050675663</v>
      </c>
      <c r="H47" s="1268"/>
      <c r="I47" s="1268"/>
      <c r="J47" s="1268"/>
      <c r="K47" s="1268"/>
      <c r="L47" s="1268"/>
      <c r="M47" s="1268"/>
    </row>
    <row r="48" ht="16.5" thickTop="1"/>
  </sheetData>
  <printOptions horizontalCentered="1"/>
  <pageMargins left="0" right="0" top="0.984251968503937" bottom="0.3937007874015748" header="0.5118110236220472" footer="0.5118110236220472"/>
  <pageSetup firstPageNumber="82" useFirstPageNumber="1" horizontalDpi="600" verticalDpi="600" orientation="portrait" paperSize="9" r:id="rId1"/>
  <headerFooter alignWithMargins="0">
    <oddHeader>&amp;C&amp;"Times New Roman,Normalny"&amp;P</oddHeader>
  </headerFooter>
</worksheet>
</file>

<file path=xl/worksheets/sheet23.xml><?xml version="1.0" encoding="utf-8"?>
<worksheet xmlns="http://schemas.openxmlformats.org/spreadsheetml/2006/main" xmlns:r="http://schemas.openxmlformats.org/officeDocument/2006/relationships">
  <dimension ref="A1:H80"/>
  <sheetViews>
    <sheetView workbookViewId="0" topLeftCell="A1">
      <selection activeCell="B11" sqref="B11"/>
    </sheetView>
  </sheetViews>
  <sheetFormatPr defaultColWidth="9.00390625" defaultRowHeight="12.75"/>
  <cols>
    <col min="1" max="1" width="9.125" style="1270" customWidth="1"/>
    <col min="2" max="2" width="30.375" style="0" customWidth="1"/>
    <col min="3" max="3" width="15.625" style="0" customWidth="1"/>
    <col min="4" max="4" width="15.25390625" style="0" customWidth="1"/>
    <col min="5" max="5" width="11.25390625" style="0" customWidth="1"/>
  </cols>
  <sheetData>
    <row r="1" spans="2:8" ht="15.75">
      <c r="B1" s="2761"/>
      <c r="C1" s="2761"/>
      <c r="D1" s="2761"/>
      <c r="E1" s="2762" t="s">
        <v>101</v>
      </c>
      <c r="F1" s="2761"/>
      <c r="G1" s="2761"/>
      <c r="H1" s="2761"/>
    </row>
    <row r="2" spans="2:8" ht="37.5">
      <c r="B2" s="2763" t="s">
        <v>1190</v>
      </c>
      <c r="C2" s="2763"/>
      <c r="D2" s="2763"/>
      <c r="E2" s="2763"/>
      <c r="F2" s="2764"/>
      <c r="G2" s="2764"/>
      <c r="H2" s="2764"/>
    </row>
    <row r="3" spans="2:8" ht="13.5" thickBot="1">
      <c r="B3" s="2761"/>
      <c r="C3" s="2761"/>
      <c r="D3" s="2761"/>
      <c r="E3" s="2765" t="s">
        <v>639</v>
      </c>
      <c r="F3" s="2761"/>
      <c r="G3" s="2761"/>
      <c r="H3" s="2761"/>
    </row>
    <row r="4" spans="1:8" ht="15.75">
      <c r="A4" s="2766" t="s">
        <v>593</v>
      </c>
      <c r="B4" s="2767" t="s">
        <v>106</v>
      </c>
      <c r="C4" s="2768" t="s">
        <v>640</v>
      </c>
      <c r="D4" s="2769"/>
      <c r="E4" s="2770" t="s">
        <v>641</v>
      </c>
      <c r="F4" s="2761"/>
      <c r="G4" s="2761"/>
      <c r="H4" s="2761"/>
    </row>
    <row r="5" spans="1:8" s="2776" customFormat="1" ht="15.75" thickBot="1">
      <c r="A5" s="2771"/>
      <c r="B5" s="2772"/>
      <c r="C5" s="2773" t="s">
        <v>642</v>
      </c>
      <c r="D5" s="2773" t="s">
        <v>1191</v>
      </c>
      <c r="E5" s="2774"/>
      <c r="F5" s="2775"/>
      <c r="G5" s="2775"/>
      <c r="H5" s="2775"/>
    </row>
    <row r="6" spans="1:8" ht="14.25" thickBot="1" thickTop="1">
      <c r="A6" s="2777">
        <v>1</v>
      </c>
      <c r="B6" s="2778">
        <v>2</v>
      </c>
      <c r="C6" s="2778">
        <v>3</v>
      </c>
      <c r="D6" s="2778">
        <v>4</v>
      </c>
      <c r="E6" s="2779">
        <v>5</v>
      </c>
      <c r="F6" s="2780"/>
      <c r="G6" s="2780"/>
      <c r="H6" s="2780"/>
    </row>
    <row r="7" spans="1:8" ht="16.5" thickTop="1">
      <c r="A7" s="2781" t="s">
        <v>82</v>
      </c>
      <c r="B7" s="2782" t="s">
        <v>1192</v>
      </c>
      <c r="C7" s="2783"/>
      <c r="D7" s="2783"/>
      <c r="E7" s="2784"/>
      <c r="F7" s="2785"/>
      <c r="G7" s="2785"/>
      <c r="H7" s="2785"/>
    </row>
    <row r="8" spans="1:8" ht="15">
      <c r="A8" s="2786" t="s">
        <v>424</v>
      </c>
      <c r="B8" s="2787" t="s">
        <v>1193</v>
      </c>
      <c r="C8" s="2788">
        <v>5968.4</v>
      </c>
      <c r="D8" s="2788">
        <v>5645</v>
      </c>
      <c r="E8" s="2789">
        <f>D8/C8*100</f>
        <v>94.58146236847396</v>
      </c>
      <c r="F8" s="2790"/>
      <c r="G8" s="2790"/>
      <c r="H8" s="2790"/>
    </row>
    <row r="9" spans="1:8" ht="15">
      <c r="A9" s="2786" t="s">
        <v>426</v>
      </c>
      <c r="B9" s="2787" t="s">
        <v>1194</v>
      </c>
      <c r="C9" s="2791">
        <v>4148.7</v>
      </c>
      <c r="D9" s="2791">
        <v>4347</v>
      </c>
      <c r="E9" s="2789">
        <f>D9/C9*100</f>
        <v>104.77981054306169</v>
      </c>
      <c r="F9" s="2790"/>
      <c r="G9" s="2790"/>
      <c r="H9" s="2790"/>
    </row>
    <row r="10" spans="1:8" ht="15">
      <c r="A10" s="2786" t="s">
        <v>1195</v>
      </c>
      <c r="B10" s="2787" t="s">
        <v>1196</v>
      </c>
      <c r="C10" s="2791">
        <v>69.5</v>
      </c>
      <c r="D10" s="2791">
        <v>77</v>
      </c>
      <c r="E10" s="2789"/>
      <c r="F10" s="2790"/>
      <c r="G10" s="2790"/>
      <c r="H10" s="2790"/>
    </row>
    <row r="11" spans="1:8" ht="15">
      <c r="A11" s="2786" t="s">
        <v>1197</v>
      </c>
      <c r="B11" s="2787" t="s">
        <v>1198</v>
      </c>
      <c r="C11" s="2791">
        <v>4643</v>
      </c>
      <c r="D11" s="2791">
        <v>4598.6</v>
      </c>
      <c r="E11" s="2789">
        <f>D11/C11*100</f>
        <v>99.04372173163904</v>
      </c>
      <c r="F11" s="2790"/>
      <c r="G11" s="2790"/>
      <c r="H11" s="2790"/>
    </row>
    <row r="12" spans="1:8" ht="15">
      <c r="A12" s="2786" t="s">
        <v>1199</v>
      </c>
      <c r="B12" s="2787" t="s">
        <v>1200</v>
      </c>
      <c r="C12" s="2791">
        <v>593.8</v>
      </c>
      <c r="D12" s="2791">
        <v>637.9</v>
      </c>
      <c r="E12" s="2789">
        <f>D12/C12*100</f>
        <v>107.42674301111485</v>
      </c>
      <c r="F12" s="2790"/>
      <c r="G12" s="2790"/>
      <c r="H12" s="2790"/>
    </row>
    <row r="13" spans="1:8" ht="15">
      <c r="A13" s="2786" t="s">
        <v>1201</v>
      </c>
      <c r="B13" s="2787" t="s">
        <v>1202</v>
      </c>
      <c r="C13" s="2791">
        <v>12.8</v>
      </c>
      <c r="D13" s="2791">
        <v>13.9</v>
      </c>
      <c r="E13" s="2789"/>
      <c r="F13" s="2790"/>
      <c r="G13" s="2790"/>
      <c r="H13" s="2790"/>
    </row>
    <row r="14" spans="1:8" ht="15">
      <c r="A14" s="1273"/>
      <c r="B14" s="2792"/>
      <c r="C14" s="2793"/>
      <c r="D14" s="2793"/>
      <c r="E14" s="2789"/>
      <c r="F14" s="2761"/>
      <c r="G14" s="2761"/>
      <c r="H14" s="2761"/>
    </row>
    <row r="15" spans="1:8" ht="15.75">
      <c r="A15" s="2794" t="s">
        <v>84</v>
      </c>
      <c r="B15" s="2795" t="s">
        <v>1203</v>
      </c>
      <c r="C15" s="2796"/>
      <c r="D15" s="2796"/>
      <c r="E15" s="2797"/>
      <c r="F15" s="2785"/>
      <c r="G15" s="2785"/>
      <c r="H15" s="2785"/>
    </row>
    <row r="16" spans="1:8" ht="15">
      <c r="A16" s="2786" t="s">
        <v>424</v>
      </c>
      <c r="B16" s="2787" t="s">
        <v>1193</v>
      </c>
      <c r="C16" s="2791">
        <v>543.2</v>
      </c>
      <c r="D16" s="2791">
        <v>556</v>
      </c>
      <c r="E16" s="2789">
        <f>D16/C16*100</f>
        <v>102.35640648011781</v>
      </c>
      <c r="F16" s="2790"/>
      <c r="G16" s="2790"/>
      <c r="H16" s="2790"/>
    </row>
    <row r="17" spans="1:8" ht="15">
      <c r="A17" s="2786" t="s">
        <v>426</v>
      </c>
      <c r="B17" s="2787" t="s">
        <v>1194</v>
      </c>
      <c r="C17" s="2791">
        <v>437.9</v>
      </c>
      <c r="D17" s="2791">
        <v>446</v>
      </c>
      <c r="E17" s="2789">
        <f>D17/C17*100</f>
        <v>101.84973738296415</v>
      </c>
      <c r="F17" s="2790"/>
      <c r="G17" s="2790"/>
      <c r="H17" s="2790"/>
    </row>
    <row r="18" spans="1:8" ht="15">
      <c r="A18" s="2786" t="s">
        <v>1195</v>
      </c>
      <c r="B18" s="2787" t="s">
        <v>1196</v>
      </c>
      <c r="C18" s="2791">
        <v>80.6</v>
      </c>
      <c r="D18" s="2791">
        <v>80.2</v>
      </c>
      <c r="E18" s="2789"/>
      <c r="F18" s="2790"/>
      <c r="G18" s="2790"/>
      <c r="H18" s="2790"/>
    </row>
    <row r="19" spans="1:8" ht="15">
      <c r="A19" s="2786" t="s">
        <v>1197</v>
      </c>
      <c r="B19" s="2787" t="s">
        <v>1198</v>
      </c>
      <c r="C19" s="2791">
        <v>341</v>
      </c>
      <c r="D19" s="2791">
        <v>353.1</v>
      </c>
      <c r="E19" s="2789">
        <f>D19/C19*100</f>
        <v>103.5483870967742</v>
      </c>
      <c r="F19" s="2790"/>
      <c r="G19" s="2790"/>
      <c r="H19" s="2790"/>
    </row>
    <row r="20" spans="1:8" ht="15">
      <c r="A20" s="2786" t="s">
        <v>1199</v>
      </c>
      <c r="B20" s="2787" t="s">
        <v>1200</v>
      </c>
      <c r="C20" s="2791">
        <v>12.9</v>
      </c>
      <c r="D20" s="2791">
        <v>65.5</v>
      </c>
      <c r="E20" s="2789">
        <f>D20/C20*100</f>
        <v>507.7519379844961</v>
      </c>
      <c r="F20" s="2790"/>
      <c r="G20" s="2790"/>
      <c r="H20" s="2790"/>
    </row>
    <row r="21" spans="1:8" ht="15">
      <c r="A21" s="2786" t="s">
        <v>1201</v>
      </c>
      <c r="B21" s="2787" t="s">
        <v>1202</v>
      </c>
      <c r="C21" s="2791">
        <v>3.8</v>
      </c>
      <c r="D21" s="2791">
        <v>18.5</v>
      </c>
      <c r="E21" s="2789"/>
      <c r="F21" s="2790"/>
      <c r="G21" s="2790"/>
      <c r="H21" s="2790"/>
    </row>
    <row r="22" spans="1:8" ht="15">
      <c r="A22" s="1273"/>
      <c r="B22" s="2792"/>
      <c r="C22" s="2793"/>
      <c r="D22" s="2793"/>
      <c r="E22" s="2789"/>
      <c r="F22" s="2761"/>
      <c r="G22" s="2761"/>
      <c r="H22" s="2761"/>
    </row>
    <row r="23" spans="1:8" ht="15.75">
      <c r="A23" s="2794" t="s">
        <v>85</v>
      </c>
      <c r="B23" s="2795" t="s">
        <v>1204</v>
      </c>
      <c r="C23" s="2796"/>
      <c r="D23" s="2796"/>
      <c r="E23" s="2797"/>
      <c r="F23" s="2785"/>
      <c r="G23" s="2785"/>
      <c r="H23" s="2785"/>
    </row>
    <row r="24" spans="1:8" ht="15">
      <c r="A24" s="2786" t="s">
        <v>424</v>
      </c>
      <c r="B24" s="2787" t="s">
        <v>1193</v>
      </c>
      <c r="C24" s="2791">
        <v>2610.1</v>
      </c>
      <c r="D24" s="2791">
        <v>7594.2</v>
      </c>
      <c r="E24" s="2789">
        <f>D24/C24*100</f>
        <v>290.9543695643845</v>
      </c>
      <c r="F24" s="2790"/>
      <c r="G24" s="2790"/>
      <c r="H24" s="2790"/>
    </row>
    <row r="25" spans="1:8" ht="15">
      <c r="A25" s="2786" t="s">
        <v>426</v>
      </c>
      <c r="B25" s="2787" t="s">
        <v>1194</v>
      </c>
      <c r="C25" s="2791">
        <v>2278.2</v>
      </c>
      <c r="D25" s="2791">
        <v>7281.7</v>
      </c>
      <c r="E25" s="2789">
        <f>D25/C25*100</f>
        <v>319.6251426564832</v>
      </c>
      <c r="F25" s="2790"/>
      <c r="G25" s="2790"/>
      <c r="H25" s="2790"/>
    </row>
    <row r="26" spans="1:8" ht="15">
      <c r="A26" s="2786" t="s">
        <v>1195</v>
      </c>
      <c r="B26" s="2787" t="s">
        <v>1196</v>
      </c>
      <c r="C26" s="2791">
        <v>87.3</v>
      </c>
      <c r="D26" s="2791">
        <v>95.9</v>
      </c>
      <c r="E26" s="2789"/>
      <c r="F26" s="2790"/>
      <c r="G26" s="2790"/>
      <c r="H26" s="2790"/>
    </row>
    <row r="27" spans="1:8" ht="15">
      <c r="A27" s="2786" t="s">
        <v>1197</v>
      </c>
      <c r="B27" s="2787" t="s">
        <v>1198</v>
      </c>
      <c r="C27" s="2791">
        <v>1653.7</v>
      </c>
      <c r="D27" s="2791">
        <v>1772.4</v>
      </c>
      <c r="E27" s="2789">
        <f>D27/C27*100</f>
        <v>107.17784362338998</v>
      </c>
      <c r="F27" s="2790"/>
      <c r="G27" s="2790"/>
      <c r="H27" s="2790"/>
    </row>
    <row r="28" spans="1:8" ht="15">
      <c r="A28" s="2786" t="s">
        <v>1199</v>
      </c>
      <c r="B28" s="2787" t="s">
        <v>1200</v>
      </c>
      <c r="C28" s="2791">
        <v>246.3</v>
      </c>
      <c r="D28" s="2791">
        <v>141.4</v>
      </c>
      <c r="E28" s="2789">
        <f>D28/C28*100</f>
        <v>57.40966301258628</v>
      </c>
      <c r="F28" s="2790"/>
      <c r="G28" s="2790"/>
      <c r="H28" s="2790"/>
    </row>
    <row r="29" spans="1:8" ht="15">
      <c r="A29" s="2786" t="s">
        <v>1201</v>
      </c>
      <c r="B29" s="2787" t="s">
        <v>1202</v>
      </c>
      <c r="C29" s="2791">
        <v>14.9</v>
      </c>
      <c r="D29" s="2791">
        <v>8</v>
      </c>
      <c r="E29" s="2789"/>
      <c r="F29" s="2790"/>
      <c r="G29" s="2790"/>
      <c r="H29" s="2790"/>
    </row>
    <row r="30" spans="1:8" ht="15">
      <c r="A30" s="1273"/>
      <c r="B30" s="2792"/>
      <c r="C30" s="2793"/>
      <c r="D30" s="2793"/>
      <c r="E30" s="2789"/>
      <c r="F30" s="2761"/>
      <c r="G30" s="2761"/>
      <c r="H30" s="2761"/>
    </row>
    <row r="31" spans="1:8" ht="15.75">
      <c r="A31" s="2794" t="s">
        <v>375</v>
      </c>
      <c r="B31" s="2795" t="s">
        <v>1205</v>
      </c>
      <c r="C31" s="2796"/>
      <c r="D31" s="2796"/>
      <c r="E31" s="2797"/>
      <c r="F31" s="2785"/>
      <c r="G31" s="2785"/>
      <c r="H31" s="2785"/>
    </row>
    <row r="32" spans="1:8" ht="15">
      <c r="A32" s="2786" t="s">
        <v>424</v>
      </c>
      <c r="B32" s="2787" t="s">
        <v>1193</v>
      </c>
      <c r="C32" s="2791">
        <v>502.4</v>
      </c>
      <c r="D32" s="2791">
        <v>551.1</v>
      </c>
      <c r="E32" s="2789">
        <f>D32/C32*100</f>
        <v>109.69347133757962</v>
      </c>
      <c r="F32" s="2790"/>
      <c r="G32" s="2790"/>
      <c r="H32" s="2790"/>
    </row>
    <row r="33" spans="1:8" ht="15">
      <c r="A33" s="2786" t="s">
        <v>426</v>
      </c>
      <c r="B33" s="2787" t="s">
        <v>1194</v>
      </c>
      <c r="C33" s="2791">
        <v>216.2</v>
      </c>
      <c r="D33" s="2791">
        <v>244.8</v>
      </c>
      <c r="E33" s="2789">
        <f>D33/C33*100</f>
        <v>113.22849213691029</v>
      </c>
      <c r="F33" s="2790"/>
      <c r="G33" s="2790"/>
      <c r="H33" s="2790"/>
    </row>
    <row r="34" spans="1:8" ht="15">
      <c r="A34" s="2786" t="s">
        <v>1195</v>
      </c>
      <c r="B34" s="2787" t="s">
        <v>1196</v>
      </c>
      <c r="C34" s="2791">
        <v>43</v>
      </c>
      <c r="D34" s="2791">
        <v>44.4</v>
      </c>
      <c r="E34" s="2789"/>
      <c r="F34" s="2790"/>
      <c r="G34" s="2790"/>
      <c r="H34" s="2790"/>
    </row>
    <row r="35" spans="1:8" ht="15">
      <c r="A35" s="2786" t="s">
        <v>1197</v>
      </c>
      <c r="B35" s="2787" t="s">
        <v>1198</v>
      </c>
      <c r="C35" s="2791">
        <v>179.5</v>
      </c>
      <c r="D35" s="2791">
        <v>168.9</v>
      </c>
      <c r="E35" s="2789">
        <f>D35/C35*100</f>
        <v>94.09470752089136</v>
      </c>
      <c r="F35" s="2790"/>
      <c r="G35" s="2790"/>
      <c r="H35" s="2790"/>
    </row>
    <row r="36" spans="1:8" ht="15">
      <c r="A36" s="2786" t="s">
        <v>1199</v>
      </c>
      <c r="B36" s="2787" t="s">
        <v>1200</v>
      </c>
      <c r="C36" s="2791">
        <v>23.6</v>
      </c>
      <c r="D36" s="2791">
        <v>35.2</v>
      </c>
      <c r="E36" s="2789">
        <f>D36/C36*100</f>
        <v>149.15254237288136</v>
      </c>
      <c r="F36" s="2790"/>
      <c r="G36" s="2790"/>
      <c r="H36" s="2790"/>
    </row>
    <row r="37" spans="1:8" ht="15">
      <c r="A37" s="2786" t="s">
        <v>1201</v>
      </c>
      <c r="B37" s="2787" t="s">
        <v>1202</v>
      </c>
      <c r="C37" s="2791">
        <v>13.2</v>
      </c>
      <c r="D37" s="2791">
        <v>20.8</v>
      </c>
      <c r="E37" s="2789"/>
      <c r="F37" s="2790"/>
      <c r="G37" s="2790"/>
      <c r="H37" s="2790"/>
    </row>
    <row r="38" spans="1:8" ht="15">
      <c r="A38" s="1273"/>
      <c r="B38" s="2792"/>
      <c r="C38" s="2793"/>
      <c r="D38" s="2793"/>
      <c r="E38" s="2789"/>
      <c r="F38" s="2761"/>
      <c r="G38" s="2761"/>
      <c r="H38" s="2761"/>
    </row>
    <row r="39" spans="1:8" ht="31.5">
      <c r="A39" s="2798" t="s">
        <v>377</v>
      </c>
      <c r="B39" s="2799" t="s">
        <v>1206</v>
      </c>
      <c r="C39" s="2796"/>
      <c r="D39" s="2796"/>
      <c r="E39" s="2797"/>
      <c r="F39" s="2785"/>
      <c r="G39" s="2785"/>
      <c r="H39" s="2785"/>
    </row>
    <row r="40" spans="1:8" ht="15">
      <c r="A40" s="2786" t="s">
        <v>424</v>
      </c>
      <c r="B40" s="2787" t="s">
        <v>1193</v>
      </c>
      <c r="C40" s="2791">
        <v>24588.5</v>
      </c>
      <c r="D40" s="2791">
        <v>24845</v>
      </c>
      <c r="E40" s="2789">
        <f>D40/C40*100</f>
        <v>101.04317058787645</v>
      </c>
      <c r="F40" s="2790"/>
      <c r="G40" s="2790"/>
      <c r="H40" s="2790"/>
    </row>
    <row r="41" spans="1:8" ht="15">
      <c r="A41" s="2786" t="s">
        <v>426</v>
      </c>
      <c r="B41" s="2787" t="s">
        <v>1194</v>
      </c>
      <c r="C41" s="2791">
        <v>10925.1</v>
      </c>
      <c r="D41" s="2791">
        <v>11544.7</v>
      </c>
      <c r="E41" s="2789">
        <f>D41/C41*100</f>
        <v>105.6713439693916</v>
      </c>
      <c r="F41" s="2790"/>
      <c r="G41" s="2790"/>
      <c r="H41" s="2790"/>
    </row>
    <row r="42" spans="1:8" ht="15">
      <c r="A42" s="2786" t="s">
        <v>1195</v>
      </c>
      <c r="B42" s="2787" t="s">
        <v>1196</v>
      </c>
      <c r="C42" s="2791">
        <v>44.4</v>
      </c>
      <c r="D42" s="2791">
        <v>46.5</v>
      </c>
      <c r="E42" s="2789"/>
      <c r="F42" s="2790"/>
      <c r="G42" s="2790"/>
      <c r="H42" s="2790"/>
    </row>
    <row r="43" spans="1:8" ht="15">
      <c r="A43" s="2786" t="s">
        <v>1197</v>
      </c>
      <c r="B43" s="2787" t="s">
        <v>1198</v>
      </c>
      <c r="C43" s="2791">
        <v>9178.5</v>
      </c>
      <c r="D43" s="2791">
        <v>8688.6</v>
      </c>
      <c r="E43" s="2789">
        <f>D43/C43*100</f>
        <v>94.6625265566269</v>
      </c>
      <c r="F43" s="2800"/>
      <c r="G43" s="2790"/>
      <c r="H43" s="2790"/>
    </row>
    <row r="44" spans="1:8" ht="15">
      <c r="A44" s="2786" t="s">
        <v>1199</v>
      </c>
      <c r="B44" s="2787" t="s">
        <v>1200</v>
      </c>
      <c r="C44" s="2791">
        <v>1059.6</v>
      </c>
      <c r="D44" s="2791">
        <v>1642.2</v>
      </c>
      <c r="E44" s="2789">
        <f>D44/C44*100</f>
        <v>154.98301245753117</v>
      </c>
      <c r="F44" s="2790"/>
      <c r="G44" s="2790"/>
      <c r="H44" s="2790"/>
    </row>
    <row r="45" spans="1:8" ht="15">
      <c r="A45" s="2801" t="s">
        <v>1201</v>
      </c>
      <c r="B45" s="2802" t="s">
        <v>1202</v>
      </c>
      <c r="C45" s="2803">
        <v>11.5</v>
      </c>
      <c r="D45" s="2803">
        <v>18.9</v>
      </c>
      <c r="E45" s="2804"/>
      <c r="F45" s="2790"/>
      <c r="G45" s="2790"/>
      <c r="H45" s="2790"/>
    </row>
    <row r="46" spans="1:8" ht="31.5">
      <c r="A46" s="2798" t="s">
        <v>379</v>
      </c>
      <c r="B46" s="2805" t="s">
        <v>1207</v>
      </c>
      <c r="C46" s="2806"/>
      <c r="D46" s="2806"/>
      <c r="E46" s="2789"/>
      <c r="F46" s="2785"/>
      <c r="G46" s="2785"/>
      <c r="H46" s="2785"/>
    </row>
    <row r="47" spans="1:8" ht="15">
      <c r="A47" s="2786" t="s">
        <v>424</v>
      </c>
      <c r="B47" s="2787" t="s">
        <v>1193</v>
      </c>
      <c r="C47" s="2791">
        <v>6555.3</v>
      </c>
      <c r="D47" s="2791">
        <v>7030</v>
      </c>
      <c r="E47" s="2789">
        <f>D47/C47*100</f>
        <v>107.24146873522187</v>
      </c>
      <c r="F47" s="2790"/>
      <c r="G47" s="2790"/>
      <c r="H47" s="2790"/>
    </row>
    <row r="48" spans="1:8" ht="15">
      <c r="A48" s="2786" t="s">
        <v>426</v>
      </c>
      <c r="B48" s="2787" t="s">
        <v>1194</v>
      </c>
      <c r="C48" s="2791">
        <v>2848.7</v>
      </c>
      <c r="D48" s="2791">
        <v>3240</v>
      </c>
      <c r="E48" s="2789">
        <f>D48/C48*100</f>
        <v>113.73609014638258</v>
      </c>
      <c r="F48" s="2790"/>
      <c r="G48" s="2790"/>
      <c r="H48" s="2790"/>
    </row>
    <row r="49" spans="1:8" ht="15">
      <c r="A49" s="2786" t="s">
        <v>1195</v>
      </c>
      <c r="B49" s="2787" t="s">
        <v>1196</v>
      </c>
      <c r="C49" s="2791">
        <v>43.5</v>
      </c>
      <c r="D49" s="2791">
        <v>46.1</v>
      </c>
      <c r="E49" s="2789"/>
      <c r="F49" s="2790"/>
      <c r="G49" s="2790"/>
      <c r="H49" s="2790"/>
    </row>
    <row r="50" spans="1:8" ht="15">
      <c r="A50" s="2786" t="s">
        <v>1197</v>
      </c>
      <c r="B50" s="2787" t="s">
        <v>1198</v>
      </c>
      <c r="C50" s="2791">
        <v>2908.3</v>
      </c>
      <c r="D50" s="2791">
        <v>3320.9</v>
      </c>
      <c r="E50" s="2789">
        <f>D50/C50*100</f>
        <v>114.18698208575455</v>
      </c>
      <c r="F50" s="2790"/>
      <c r="G50" s="2790"/>
      <c r="H50" s="2790"/>
    </row>
    <row r="51" spans="1:8" ht="15">
      <c r="A51" s="2786" t="s">
        <v>1199</v>
      </c>
      <c r="B51" s="2787" t="s">
        <v>1200</v>
      </c>
      <c r="C51" s="2791">
        <v>601.1</v>
      </c>
      <c r="D51" s="2791">
        <v>522.8</v>
      </c>
      <c r="E51" s="2789">
        <f>D51/C51*100</f>
        <v>86.97388121776741</v>
      </c>
      <c r="F51" s="2790"/>
      <c r="G51" s="2790"/>
      <c r="H51" s="2790"/>
    </row>
    <row r="52" spans="1:8" ht="15">
      <c r="A52" s="2786" t="s">
        <v>1201</v>
      </c>
      <c r="B52" s="2787" t="s">
        <v>1202</v>
      </c>
      <c r="C52" s="2791">
        <v>20.7</v>
      </c>
      <c r="D52" s="2791">
        <v>15.7</v>
      </c>
      <c r="E52" s="2789"/>
      <c r="F52" s="2790"/>
      <c r="G52" s="2790"/>
      <c r="H52" s="2790"/>
    </row>
    <row r="53" spans="1:8" ht="15">
      <c r="A53" s="1273"/>
      <c r="B53" s="2787"/>
      <c r="C53" s="2791"/>
      <c r="D53" s="2791"/>
      <c r="E53" s="2789"/>
      <c r="F53" s="2790"/>
      <c r="G53" s="2790"/>
      <c r="H53" s="2790"/>
    </row>
    <row r="54" spans="1:8" ht="36.75" customHeight="1">
      <c r="A54" s="2771" t="s">
        <v>381</v>
      </c>
      <c r="B54" s="2807" t="s">
        <v>1208</v>
      </c>
      <c r="C54" s="2806"/>
      <c r="D54" s="2806"/>
      <c r="E54" s="2789"/>
      <c r="F54" s="2785"/>
      <c r="G54" s="2785"/>
      <c r="H54" s="2785"/>
    </row>
    <row r="55" spans="1:8" ht="15">
      <c r="A55" s="2786" t="s">
        <v>424</v>
      </c>
      <c r="B55" s="2787" t="s">
        <v>1193</v>
      </c>
      <c r="C55" s="2791">
        <v>948.2</v>
      </c>
      <c r="D55" s="2791">
        <v>1105</v>
      </c>
      <c r="E55" s="2789">
        <f>D55/C55*100</f>
        <v>116.53659565492511</v>
      </c>
      <c r="F55" s="2790"/>
      <c r="G55" s="2790"/>
      <c r="H55" s="2790"/>
    </row>
    <row r="56" spans="1:8" ht="15">
      <c r="A56" s="2786" t="s">
        <v>426</v>
      </c>
      <c r="B56" s="2787" t="s">
        <v>1194</v>
      </c>
      <c r="C56" s="2791">
        <v>484.9</v>
      </c>
      <c r="D56" s="2791">
        <v>547.1</v>
      </c>
      <c r="E56" s="2789">
        <f>D56/C56*100</f>
        <v>112.82738709012168</v>
      </c>
      <c r="F56" s="2790"/>
      <c r="G56" s="2790"/>
      <c r="H56" s="2790"/>
    </row>
    <row r="57" spans="1:8" ht="15">
      <c r="A57" s="2786" t="s">
        <v>1195</v>
      </c>
      <c r="B57" s="2787" t="s">
        <v>1196</v>
      </c>
      <c r="C57" s="2791">
        <v>51.1</v>
      </c>
      <c r="D57" s="2791">
        <v>49.5</v>
      </c>
      <c r="E57" s="2789"/>
      <c r="F57" s="2790"/>
      <c r="G57" s="2790"/>
      <c r="H57" s="2790"/>
    </row>
    <row r="58" spans="1:8" ht="15">
      <c r="A58" s="2786" t="s">
        <v>1197</v>
      </c>
      <c r="B58" s="2787" t="s">
        <v>1198</v>
      </c>
      <c r="C58" s="2791">
        <v>133.5</v>
      </c>
      <c r="D58" s="2791">
        <v>158.5</v>
      </c>
      <c r="E58" s="2789">
        <f>D58/C58*100</f>
        <v>118.72659176029963</v>
      </c>
      <c r="F58" s="2790"/>
      <c r="G58" s="2790"/>
      <c r="H58" s="2790"/>
    </row>
    <row r="59" spans="1:8" ht="15">
      <c r="A59" s="2786" t="s">
        <v>1199</v>
      </c>
      <c r="B59" s="2787" t="s">
        <v>1200</v>
      </c>
      <c r="C59" s="2791">
        <v>21</v>
      </c>
      <c r="D59" s="2791">
        <v>32.4</v>
      </c>
      <c r="E59" s="2789">
        <f>D59/C59*100</f>
        <v>154.28571428571428</v>
      </c>
      <c r="F59" s="2790"/>
      <c r="G59" s="2790"/>
      <c r="H59" s="2790"/>
    </row>
    <row r="60" spans="1:8" ht="15">
      <c r="A60" s="2786" t="s">
        <v>1201</v>
      </c>
      <c r="B60" s="2787" t="s">
        <v>1202</v>
      </c>
      <c r="C60" s="2791">
        <v>15.7</v>
      </c>
      <c r="D60" s="2791">
        <v>20.4</v>
      </c>
      <c r="E60" s="2789">
        <f>D60/C60*100</f>
        <v>129.93630573248407</v>
      </c>
      <c r="F60" s="2790"/>
      <c r="G60" s="2790"/>
      <c r="H60" s="2790"/>
    </row>
    <row r="61" spans="1:8" ht="15">
      <c r="A61" s="1272"/>
      <c r="B61" s="2792"/>
      <c r="C61" s="2793"/>
      <c r="D61" s="2793"/>
      <c r="E61" s="2789"/>
      <c r="F61" s="2761"/>
      <c r="G61" s="2761"/>
      <c r="H61" s="2761"/>
    </row>
    <row r="62" spans="1:8" ht="34.5" customHeight="1">
      <c r="A62" s="2808" t="s">
        <v>1209</v>
      </c>
      <c r="B62" s="2807" t="s">
        <v>1210</v>
      </c>
      <c r="C62" s="2806"/>
      <c r="D62" s="2806"/>
      <c r="E62" s="2789"/>
      <c r="F62" s="2809"/>
      <c r="G62" s="2809"/>
      <c r="H62" s="2809"/>
    </row>
    <row r="63" spans="1:8" ht="15">
      <c r="A63" s="2786" t="s">
        <v>424</v>
      </c>
      <c r="B63" s="2787" t="s">
        <v>1193</v>
      </c>
      <c r="C63" s="2791">
        <v>745.3</v>
      </c>
      <c r="D63" s="2791">
        <v>788.8</v>
      </c>
      <c r="E63" s="2789">
        <f>D63/C63*100</f>
        <v>105.83657587548639</v>
      </c>
      <c r="F63" s="2790"/>
      <c r="G63" s="2790"/>
      <c r="H63" s="2790"/>
    </row>
    <row r="64" spans="1:8" ht="15">
      <c r="A64" s="2786" t="s">
        <v>426</v>
      </c>
      <c r="B64" s="2787" t="s">
        <v>1194</v>
      </c>
      <c r="C64" s="2791">
        <v>267.3</v>
      </c>
      <c r="D64" s="2791">
        <v>289.8</v>
      </c>
      <c r="E64" s="2789">
        <f>D64/C64*100</f>
        <v>108.41750841750842</v>
      </c>
      <c r="F64" s="2790"/>
      <c r="G64" s="2790"/>
      <c r="H64" s="2790"/>
    </row>
    <row r="65" spans="1:8" ht="15">
      <c r="A65" s="2786" t="s">
        <v>1195</v>
      </c>
      <c r="B65" s="2787" t="s">
        <v>1196</v>
      </c>
      <c r="C65" s="2791">
        <v>35.9</v>
      </c>
      <c r="D65" s="2791">
        <v>36.7</v>
      </c>
      <c r="E65" s="2789"/>
      <c r="F65" s="2790"/>
      <c r="G65" s="2790"/>
      <c r="H65" s="2790"/>
    </row>
    <row r="66" spans="1:8" ht="15">
      <c r="A66" s="2786" t="s">
        <v>1197</v>
      </c>
      <c r="B66" s="2787" t="s">
        <v>1198</v>
      </c>
      <c r="C66" s="2791">
        <v>1063.6</v>
      </c>
      <c r="D66" s="2791">
        <v>1003</v>
      </c>
      <c r="E66" s="2789">
        <f>D66/C66*100</f>
        <v>94.30236931177134</v>
      </c>
      <c r="F66" s="2790"/>
      <c r="G66" s="2790"/>
      <c r="H66" s="2790"/>
    </row>
    <row r="67" spans="1:8" ht="15">
      <c r="A67" s="2786" t="s">
        <v>1199</v>
      </c>
      <c r="B67" s="2787" t="s">
        <v>1200</v>
      </c>
      <c r="C67" s="2791">
        <v>76.4</v>
      </c>
      <c r="D67" s="2791">
        <v>79.7</v>
      </c>
      <c r="E67" s="2789">
        <f>D67/C67*100</f>
        <v>104.31937172774867</v>
      </c>
      <c r="F67" s="2790"/>
      <c r="G67" s="2790"/>
      <c r="H67" s="2790"/>
    </row>
    <row r="68" spans="1:8" ht="15">
      <c r="A68" s="2786" t="s">
        <v>1201</v>
      </c>
      <c r="B68" s="2787" t="s">
        <v>1202</v>
      </c>
      <c r="C68" s="2791">
        <v>7.2</v>
      </c>
      <c r="D68" s="2791">
        <v>8</v>
      </c>
      <c r="E68" s="2789"/>
      <c r="F68" s="2790"/>
      <c r="G68" s="2790"/>
      <c r="H68" s="2790"/>
    </row>
    <row r="69" spans="1:8" ht="19.5" customHeight="1">
      <c r="A69" s="2810"/>
      <c r="B69" s="2811" t="s">
        <v>643</v>
      </c>
      <c r="C69" s="2812"/>
      <c r="D69" s="2812"/>
      <c r="E69" s="2797"/>
      <c r="F69" s="2761"/>
      <c r="G69" s="2761"/>
      <c r="H69" s="2761"/>
    </row>
    <row r="70" spans="1:8" ht="15.75">
      <c r="A70" s="2813" t="s">
        <v>424</v>
      </c>
      <c r="B70" s="2814" t="s">
        <v>1193</v>
      </c>
      <c r="C70" s="2815">
        <f>C63+C55+C47+C40+C32+C24+C16+C8</f>
        <v>42461.4</v>
      </c>
      <c r="D70" s="2815">
        <f>D63+D55+D47+D40+D32+D24+D16+D8</f>
        <v>48115.1</v>
      </c>
      <c r="E70" s="2816">
        <f>D70/C70*100</f>
        <v>113.31491660661213</v>
      </c>
      <c r="F70" s="2785"/>
      <c r="G70" s="2785"/>
      <c r="H70" s="2785"/>
    </row>
    <row r="71" spans="1:8" ht="15.75">
      <c r="A71" s="2813" t="s">
        <v>426</v>
      </c>
      <c r="B71" s="2814" t="s">
        <v>1194</v>
      </c>
      <c r="C71" s="2815">
        <f>C64+C56+C48+C41+C33+C25+C17+C9</f>
        <v>21607.000000000004</v>
      </c>
      <c r="D71" s="2815">
        <f>D64+D56+D48+D41+D33+D25+D17+D9</f>
        <v>27941.1</v>
      </c>
      <c r="E71" s="2816">
        <f>D71/C71*100</f>
        <v>129.31503679363166</v>
      </c>
      <c r="F71" s="2785"/>
      <c r="G71" s="2785"/>
      <c r="H71" s="2785"/>
    </row>
    <row r="72" spans="1:8" ht="15.75">
      <c r="A72" s="2813" t="s">
        <v>1195</v>
      </c>
      <c r="B72" s="2814" t="s">
        <v>1196</v>
      </c>
      <c r="C72" s="2815">
        <v>50.9</v>
      </c>
      <c r="D72" s="2815">
        <v>58.07</v>
      </c>
      <c r="E72" s="2816"/>
      <c r="F72" s="2785"/>
      <c r="G72" s="2785"/>
      <c r="H72" s="2785"/>
    </row>
    <row r="73" spans="1:8" ht="15.75">
      <c r="A73" s="2813" t="s">
        <v>1197</v>
      </c>
      <c r="B73" s="2814" t="s">
        <v>1198</v>
      </c>
      <c r="C73" s="2815">
        <f>C66+C58+C50+C43+C35+C27+C19+C11</f>
        <v>20101.1</v>
      </c>
      <c r="D73" s="2815">
        <f>D66+D58+D50+D43+D35+D27+D19+D11</f>
        <v>20064</v>
      </c>
      <c r="E73" s="2816">
        <f>D73/C73*100</f>
        <v>99.81543298625449</v>
      </c>
      <c r="F73" s="2785"/>
      <c r="G73" s="2785"/>
      <c r="H73" s="2785"/>
    </row>
    <row r="74" spans="1:8" ht="15.75">
      <c r="A74" s="2813" t="s">
        <v>1199</v>
      </c>
      <c r="B74" s="2814" t="s">
        <v>1200</v>
      </c>
      <c r="C74" s="2817">
        <f>C67+C59+C51+C44+C36+C28+C20+C12</f>
        <v>2634.7</v>
      </c>
      <c r="D74" s="2815">
        <f>D67+D59+D51+D44+D36+D28+D20+D12</f>
        <v>3157.1</v>
      </c>
      <c r="E74" s="2816">
        <f>D74/C74*100</f>
        <v>119.82768436634153</v>
      </c>
      <c r="F74" s="2785"/>
      <c r="G74" s="2785"/>
      <c r="H74" s="2785"/>
    </row>
    <row r="75" spans="1:8" ht="16.5" thickBot="1">
      <c r="A75" s="2818" t="s">
        <v>1201</v>
      </c>
      <c r="B75" s="2819" t="s">
        <v>1202</v>
      </c>
      <c r="C75" s="2820">
        <v>13.1</v>
      </c>
      <c r="D75" s="2821">
        <v>15.7</v>
      </c>
      <c r="E75" s="2822"/>
      <c r="F75" s="2785"/>
      <c r="G75" s="2785"/>
      <c r="H75" s="2785"/>
    </row>
    <row r="76" spans="2:8" ht="12.75">
      <c r="B76" s="2823"/>
      <c r="C76" s="2824"/>
      <c r="D76" s="2824"/>
      <c r="E76" s="2761"/>
      <c r="F76" s="2761"/>
      <c r="G76" s="2761"/>
      <c r="H76" s="2761"/>
    </row>
    <row r="77" spans="2:8" ht="12.75">
      <c r="B77" s="2825"/>
      <c r="C77" s="2826"/>
      <c r="D77" s="2827"/>
      <c r="E77" s="2827"/>
      <c r="F77" s="2761"/>
      <c r="G77" s="2761"/>
      <c r="H77" s="2761"/>
    </row>
    <row r="78" spans="2:8" ht="12.75">
      <c r="B78" s="2825"/>
      <c r="C78" s="2827"/>
      <c r="D78" s="2827"/>
      <c r="E78" s="2827"/>
      <c r="F78" s="2761"/>
      <c r="G78" s="2761"/>
      <c r="H78" s="2761"/>
    </row>
    <row r="79" spans="2:8" ht="12.75">
      <c r="B79" s="2825"/>
      <c r="C79" s="2827"/>
      <c r="D79" s="2827"/>
      <c r="E79" s="2827"/>
      <c r="F79" s="2761"/>
      <c r="G79" s="2761"/>
      <c r="H79" s="2761"/>
    </row>
    <row r="80" spans="2:8" ht="12.75">
      <c r="B80" s="2825"/>
      <c r="C80" s="2827"/>
      <c r="D80" s="2827"/>
      <c r="E80" s="2827"/>
      <c r="F80" s="2761"/>
      <c r="G80" s="2761"/>
      <c r="H80" s="2761"/>
    </row>
  </sheetData>
  <printOptions horizontalCentered="1"/>
  <pageMargins left="0" right="0" top="0.984251968503937" bottom="0.7874015748031497" header="0.5118110236220472" footer="0.5118110236220472"/>
  <pageSetup firstPageNumber="83" useFirstPageNumber="1" horizontalDpi="600" verticalDpi="600" orientation="portrait" paperSize="9" r:id="rId1"/>
  <headerFooter alignWithMargins="0">
    <oddHeader>&amp;C&amp;"Times New Roman CE,Normalny"&amp;P</oddHeader>
  </headerFooter>
</worksheet>
</file>

<file path=xl/worksheets/sheet24.xml><?xml version="1.0" encoding="utf-8"?>
<worksheet xmlns="http://schemas.openxmlformats.org/spreadsheetml/2006/main" xmlns:r="http://schemas.openxmlformats.org/officeDocument/2006/relationships">
  <dimension ref="A1:N24"/>
  <sheetViews>
    <sheetView workbookViewId="0" topLeftCell="E1">
      <selection activeCell="P4" sqref="P4"/>
    </sheetView>
  </sheetViews>
  <sheetFormatPr defaultColWidth="9.00390625" defaultRowHeight="12.75"/>
  <cols>
    <col min="1" max="1" width="4.625" style="628" customWidth="1"/>
    <col min="2" max="2" width="29.625" style="630" customWidth="1"/>
    <col min="3" max="3" width="5.875" style="630" customWidth="1"/>
    <col min="4" max="4" width="9.25390625" style="630" customWidth="1"/>
    <col min="5" max="5" width="7.00390625" style="630" customWidth="1"/>
    <col min="6" max="6" width="14.00390625" style="630" customWidth="1"/>
    <col min="7" max="7" width="6.00390625" style="630" customWidth="1"/>
    <col min="8" max="8" width="14.00390625" style="630" customWidth="1"/>
    <col min="9" max="9" width="5.00390625" style="630" customWidth="1"/>
    <col min="10" max="10" width="14.00390625" style="630" customWidth="1"/>
    <col min="11" max="11" width="0" style="630" hidden="1" customWidth="1"/>
    <col min="12" max="12" width="7.00390625" style="630" customWidth="1"/>
    <col min="13" max="13" width="15.125" style="630" customWidth="1"/>
    <col min="14" max="14" width="9.875" style="630" customWidth="1"/>
    <col min="15" max="15" width="5.00390625" style="630" customWidth="1"/>
    <col min="16" max="16384" width="10.00390625" style="630" customWidth="1"/>
  </cols>
  <sheetData>
    <row r="1" ht="13.5" customHeight="1">
      <c r="M1" s="628" t="s">
        <v>227</v>
      </c>
    </row>
    <row r="2" spans="1:14" s="2829" customFormat="1" ht="33.75" customHeight="1">
      <c r="A2" s="2716" t="s">
        <v>1211</v>
      </c>
      <c r="B2" s="2716"/>
      <c r="C2" s="2828"/>
      <c r="D2" s="2828"/>
      <c r="E2" s="2828"/>
      <c r="F2" s="2828"/>
      <c r="G2" s="2828"/>
      <c r="H2" s="2828"/>
      <c r="I2" s="2828"/>
      <c r="J2" s="2828"/>
      <c r="K2" s="2828"/>
      <c r="L2" s="2828"/>
      <c r="M2" s="2828"/>
      <c r="N2" s="2828"/>
    </row>
    <row r="3" spans="1:14" ht="21" customHeight="1">
      <c r="A3" s="2830"/>
      <c r="B3" s="2830"/>
      <c r="C3" s="696"/>
      <c r="D3" s="696"/>
      <c r="E3" s="696"/>
      <c r="F3" s="696"/>
      <c r="G3" s="696"/>
      <c r="H3" s="696"/>
      <c r="I3" s="696"/>
      <c r="J3" s="696"/>
      <c r="K3" s="696"/>
      <c r="L3" s="696"/>
      <c r="M3" s="696"/>
      <c r="N3" s="696"/>
    </row>
    <row r="4" ht="16.5" customHeight="1" thickBot="1">
      <c r="M4" s="1046" t="s">
        <v>68</v>
      </c>
    </row>
    <row r="5" spans="1:14" s="660" customFormat="1" ht="27.75" customHeight="1" thickTop="1">
      <c r="A5" s="936" t="s">
        <v>644</v>
      </c>
      <c r="B5" s="937" t="s">
        <v>645</v>
      </c>
      <c r="C5" s="2831" t="s">
        <v>646</v>
      </c>
      <c r="D5" s="2832"/>
      <c r="E5" s="2833" t="s">
        <v>647</v>
      </c>
      <c r="F5" s="2834"/>
      <c r="G5" s="2833" t="s">
        <v>648</v>
      </c>
      <c r="H5" s="2832"/>
      <c r="I5" s="2833" t="s">
        <v>649</v>
      </c>
      <c r="J5" s="2834"/>
      <c r="K5" s="2835"/>
      <c r="L5" s="2831" t="s">
        <v>650</v>
      </c>
      <c r="M5" s="2834"/>
      <c r="N5" s="2836" t="s">
        <v>651</v>
      </c>
    </row>
    <row r="6" spans="1:14" s="660" customFormat="1" ht="30.75" customHeight="1" thickBot="1">
      <c r="A6" s="1079"/>
      <c r="B6" s="2662"/>
      <c r="C6" s="2837" t="s">
        <v>1212</v>
      </c>
      <c r="D6" s="2838" t="s">
        <v>652</v>
      </c>
      <c r="E6" s="2839" t="s">
        <v>653</v>
      </c>
      <c r="F6" s="2840" t="s">
        <v>654</v>
      </c>
      <c r="G6" s="2839" t="s">
        <v>653</v>
      </c>
      <c r="H6" s="2840" t="s">
        <v>654</v>
      </c>
      <c r="I6" s="2839" t="s">
        <v>653</v>
      </c>
      <c r="J6" s="2840" t="s">
        <v>654</v>
      </c>
      <c r="K6" s="2839"/>
      <c r="L6" s="2841" t="s">
        <v>653</v>
      </c>
      <c r="M6" s="2840" t="s">
        <v>654</v>
      </c>
      <c r="N6" s="2842" t="s">
        <v>655</v>
      </c>
    </row>
    <row r="7" spans="1:14" s="660" customFormat="1" ht="12" customHeight="1" hidden="1">
      <c r="A7" s="955"/>
      <c r="B7" s="2843"/>
      <c r="C7" s="2843"/>
      <c r="D7" s="2844" t="s">
        <v>1213</v>
      </c>
      <c r="E7" s="2845"/>
      <c r="F7" s="2844"/>
      <c r="G7" s="2845"/>
      <c r="H7" s="2844"/>
      <c r="I7" s="2845"/>
      <c r="J7" s="2844"/>
      <c r="K7" s="2845"/>
      <c r="L7" s="2843"/>
      <c r="M7" s="2844"/>
      <c r="N7" s="2846"/>
    </row>
    <row r="8" spans="1:14" s="660" customFormat="1" ht="12" customHeight="1" hidden="1">
      <c r="A8" s="955"/>
      <c r="B8" s="2843"/>
      <c r="C8" s="2843"/>
      <c r="D8" s="2844"/>
      <c r="E8" s="2845"/>
      <c r="F8" s="2844"/>
      <c r="G8" s="2845"/>
      <c r="H8" s="2844"/>
      <c r="I8" s="2845"/>
      <c r="J8" s="2844"/>
      <c r="K8" s="2845"/>
      <c r="L8" s="2843"/>
      <c r="M8" s="2844"/>
      <c r="N8" s="2846"/>
    </row>
    <row r="9" spans="1:14" s="2851" customFormat="1" ht="11.25" customHeight="1" thickBot="1" thickTop="1">
      <c r="A9" s="941">
        <v>1</v>
      </c>
      <c r="B9" s="942">
        <v>2</v>
      </c>
      <c r="C9" s="2847">
        <v>3</v>
      </c>
      <c r="D9" s="2848">
        <v>4</v>
      </c>
      <c r="E9" s="2849">
        <v>5</v>
      </c>
      <c r="F9" s="2848">
        <v>6</v>
      </c>
      <c r="G9" s="2849">
        <v>7</v>
      </c>
      <c r="H9" s="2848">
        <v>8</v>
      </c>
      <c r="I9" s="2849">
        <v>9</v>
      </c>
      <c r="J9" s="2848">
        <v>10</v>
      </c>
      <c r="K9" s="2849"/>
      <c r="L9" s="942">
        <v>11</v>
      </c>
      <c r="M9" s="2848">
        <v>12</v>
      </c>
      <c r="N9" s="2850">
        <v>13</v>
      </c>
    </row>
    <row r="10" spans="1:14" s="2862" customFormat="1" ht="30" customHeight="1" thickTop="1">
      <c r="A10" s="2852">
        <v>1</v>
      </c>
      <c r="B10" s="2853" t="s">
        <v>656</v>
      </c>
      <c r="C10" s="2854">
        <v>19</v>
      </c>
      <c r="D10" s="2855">
        <v>45</v>
      </c>
      <c r="E10" s="2856">
        <v>10</v>
      </c>
      <c r="F10" s="2857">
        <v>616254.97</v>
      </c>
      <c r="G10" s="2856">
        <v>31</v>
      </c>
      <c r="H10" s="2857">
        <v>12493284.13</v>
      </c>
      <c r="I10" s="2856">
        <v>23</v>
      </c>
      <c r="J10" s="2857">
        <v>27237368.49</v>
      </c>
      <c r="K10" s="2858"/>
      <c r="L10" s="2859">
        <f>I10+G10+E10</f>
        <v>64</v>
      </c>
      <c r="M10" s="2860">
        <f>F10+H10+J10</f>
        <v>40346907.59</v>
      </c>
      <c r="N10" s="2861">
        <v>73</v>
      </c>
    </row>
    <row r="11" spans="1:14" s="2862" customFormat="1" ht="32.25" customHeight="1">
      <c r="A11" s="2863">
        <v>2</v>
      </c>
      <c r="B11" s="2864" t="s">
        <v>657</v>
      </c>
      <c r="C11" s="2865"/>
      <c r="D11" s="2866"/>
      <c r="E11" s="2867"/>
      <c r="F11" s="2868"/>
      <c r="G11" s="2867"/>
      <c r="H11" s="2868"/>
      <c r="I11" s="2867"/>
      <c r="J11" s="2868"/>
      <c r="K11" s="2869"/>
      <c r="L11" s="2870">
        <f>I11+G11+E11</f>
        <v>0</v>
      </c>
      <c r="M11" s="2871">
        <f>F11+H11+J11</f>
        <v>0</v>
      </c>
      <c r="N11" s="2872"/>
    </row>
    <row r="12" spans="1:14" s="666" customFormat="1" ht="13.5" customHeight="1" hidden="1">
      <c r="A12" s="2873"/>
      <c r="B12" s="2874" t="s">
        <v>1214</v>
      </c>
      <c r="C12" s="2875"/>
      <c r="D12" s="2876"/>
      <c r="E12" s="2877"/>
      <c r="F12" s="2878"/>
      <c r="G12" s="2877"/>
      <c r="H12" s="2878"/>
      <c r="I12" s="2877"/>
      <c r="J12" s="2878"/>
      <c r="K12" s="2879"/>
      <c r="L12" s="2880">
        <f>I12+G12+E12</f>
        <v>0</v>
      </c>
      <c r="M12" s="2881">
        <f>F12+H12+J12</f>
        <v>0</v>
      </c>
      <c r="N12" s="2882"/>
    </row>
    <row r="13" spans="1:14" s="2862" customFormat="1" ht="36.75" customHeight="1">
      <c r="A13" s="2863">
        <v>3</v>
      </c>
      <c r="B13" s="2864" t="s">
        <v>658</v>
      </c>
      <c r="C13" s="2865"/>
      <c r="D13" s="2866"/>
      <c r="E13" s="2867"/>
      <c r="F13" s="2868"/>
      <c r="G13" s="2867"/>
      <c r="H13" s="2868"/>
      <c r="I13" s="2867"/>
      <c r="J13" s="2868"/>
      <c r="K13" s="2869"/>
      <c r="L13" s="2870">
        <f>I13+G13+E13</f>
        <v>0</v>
      </c>
      <c r="M13" s="2871">
        <f>F13+H13+J13</f>
        <v>0</v>
      </c>
      <c r="N13" s="2872"/>
    </row>
    <row r="14" spans="1:14" s="666" customFormat="1" ht="17.25" customHeight="1" hidden="1" thickBot="1">
      <c r="A14" s="2873"/>
      <c r="B14" s="2874" t="s">
        <v>1214</v>
      </c>
      <c r="C14" s="2875"/>
      <c r="D14" s="2876"/>
      <c r="E14" s="2877"/>
      <c r="F14" s="2878"/>
      <c r="G14" s="2877"/>
      <c r="H14" s="2878"/>
      <c r="I14" s="2877"/>
      <c r="J14" s="2878"/>
      <c r="K14" s="2879"/>
      <c r="L14" s="2880"/>
      <c r="M14" s="2881"/>
      <c r="N14" s="2882"/>
    </row>
    <row r="15" spans="1:14" s="2862" customFormat="1" ht="36.75" customHeight="1">
      <c r="A15" s="2863">
        <v>4</v>
      </c>
      <c r="B15" s="2883" t="s">
        <v>659</v>
      </c>
      <c r="C15" s="2865"/>
      <c r="D15" s="2866"/>
      <c r="E15" s="2867"/>
      <c r="F15" s="2868"/>
      <c r="G15" s="2867"/>
      <c r="H15" s="2868"/>
      <c r="I15" s="2867"/>
      <c r="J15" s="2868"/>
      <c r="K15" s="2869"/>
      <c r="L15" s="2870">
        <f>I15+G15+E15</f>
        <v>0</v>
      </c>
      <c r="M15" s="2871">
        <f>F15+H15+J15</f>
        <v>0</v>
      </c>
      <c r="N15" s="2872"/>
    </row>
    <row r="16" spans="1:14" s="666" customFormat="1" ht="16.5" customHeight="1" hidden="1" thickTop="1">
      <c r="A16" s="2873"/>
      <c r="B16" s="2874" t="s">
        <v>1215</v>
      </c>
      <c r="C16" s="2875"/>
      <c r="D16" s="2876"/>
      <c r="E16" s="2877"/>
      <c r="F16" s="2878"/>
      <c r="G16" s="2877"/>
      <c r="H16" s="2878"/>
      <c r="I16" s="2877"/>
      <c r="J16" s="2878"/>
      <c r="K16" s="2879"/>
      <c r="L16" s="2880"/>
      <c r="M16" s="2881"/>
      <c r="N16" s="2882"/>
    </row>
    <row r="17" spans="1:14" s="2862" customFormat="1" ht="39" customHeight="1">
      <c r="A17" s="2863">
        <v>5</v>
      </c>
      <c r="B17" s="2864" t="s">
        <v>660</v>
      </c>
      <c r="C17" s="2865"/>
      <c r="D17" s="2866">
        <v>6</v>
      </c>
      <c r="E17" s="2867">
        <v>3</v>
      </c>
      <c r="F17" s="2868">
        <v>106140</v>
      </c>
      <c r="G17" s="2867">
        <v>3</v>
      </c>
      <c r="H17" s="2868">
        <v>103869.32</v>
      </c>
      <c r="I17" s="2867"/>
      <c r="J17" s="2868"/>
      <c r="K17" s="2869"/>
      <c r="L17" s="2870">
        <f>E17+G17+I17</f>
        <v>6</v>
      </c>
      <c r="M17" s="2871">
        <f>F17+H17+J17</f>
        <v>210009.32</v>
      </c>
      <c r="N17" s="2872">
        <v>6</v>
      </c>
    </row>
    <row r="18" spans="1:14" s="666" customFormat="1" ht="15" customHeight="1" hidden="1">
      <c r="A18" s="2873"/>
      <c r="B18" s="2874" t="s">
        <v>1214</v>
      </c>
      <c r="C18" s="2875"/>
      <c r="D18" s="2876"/>
      <c r="E18" s="2877">
        <v>64</v>
      </c>
      <c r="F18" s="2878"/>
      <c r="G18" s="2877"/>
      <c r="H18" s="2878"/>
      <c r="I18" s="2877"/>
      <c r="J18" s="2878"/>
      <c r="K18" s="2879"/>
      <c r="L18" s="2880"/>
      <c r="M18" s="2881"/>
      <c r="N18" s="2882"/>
    </row>
    <row r="19" spans="1:14" s="2862" customFormat="1" ht="33" customHeight="1">
      <c r="A19" s="2863">
        <v>6</v>
      </c>
      <c r="B19" s="2864" t="s">
        <v>661</v>
      </c>
      <c r="C19" s="2865">
        <v>3</v>
      </c>
      <c r="D19" s="2866">
        <v>66</v>
      </c>
      <c r="E19" s="2867">
        <v>49</v>
      </c>
      <c r="F19" s="2868">
        <v>2937931.91</v>
      </c>
      <c r="G19" s="2867">
        <v>19</v>
      </c>
      <c r="H19" s="2868">
        <v>4716663.11</v>
      </c>
      <c r="I19" s="2867">
        <v>1</v>
      </c>
      <c r="J19" s="2868">
        <v>21960</v>
      </c>
      <c r="K19" s="2869"/>
      <c r="L19" s="2870">
        <f>I19+G19+E19</f>
        <v>69</v>
      </c>
      <c r="M19" s="2871">
        <f>F19+H19+J19</f>
        <v>7676555.0200000005</v>
      </c>
      <c r="N19" s="2872">
        <v>34</v>
      </c>
    </row>
    <row r="20" spans="1:14" s="666" customFormat="1" ht="17.25" customHeight="1" hidden="1">
      <c r="A20" s="2884"/>
      <c r="B20" s="2885" t="s">
        <v>1216</v>
      </c>
      <c r="C20" s="2886"/>
      <c r="D20" s="2887"/>
      <c r="E20" s="2888"/>
      <c r="F20" s="2889"/>
      <c r="G20" s="2888"/>
      <c r="H20" s="2889"/>
      <c r="I20" s="2888"/>
      <c r="J20" s="2889"/>
      <c r="K20" s="2890"/>
      <c r="L20" s="2891"/>
      <c r="M20" s="2892"/>
      <c r="N20" s="2893"/>
    </row>
    <row r="21" spans="1:14" s="2862" customFormat="1" ht="33" customHeight="1" thickBot="1">
      <c r="A21" s="2863">
        <v>7</v>
      </c>
      <c r="B21" s="2864" t="s">
        <v>662</v>
      </c>
      <c r="C21" s="2865"/>
      <c r="D21" s="2866"/>
      <c r="E21" s="2867"/>
      <c r="F21" s="2868"/>
      <c r="G21" s="2867"/>
      <c r="H21" s="2868"/>
      <c r="I21" s="2867"/>
      <c r="J21" s="2868"/>
      <c r="K21" s="2869"/>
      <c r="L21" s="2870">
        <v>0</v>
      </c>
      <c r="M21" s="2871">
        <f>F21+H21+J21</f>
        <v>0</v>
      </c>
      <c r="N21" s="2872"/>
    </row>
    <row r="22" spans="1:14" s="655" customFormat="1" ht="32.25" customHeight="1" thickBot="1" thickTop="1">
      <c r="A22" s="2894"/>
      <c r="B22" s="2895" t="s">
        <v>1217</v>
      </c>
      <c r="C22" s="2896">
        <f>C10+C11+C13+C15+C17+C19</f>
        <v>22</v>
      </c>
      <c r="D22" s="2897">
        <f>D10+D11+D13+D15+D17+D19</f>
        <v>117</v>
      </c>
      <c r="E22" s="2898">
        <f>E10+E11+E13+E15+E17+E19</f>
        <v>62</v>
      </c>
      <c r="F22" s="2899">
        <f>SUM(F10:F19)-F14</f>
        <v>3660326.88</v>
      </c>
      <c r="G22" s="2896">
        <f>G10+G11+G13+G15+G17+G19</f>
        <v>53</v>
      </c>
      <c r="H22" s="2899">
        <f>SUM(H10:H19)-H16</f>
        <v>17313816.560000002</v>
      </c>
      <c r="I22" s="2896">
        <f>I10+I11+I13+I15+I17+I19</f>
        <v>24</v>
      </c>
      <c r="J22" s="2899">
        <f>SUM(J10:J19)-J16-J11</f>
        <v>27259328.49</v>
      </c>
      <c r="K22" s="2900"/>
      <c r="L22" s="2896">
        <f>L10+L11+L13+L15+L17+L19</f>
        <v>139</v>
      </c>
      <c r="M22" s="2899">
        <f>M19+M17+M15+M13+M11+M10</f>
        <v>48233471.93000001</v>
      </c>
      <c r="N22" s="2897">
        <f>N10+N11+N13+N15+N17+N19</f>
        <v>113</v>
      </c>
    </row>
    <row r="23" spans="1:14" s="655" customFormat="1" ht="15" customHeight="1" hidden="1">
      <c r="A23" s="2901"/>
      <c r="B23" s="2902" t="s">
        <v>1216</v>
      </c>
      <c r="C23" s="2886"/>
      <c r="D23" s="2887">
        <f>D20</f>
        <v>0</v>
      </c>
      <c r="E23" s="2888">
        <f>E20</f>
        <v>0</v>
      </c>
      <c r="F23" s="2889">
        <f>F20</f>
        <v>0</v>
      </c>
      <c r="G23" s="2888">
        <f>G20</f>
        <v>0</v>
      </c>
      <c r="H23" s="2889">
        <f>H20</f>
        <v>0</v>
      </c>
      <c r="I23" s="2888"/>
      <c r="J23" s="2889"/>
      <c r="K23" s="2890"/>
      <c r="L23" s="2903">
        <f>I23+G23+E23</f>
        <v>0</v>
      </c>
      <c r="M23" s="2889">
        <f>F23+H23+J23</f>
        <v>0</v>
      </c>
      <c r="N23" s="2904">
        <f>N20</f>
        <v>0</v>
      </c>
    </row>
    <row r="24" spans="1:14" s="666" customFormat="1" ht="18.75" customHeight="1" hidden="1">
      <c r="A24" s="2905"/>
      <c r="B24" s="2906" t="s">
        <v>1215</v>
      </c>
      <c r="C24" s="2907"/>
      <c r="D24" s="2908"/>
      <c r="E24" s="2909"/>
      <c r="F24" s="2910"/>
      <c r="G24" s="2909"/>
      <c r="H24" s="2910"/>
      <c r="I24" s="2909">
        <f>I12</f>
        <v>0</v>
      </c>
      <c r="J24" s="2910">
        <f>J12</f>
        <v>0</v>
      </c>
      <c r="K24" s="2911" t="e">
        <f>K18+K16+K14+K12</f>
        <v>#VALUE!</v>
      </c>
      <c r="L24" s="2912">
        <f>I24+G24+E24</f>
        <v>0</v>
      </c>
      <c r="M24" s="2910">
        <f>F24+H24+J24</f>
        <v>0</v>
      </c>
      <c r="N24" s="2913">
        <f>N12</f>
        <v>0</v>
      </c>
    </row>
    <row r="25" ht="13.5" thickTop="1"/>
    <row r="26" ht="14.25" customHeight="1"/>
  </sheetData>
  <printOptions horizontalCentered="1"/>
  <pageMargins left="0" right="0" top="0.984251968503937" bottom="0.7874015748031497" header="0.5118110236220472" footer="0.5118110236220472"/>
  <pageSetup firstPageNumber="88" useFirstPageNumber="1" horizontalDpi="600" verticalDpi="600" orientation="landscape" paperSize="9" r:id="rId1"/>
  <headerFooter alignWithMargins="0">
    <oddHeader>&amp;C&amp;"Times New Roman CE,Normalny"&amp;P</oddHeader>
  </headerFooter>
</worksheet>
</file>

<file path=xl/worksheets/sheet25.xml><?xml version="1.0" encoding="utf-8"?>
<worksheet xmlns="http://schemas.openxmlformats.org/spreadsheetml/2006/main" xmlns:r="http://schemas.openxmlformats.org/officeDocument/2006/relationships">
  <dimension ref="A1:R1426"/>
  <sheetViews>
    <sheetView tabSelected="1" workbookViewId="0" topLeftCell="I2">
      <selection activeCell="T35" sqref="T35"/>
    </sheetView>
  </sheetViews>
  <sheetFormatPr defaultColWidth="9.00390625" defaultRowHeight="12.75"/>
  <cols>
    <col min="1" max="1" width="5.75390625" style="1274" customWidth="1"/>
    <col min="2" max="2" width="20.125" style="889" customWidth="1"/>
    <col min="3" max="3" width="11.75390625" style="1275" customWidth="1"/>
    <col min="4" max="4" width="11.375" style="1276" customWidth="1"/>
    <col min="5" max="5" width="10.875" style="1275" customWidth="1"/>
    <col min="6" max="6" width="5.00390625" style="1277" customWidth="1"/>
    <col min="7" max="7" width="12.25390625" style="1275" customWidth="1"/>
    <col min="8" max="8" width="11.125" style="1275" customWidth="1"/>
    <col min="9" max="9" width="5.625" style="1278" customWidth="1"/>
    <col min="10" max="11" width="9.875" style="1275" customWidth="1"/>
    <col min="12" max="12" width="4.625" style="1278" customWidth="1"/>
    <col min="13" max="14" width="12.875" style="1275" customWidth="1"/>
    <col min="15" max="15" width="4.875" style="1280" customWidth="1"/>
    <col min="16" max="16" width="9.00390625" style="1275" customWidth="1"/>
    <col min="17" max="17" width="9.375" style="1275" customWidth="1"/>
    <col min="18" max="18" width="5.00390625" style="1280" customWidth="1"/>
    <col min="19" max="16384" width="9.125" style="772" customWidth="1"/>
  </cols>
  <sheetData>
    <row r="1" spans="13:14" ht="12.75" hidden="1">
      <c r="M1" s="1279"/>
      <c r="N1" s="1279"/>
    </row>
    <row r="2" spans="1:18" ht="15.75">
      <c r="A2" s="1281"/>
      <c r="B2" s="1282"/>
      <c r="C2" s="1283"/>
      <c r="D2" s="1284"/>
      <c r="E2" s="1283"/>
      <c r="F2" s="1285"/>
      <c r="G2" s="1283"/>
      <c r="H2" s="1283"/>
      <c r="I2" s="1286"/>
      <c r="J2" s="1283"/>
      <c r="K2" s="1283"/>
      <c r="L2" s="1286"/>
      <c r="M2" s="1283"/>
      <c r="N2" s="1283"/>
      <c r="O2" s="817"/>
      <c r="P2" s="1287"/>
      <c r="Q2" s="1288"/>
      <c r="R2" s="1289"/>
    </row>
    <row r="3" spans="1:18" ht="15.75">
      <c r="A3" s="1281"/>
      <c r="B3" s="1282"/>
      <c r="C3" s="1283"/>
      <c r="D3" s="1284"/>
      <c r="E3" s="1283"/>
      <c r="F3" s="1285"/>
      <c r="G3" s="1283"/>
      <c r="H3" s="1283"/>
      <c r="I3" s="1286"/>
      <c r="J3" s="1283"/>
      <c r="K3" s="1283"/>
      <c r="L3" s="1286"/>
      <c r="M3" s="1283"/>
      <c r="N3" s="1283"/>
      <c r="O3" s="817"/>
      <c r="P3" s="1287"/>
      <c r="Q3" s="2914" t="s">
        <v>249</v>
      </c>
      <c r="R3" s="1289"/>
    </row>
    <row r="4" spans="1:18" s="1299" customFormat="1" ht="29.25" customHeight="1">
      <c r="A4" s="1290" t="s">
        <v>1218</v>
      </c>
      <c r="B4" s="1291"/>
      <c r="C4" s="1292"/>
      <c r="D4" s="1293"/>
      <c r="E4" s="1292"/>
      <c r="F4" s="1294"/>
      <c r="G4" s="1292"/>
      <c r="H4" s="1292"/>
      <c r="I4" s="1295"/>
      <c r="J4" s="1292"/>
      <c r="K4" s="1292"/>
      <c r="L4" s="1296"/>
      <c r="M4" s="1293"/>
      <c r="N4" s="1293"/>
      <c r="O4" s="1297"/>
      <c r="P4" s="1298"/>
      <c r="Q4" s="1298"/>
      <c r="R4" s="1297"/>
    </row>
    <row r="5" spans="1:18" ht="12" customHeight="1" thickBot="1">
      <c r="A5" s="1300"/>
      <c r="B5" s="1301"/>
      <c r="C5" s="1302"/>
      <c r="D5" s="1293"/>
      <c r="E5" s="1302"/>
      <c r="F5" s="1294"/>
      <c r="G5" s="1302"/>
      <c r="H5" s="1302"/>
      <c r="I5" s="1295"/>
      <c r="J5" s="1302"/>
      <c r="K5" s="1302"/>
      <c r="L5" s="1295"/>
      <c r="M5" s="1303"/>
      <c r="N5" s="1303"/>
      <c r="O5" s="1304"/>
      <c r="P5" s="1305" t="s">
        <v>68</v>
      </c>
      <c r="Q5" s="1298"/>
      <c r="R5" s="1297"/>
    </row>
    <row r="6" spans="1:18" s="799" customFormat="1" ht="18" customHeight="1" thickTop="1">
      <c r="A6" s="788" t="s">
        <v>287</v>
      </c>
      <c r="B6" s="1306"/>
      <c r="C6" s="1307" t="s">
        <v>91</v>
      </c>
      <c r="D6" s="1308"/>
      <c r="E6" s="1309"/>
      <c r="F6" s="1310"/>
      <c r="G6" s="1311" t="s">
        <v>663</v>
      </c>
      <c r="H6" s="791"/>
      <c r="I6" s="1312"/>
      <c r="J6" s="1313" t="s">
        <v>664</v>
      </c>
      <c r="K6" s="1314"/>
      <c r="L6" s="1315"/>
      <c r="M6" s="1316" t="s">
        <v>665</v>
      </c>
      <c r="N6" s="1317"/>
      <c r="O6" s="1318"/>
      <c r="P6" s="1317" t="s">
        <v>666</v>
      </c>
      <c r="Q6" s="1317"/>
      <c r="R6" s="1319"/>
    </row>
    <row r="7" spans="1:18" s="807" customFormat="1" ht="36" customHeight="1" thickBot="1">
      <c r="A7" s="800" t="s">
        <v>289</v>
      </c>
      <c r="B7" s="1320" t="s">
        <v>290</v>
      </c>
      <c r="C7" s="1321" t="s">
        <v>71</v>
      </c>
      <c r="D7" s="1322" t="s">
        <v>667</v>
      </c>
      <c r="E7" s="1322" t="s">
        <v>231</v>
      </c>
      <c r="F7" s="1323" t="s">
        <v>292</v>
      </c>
      <c r="G7" s="1324" t="s">
        <v>72</v>
      </c>
      <c r="H7" s="1325" t="s">
        <v>231</v>
      </c>
      <c r="I7" s="1326" t="s">
        <v>293</v>
      </c>
      <c r="J7" s="1324" t="s">
        <v>72</v>
      </c>
      <c r="K7" s="803" t="s">
        <v>231</v>
      </c>
      <c r="L7" s="1327" t="s">
        <v>294</v>
      </c>
      <c r="M7" s="1324" t="s">
        <v>72</v>
      </c>
      <c r="N7" s="1328" t="s">
        <v>231</v>
      </c>
      <c r="O7" s="1329" t="s">
        <v>294</v>
      </c>
      <c r="P7" s="1324" t="s">
        <v>72</v>
      </c>
      <c r="Q7" s="1330" t="s">
        <v>231</v>
      </c>
      <c r="R7" s="1329" t="s">
        <v>293</v>
      </c>
    </row>
    <row r="8" spans="1:18" s="1338" customFormat="1" ht="15" customHeight="1" thickBot="1" thickTop="1">
      <c r="A8" s="1331">
        <v>1</v>
      </c>
      <c r="B8" s="1332">
        <v>2</v>
      </c>
      <c r="C8" s="1333">
        <v>3</v>
      </c>
      <c r="D8" s="1334">
        <v>4</v>
      </c>
      <c r="E8" s="1334">
        <v>5</v>
      </c>
      <c r="F8" s="1335">
        <v>6</v>
      </c>
      <c r="G8" s="1334">
        <v>7</v>
      </c>
      <c r="H8" s="1336">
        <v>8</v>
      </c>
      <c r="I8" s="1337">
        <v>9</v>
      </c>
      <c r="J8" s="1336">
        <v>10</v>
      </c>
      <c r="K8" s="1334">
        <v>11</v>
      </c>
      <c r="L8" s="1337">
        <v>12</v>
      </c>
      <c r="M8" s="1336">
        <v>13</v>
      </c>
      <c r="N8" s="1334">
        <v>14</v>
      </c>
      <c r="O8" s="1337">
        <v>15</v>
      </c>
      <c r="P8" s="1336">
        <v>16</v>
      </c>
      <c r="Q8" s="1336">
        <v>17</v>
      </c>
      <c r="R8" s="1337">
        <v>18</v>
      </c>
    </row>
    <row r="9" spans="1:18" s="1350" customFormat="1" ht="26.25" customHeight="1" thickBot="1" thickTop="1">
      <c r="A9" s="1339" t="s">
        <v>112</v>
      </c>
      <c r="B9" s="1340" t="s">
        <v>668</v>
      </c>
      <c r="C9" s="1341">
        <f>C12+C30</f>
        <v>1600</v>
      </c>
      <c r="D9" s="813">
        <f aca="true" t="shared" si="0" ref="D9:E42">G9+J9+P9+M9</f>
        <v>1600</v>
      </c>
      <c r="E9" s="813">
        <f t="shared" si="0"/>
        <v>668</v>
      </c>
      <c r="F9" s="1342">
        <f>E9/D9*100</f>
        <v>41.75</v>
      </c>
      <c r="G9" s="1343">
        <f>G30</f>
        <v>1600</v>
      </c>
      <c r="H9" s="1343">
        <f>H30</f>
        <v>668</v>
      </c>
      <c r="I9" s="1344">
        <f>H9/G9*100</f>
        <v>41.75</v>
      </c>
      <c r="J9" s="1345"/>
      <c r="K9" s="1346"/>
      <c r="L9" s="1347"/>
      <c r="M9" s="1346"/>
      <c r="N9" s="1346"/>
      <c r="O9" s="1348"/>
      <c r="P9" s="1343"/>
      <c r="Q9" s="1343"/>
      <c r="R9" s="1349"/>
    </row>
    <row r="10" spans="1:18" s="1350" customFormat="1" ht="26.25" customHeight="1" hidden="1">
      <c r="A10" s="1351" t="s">
        <v>669</v>
      </c>
      <c r="B10" s="1352" t="s">
        <v>670</v>
      </c>
      <c r="C10" s="1353"/>
      <c r="D10" s="843">
        <f t="shared" si="0"/>
        <v>0</v>
      </c>
      <c r="E10" s="843">
        <f t="shared" si="0"/>
        <v>0</v>
      </c>
      <c r="F10" s="1354" t="e">
        <f>E10/D10*100</f>
        <v>#DIV/0!</v>
      </c>
      <c r="G10" s="1355"/>
      <c r="H10" s="1356"/>
      <c r="I10" s="1357"/>
      <c r="J10" s="1358"/>
      <c r="K10" s="1359"/>
      <c r="L10" s="1360"/>
      <c r="M10" s="1359"/>
      <c r="N10" s="1359"/>
      <c r="O10" s="1361"/>
      <c r="P10" s="1355">
        <f>SUM(P11)</f>
        <v>0</v>
      </c>
      <c r="Q10" s="1355">
        <f>SUM(Q11)</f>
        <v>0</v>
      </c>
      <c r="R10" s="1362" t="e">
        <f>Q10/P10*100</f>
        <v>#DIV/0!</v>
      </c>
    </row>
    <row r="11" spans="1:18" s="1375" customFormat="1" ht="15.75" customHeight="1" hidden="1">
      <c r="A11" s="1363" t="s">
        <v>671</v>
      </c>
      <c r="B11" s="1364" t="s">
        <v>672</v>
      </c>
      <c r="C11" s="1365"/>
      <c r="D11" s="830">
        <f t="shared" si="0"/>
        <v>0</v>
      </c>
      <c r="E11" s="830">
        <f t="shared" si="0"/>
        <v>0</v>
      </c>
      <c r="F11" s="1366" t="e">
        <f>E11/D11*100</f>
        <v>#DIV/0!</v>
      </c>
      <c r="G11" s="1367"/>
      <c r="H11" s="1368"/>
      <c r="I11" s="1369"/>
      <c r="J11" s="1370"/>
      <c r="K11" s="1371"/>
      <c r="L11" s="1372"/>
      <c r="M11" s="1371"/>
      <c r="N11" s="1371"/>
      <c r="O11" s="1373"/>
      <c r="P11" s="1367"/>
      <c r="Q11" s="1367"/>
      <c r="R11" s="1374" t="e">
        <f>Q11/P11*100</f>
        <v>#DIV/0!</v>
      </c>
    </row>
    <row r="12" spans="1:18" s="1350" customFormat="1" ht="15" customHeight="1" hidden="1" thickTop="1">
      <c r="A12" s="1376" t="s">
        <v>673</v>
      </c>
      <c r="B12" s="1377" t="s">
        <v>674</v>
      </c>
      <c r="C12" s="1378">
        <f>SUM(C13:C29)</f>
        <v>0</v>
      </c>
      <c r="D12" s="1379">
        <f>SUM(D13:D29)</f>
        <v>0</v>
      </c>
      <c r="E12" s="1380">
        <f aca="true" t="shared" si="1" ref="E12:E29">SUM(H12+K12+N12+Q12)</f>
        <v>0</v>
      </c>
      <c r="F12" s="1381" t="e">
        <f>E12/D12*100</f>
        <v>#DIV/0!</v>
      </c>
      <c r="G12" s="1382"/>
      <c r="H12" s="1383"/>
      <c r="I12" s="1384"/>
      <c r="J12" s="1383"/>
      <c r="K12" s="1382"/>
      <c r="L12" s="1385"/>
      <c r="M12" s="1382"/>
      <c r="N12" s="1382"/>
      <c r="O12" s="1386"/>
      <c r="P12" s="1387">
        <f>SUM(P13:P29)</f>
        <v>0</v>
      </c>
      <c r="Q12" s="1387">
        <f>SUM(Q13:Q29)</f>
        <v>0</v>
      </c>
      <c r="R12" s="1388" t="e">
        <f>Q12/P12*100</f>
        <v>#DIV/0!</v>
      </c>
    </row>
    <row r="13" spans="1:18" s="1375" customFormat="1" ht="24.75" hidden="1" thickTop="1">
      <c r="A13" s="1363" t="s">
        <v>675</v>
      </c>
      <c r="B13" s="1364" t="s">
        <v>676</v>
      </c>
      <c r="C13" s="1389"/>
      <c r="D13" s="830">
        <f t="shared" si="0"/>
        <v>0</v>
      </c>
      <c r="E13" s="1390">
        <f t="shared" si="1"/>
        <v>0</v>
      </c>
      <c r="F13" s="1391" t="e">
        <f>E13/D13*100</f>
        <v>#DIV/0!</v>
      </c>
      <c r="G13" s="1371"/>
      <c r="H13" s="1370"/>
      <c r="I13" s="1372"/>
      <c r="J13" s="1370"/>
      <c r="K13" s="1371"/>
      <c r="L13" s="1372"/>
      <c r="M13" s="1371"/>
      <c r="N13" s="1371"/>
      <c r="O13" s="1392"/>
      <c r="P13" s="1393"/>
      <c r="Q13" s="1394"/>
      <c r="R13" s="1395" t="e">
        <f>Q13/P13*100</f>
        <v>#DIV/0!</v>
      </c>
    </row>
    <row r="14" spans="1:18" s="1375" customFormat="1" ht="24.75" hidden="1" thickTop="1">
      <c r="A14" s="1363" t="s">
        <v>677</v>
      </c>
      <c r="B14" s="1364" t="s">
        <v>678</v>
      </c>
      <c r="C14" s="1389"/>
      <c r="D14" s="830">
        <f t="shared" si="0"/>
        <v>0</v>
      </c>
      <c r="E14" s="1390">
        <f t="shared" si="1"/>
        <v>0</v>
      </c>
      <c r="F14" s="1366" t="e">
        <f aca="true" t="shared" si="2" ref="F14:F77">E14/D14*100</f>
        <v>#DIV/0!</v>
      </c>
      <c r="G14" s="1371"/>
      <c r="H14" s="1370"/>
      <c r="I14" s="1372"/>
      <c r="J14" s="1370"/>
      <c r="K14" s="1371"/>
      <c r="L14" s="1372"/>
      <c r="M14" s="1371"/>
      <c r="N14" s="1371"/>
      <c r="O14" s="1392"/>
      <c r="P14" s="1389"/>
      <c r="Q14" s="1367"/>
      <c r="R14" s="1395" t="e">
        <f aca="true" t="shared" si="3" ref="R14:R29">Q14/P14*100</f>
        <v>#DIV/0!</v>
      </c>
    </row>
    <row r="15" spans="1:18" s="1375" customFormat="1" ht="24.75" customHeight="1" hidden="1" thickTop="1">
      <c r="A15" s="1363" t="s">
        <v>679</v>
      </c>
      <c r="B15" s="1364" t="s">
        <v>680</v>
      </c>
      <c r="C15" s="1389"/>
      <c r="D15" s="830">
        <f t="shared" si="0"/>
        <v>0</v>
      </c>
      <c r="E15" s="1390">
        <f t="shared" si="1"/>
        <v>0</v>
      </c>
      <c r="F15" s="1366" t="e">
        <f t="shared" si="2"/>
        <v>#DIV/0!</v>
      </c>
      <c r="G15" s="1371"/>
      <c r="H15" s="1370"/>
      <c r="I15" s="1372"/>
      <c r="J15" s="1370"/>
      <c r="K15" s="1371"/>
      <c r="L15" s="1372"/>
      <c r="M15" s="1371"/>
      <c r="N15" s="1371"/>
      <c r="O15" s="1392"/>
      <c r="P15" s="1389"/>
      <c r="Q15" s="1367"/>
      <c r="R15" s="1395" t="e">
        <f t="shared" si="3"/>
        <v>#DIV/0!</v>
      </c>
    </row>
    <row r="16" spans="1:18" s="1375" customFormat="1" ht="36.75" hidden="1" thickTop="1">
      <c r="A16" s="1363" t="s">
        <v>681</v>
      </c>
      <c r="B16" s="1364" t="s">
        <v>682</v>
      </c>
      <c r="C16" s="1389"/>
      <c r="D16" s="830">
        <f t="shared" si="0"/>
        <v>0</v>
      </c>
      <c r="E16" s="1390">
        <f t="shared" si="1"/>
        <v>0</v>
      </c>
      <c r="F16" s="1366" t="e">
        <f t="shared" si="2"/>
        <v>#DIV/0!</v>
      </c>
      <c r="G16" s="1371"/>
      <c r="H16" s="1370"/>
      <c r="I16" s="1372"/>
      <c r="J16" s="1370"/>
      <c r="K16" s="1371"/>
      <c r="L16" s="1372"/>
      <c r="M16" s="1371"/>
      <c r="N16" s="1371"/>
      <c r="O16" s="1392"/>
      <c r="P16" s="1389"/>
      <c r="Q16" s="1367"/>
      <c r="R16" s="1395" t="e">
        <f t="shared" si="3"/>
        <v>#DIV/0!</v>
      </c>
    </row>
    <row r="17" spans="1:18" s="1375" customFormat="1" ht="24.75" hidden="1" thickTop="1">
      <c r="A17" s="1363" t="s">
        <v>683</v>
      </c>
      <c r="B17" s="1364" t="s">
        <v>684</v>
      </c>
      <c r="C17" s="1389"/>
      <c r="D17" s="830">
        <f t="shared" si="0"/>
        <v>0</v>
      </c>
      <c r="E17" s="1390">
        <f t="shared" si="1"/>
        <v>0</v>
      </c>
      <c r="F17" s="1366" t="e">
        <f t="shared" si="2"/>
        <v>#DIV/0!</v>
      </c>
      <c r="G17" s="1371"/>
      <c r="H17" s="1370"/>
      <c r="I17" s="1372"/>
      <c r="J17" s="1370"/>
      <c r="K17" s="1371"/>
      <c r="L17" s="1372"/>
      <c r="M17" s="1371"/>
      <c r="N17" s="1371"/>
      <c r="O17" s="1392"/>
      <c r="P17" s="1389"/>
      <c r="Q17" s="1367"/>
      <c r="R17" s="1395" t="e">
        <f t="shared" si="3"/>
        <v>#DIV/0!</v>
      </c>
    </row>
    <row r="18" spans="1:18" s="1375" customFormat="1" ht="24.75" hidden="1" thickTop="1">
      <c r="A18" s="1363" t="s">
        <v>685</v>
      </c>
      <c r="B18" s="1364" t="s">
        <v>686</v>
      </c>
      <c r="C18" s="1389"/>
      <c r="D18" s="830">
        <f t="shared" si="0"/>
        <v>0</v>
      </c>
      <c r="E18" s="1390">
        <f t="shared" si="1"/>
        <v>0</v>
      </c>
      <c r="F18" s="1366" t="e">
        <f t="shared" si="2"/>
        <v>#DIV/0!</v>
      </c>
      <c r="G18" s="1371"/>
      <c r="H18" s="1370"/>
      <c r="I18" s="1372"/>
      <c r="J18" s="1370"/>
      <c r="K18" s="1371"/>
      <c r="L18" s="1372"/>
      <c r="M18" s="1371"/>
      <c r="N18" s="1371"/>
      <c r="O18" s="1392"/>
      <c r="P18" s="1389"/>
      <c r="Q18" s="1367"/>
      <c r="R18" s="1395" t="e">
        <f t="shared" si="3"/>
        <v>#DIV/0!</v>
      </c>
    </row>
    <row r="19" spans="1:18" s="1375" customFormat="1" ht="13.5" hidden="1" thickTop="1">
      <c r="A19" s="1363" t="s">
        <v>687</v>
      </c>
      <c r="B19" s="1364" t="s">
        <v>688</v>
      </c>
      <c r="C19" s="1389"/>
      <c r="D19" s="830">
        <f t="shared" si="0"/>
        <v>0</v>
      </c>
      <c r="E19" s="1390">
        <f t="shared" si="1"/>
        <v>0</v>
      </c>
      <c r="F19" s="1366" t="e">
        <f t="shared" si="2"/>
        <v>#DIV/0!</v>
      </c>
      <c r="G19" s="1371"/>
      <c r="H19" s="1370"/>
      <c r="I19" s="1372"/>
      <c r="J19" s="1370"/>
      <c r="K19" s="1371"/>
      <c r="L19" s="1372"/>
      <c r="M19" s="1371"/>
      <c r="N19" s="1371"/>
      <c r="O19" s="1392"/>
      <c r="P19" s="1389"/>
      <c r="Q19" s="1367"/>
      <c r="R19" s="1395" t="e">
        <f t="shared" si="3"/>
        <v>#DIV/0!</v>
      </c>
    </row>
    <row r="20" spans="1:18" s="1375" customFormat="1" ht="24.75" hidden="1" thickTop="1">
      <c r="A20" s="1363" t="s">
        <v>689</v>
      </c>
      <c r="B20" s="1364" t="s">
        <v>690</v>
      </c>
      <c r="C20" s="1389"/>
      <c r="D20" s="830">
        <f t="shared" si="0"/>
        <v>0</v>
      </c>
      <c r="E20" s="1390">
        <f t="shared" si="1"/>
        <v>0</v>
      </c>
      <c r="F20" s="1366" t="e">
        <f t="shared" si="2"/>
        <v>#DIV/0!</v>
      </c>
      <c r="G20" s="1371"/>
      <c r="H20" s="1370"/>
      <c r="I20" s="1372"/>
      <c r="J20" s="1370"/>
      <c r="K20" s="1371"/>
      <c r="L20" s="1372"/>
      <c r="M20" s="1371"/>
      <c r="N20" s="1371"/>
      <c r="O20" s="1392"/>
      <c r="P20" s="1389"/>
      <c r="Q20" s="1367"/>
      <c r="R20" s="1395" t="e">
        <f t="shared" si="3"/>
        <v>#DIV/0!</v>
      </c>
    </row>
    <row r="21" spans="1:18" s="1375" customFormat="1" ht="24.75" hidden="1" thickTop="1">
      <c r="A21" s="1363" t="s">
        <v>691</v>
      </c>
      <c r="B21" s="1364" t="s">
        <v>692</v>
      </c>
      <c r="C21" s="1389"/>
      <c r="D21" s="830">
        <f t="shared" si="0"/>
        <v>0</v>
      </c>
      <c r="E21" s="1390">
        <f t="shared" si="1"/>
        <v>0</v>
      </c>
      <c r="F21" s="1366" t="e">
        <f t="shared" si="2"/>
        <v>#DIV/0!</v>
      </c>
      <c r="G21" s="1371"/>
      <c r="H21" s="1370"/>
      <c r="I21" s="1372"/>
      <c r="J21" s="1370"/>
      <c r="K21" s="1371"/>
      <c r="L21" s="1372"/>
      <c r="M21" s="1371"/>
      <c r="N21" s="1371"/>
      <c r="O21" s="1392"/>
      <c r="P21" s="1389"/>
      <c r="Q21" s="1367"/>
      <c r="R21" s="1395" t="e">
        <f t="shared" si="3"/>
        <v>#DIV/0!</v>
      </c>
    </row>
    <row r="22" spans="1:18" s="1375" customFormat="1" ht="13.5" hidden="1" thickTop="1">
      <c r="A22" s="1363" t="s">
        <v>693</v>
      </c>
      <c r="B22" s="1364" t="s">
        <v>694</v>
      </c>
      <c r="C22" s="1389"/>
      <c r="D22" s="830">
        <f t="shared" si="0"/>
        <v>0</v>
      </c>
      <c r="E22" s="1390">
        <f t="shared" si="1"/>
        <v>0</v>
      </c>
      <c r="F22" s="1366" t="e">
        <f t="shared" si="2"/>
        <v>#DIV/0!</v>
      </c>
      <c r="G22" s="1371"/>
      <c r="H22" s="1370"/>
      <c r="I22" s="1372"/>
      <c r="J22" s="1370"/>
      <c r="K22" s="1371"/>
      <c r="L22" s="1372"/>
      <c r="M22" s="1371"/>
      <c r="N22" s="1371"/>
      <c r="O22" s="1392"/>
      <c r="P22" s="1389"/>
      <c r="Q22" s="1367"/>
      <c r="R22" s="1395" t="e">
        <f t="shared" si="3"/>
        <v>#DIV/0!</v>
      </c>
    </row>
    <row r="23" spans="1:18" s="1375" customFormat="1" ht="13.5" hidden="1" thickTop="1">
      <c r="A23" s="1363" t="s">
        <v>695</v>
      </c>
      <c r="B23" s="1364" t="s">
        <v>696</v>
      </c>
      <c r="C23" s="1389"/>
      <c r="D23" s="830">
        <f t="shared" si="0"/>
        <v>0</v>
      </c>
      <c r="E23" s="1390">
        <f t="shared" si="1"/>
        <v>0</v>
      </c>
      <c r="F23" s="1366" t="e">
        <f t="shared" si="2"/>
        <v>#DIV/0!</v>
      </c>
      <c r="G23" s="1371"/>
      <c r="H23" s="1370"/>
      <c r="I23" s="1372"/>
      <c r="J23" s="1370"/>
      <c r="K23" s="1371"/>
      <c r="L23" s="1372"/>
      <c r="M23" s="1371"/>
      <c r="N23" s="1371"/>
      <c r="O23" s="1392"/>
      <c r="P23" s="1389"/>
      <c r="Q23" s="1367"/>
      <c r="R23" s="1395" t="e">
        <f t="shared" si="3"/>
        <v>#DIV/0!</v>
      </c>
    </row>
    <row r="24" spans="1:18" s="1375" customFormat="1" ht="13.5" hidden="1" thickTop="1">
      <c r="A24" s="1363" t="s">
        <v>697</v>
      </c>
      <c r="B24" s="1364" t="s">
        <v>698</v>
      </c>
      <c r="C24" s="1389"/>
      <c r="D24" s="830">
        <f t="shared" si="0"/>
        <v>0</v>
      </c>
      <c r="E24" s="1390">
        <f t="shared" si="1"/>
        <v>0</v>
      </c>
      <c r="F24" s="1366" t="e">
        <f t="shared" si="2"/>
        <v>#DIV/0!</v>
      </c>
      <c r="G24" s="1371"/>
      <c r="H24" s="1370"/>
      <c r="I24" s="1372"/>
      <c r="J24" s="1370"/>
      <c r="K24" s="1371"/>
      <c r="L24" s="1372"/>
      <c r="M24" s="1371"/>
      <c r="N24" s="1371"/>
      <c r="O24" s="1392"/>
      <c r="P24" s="1389"/>
      <c r="Q24" s="1367"/>
      <c r="R24" s="1395" t="e">
        <f t="shared" si="3"/>
        <v>#DIV/0!</v>
      </c>
    </row>
    <row r="25" spans="1:18" s="1375" customFormat="1" ht="13.5" hidden="1" thickTop="1">
      <c r="A25" s="1363" t="s">
        <v>671</v>
      </c>
      <c r="B25" s="1364" t="s">
        <v>672</v>
      </c>
      <c r="C25" s="1389"/>
      <c r="D25" s="830">
        <f t="shared" si="0"/>
        <v>0</v>
      </c>
      <c r="E25" s="1390">
        <f t="shared" si="1"/>
        <v>0</v>
      </c>
      <c r="F25" s="1366" t="e">
        <f t="shared" si="2"/>
        <v>#DIV/0!</v>
      </c>
      <c r="G25" s="1371"/>
      <c r="H25" s="1370"/>
      <c r="I25" s="1372"/>
      <c r="J25" s="1370"/>
      <c r="K25" s="1371"/>
      <c r="L25" s="1372"/>
      <c r="M25" s="1371"/>
      <c r="N25" s="1371"/>
      <c r="O25" s="1392"/>
      <c r="P25" s="1389"/>
      <c r="Q25" s="1367"/>
      <c r="R25" s="1395" t="e">
        <f t="shared" si="3"/>
        <v>#DIV/0!</v>
      </c>
    </row>
    <row r="26" spans="1:18" s="1375" customFormat="1" ht="13.5" hidden="1" thickTop="1">
      <c r="A26" s="1363" t="s">
        <v>699</v>
      </c>
      <c r="B26" s="1364" t="s">
        <v>700</v>
      </c>
      <c r="C26" s="1389"/>
      <c r="D26" s="830">
        <f t="shared" si="0"/>
        <v>0</v>
      </c>
      <c r="E26" s="1390">
        <f t="shared" si="1"/>
        <v>0</v>
      </c>
      <c r="F26" s="1366" t="e">
        <f t="shared" si="2"/>
        <v>#DIV/0!</v>
      </c>
      <c r="G26" s="1371"/>
      <c r="H26" s="1370"/>
      <c r="I26" s="1372"/>
      <c r="J26" s="1370"/>
      <c r="K26" s="1371"/>
      <c r="L26" s="1372"/>
      <c r="M26" s="1371"/>
      <c r="N26" s="1371"/>
      <c r="O26" s="1392"/>
      <c r="P26" s="1389"/>
      <c r="Q26" s="1367"/>
      <c r="R26" s="1395" t="e">
        <f t="shared" si="3"/>
        <v>#DIV/0!</v>
      </c>
    </row>
    <row r="27" spans="1:18" s="1375" customFormat="1" ht="13.5" hidden="1" thickTop="1">
      <c r="A27" s="1363" t="s">
        <v>701</v>
      </c>
      <c r="B27" s="1364" t="s">
        <v>702</v>
      </c>
      <c r="C27" s="1389"/>
      <c r="D27" s="830">
        <f t="shared" si="0"/>
        <v>0</v>
      </c>
      <c r="E27" s="1390">
        <f t="shared" si="1"/>
        <v>0</v>
      </c>
      <c r="F27" s="1366" t="e">
        <f t="shared" si="2"/>
        <v>#DIV/0!</v>
      </c>
      <c r="G27" s="1371"/>
      <c r="H27" s="1370"/>
      <c r="I27" s="1372"/>
      <c r="J27" s="1370"/>
      <c r="K27" s="1371"/>
      <c r="L27" s="1372"/>
      <c r="M27" s="1371"/>
      <c r="N27" s="1371"/>
      <c r="O27" s="1392"/>
      <c r="P27" s="1389"/>
      <c r="Q27" s="1367"/>
      <c r="R27" s="1395" t="e">
        <f t="shared" si="3"/>
        <v>#DIV/0!</v>
      </c>
    </row>
    <row r="28" spans="1:18" s="1375" customFormat="1" ht="13.5" hidden="1" thickTop="1">
      <c r="A28" s="1363" t="s">
        <v>703</v>
      </c>
      <c r="B28" s="1364" t="s">
        <v>198</v>
      </c>
      <c r="C28" s="1389"/>
      <c r="D28" s="830">
        <f t="shared" si="0"/>
        <v>0</v>
      </c>
      <c r="E28" s="1390">
        <f t="shared" si="1"/>
        <v>0</v>
      </c>
      <c r="F28" s="1366" t="e">
        <f t="shared" si="2"/>
        <v>#DIV/0!</v>
      </c>
      <c r="G28" s="1371"/>
      <c r="H28" s="1370"/>
      <c r="I28" s="1372"/>
      <c r="J28" s="1370"/>
      <c r="K28" s="1371"/>
      <c r="L28" s="1372"/>
      <c r="M28" s="1371"/>
      <c r="N28" s="1371"/>
      <c r="O28" s="1392"/>
      <c r="P28" s="1389"/>
      <c r="Q28" s="1367"/>
      <c r="R28" s="1395" t="e">
        <f t="shared" si="3"/>
        <v>#DIV/0!</v>
      </c>
    </row>
    <row r="29" spans="1:18" s="1375" customFormat="1" ht="24.75" hidden="1" thickTop="1">
      <c r="A29" s="1363" t="s">
        <v>704</v>
      </c>
      <c r="B29" s="1364" t="s">
        <v>705</v>
      </c>
      <c r="C29" s="1389"/>
      <c r="D29" s="830">
        <f t="shared" si="0"/>
        <v>0</v>
      </c>
      <c r="E29" s="1390">
        <f t="shared" si="1"/>
        <v>0</v>
      </c>
      <c r="F29" s="1366" t="e">
        <f t="shared" si="2"/>
        <v>#DIV/0!</v>
      </c>
      <c r="G29" s="1371"/>
      <c r="H29" s="1370"/>
      <c r="I29" s="1372"/>
      <c r="J29" s="1370"/>
      <c r="K29" s="1371"/>
      <c r="L29" s="1372"/>
      <c r="M29" s="1371"/>
      <c r="N29" s="1371"/>
      <c r="O29" s="1392"/>
      <c r="P29" s="1389"/>
      <c r="Q29" s="1367"/>
      <c r="R29" s="1395" t="e">
        <f t="shared" si="3"/>
        <v>#DIV/0!</v>
      </c>
    </row>
    <row r="30" spans="1:18" s="1404" customFormat="1" ht="16.5" customHeight="1" thickTop="1">
      <c r="A30" s="1396" t="s">
        <v>706</v>
      </c>
      <c r="B30" s="1397" t="s">
        <v>707</v>
      </c>
      <c r="C30" s="823">
        <f>SUM(C31:C31)</f>
        <v>1600</v>
      </c>
      <c r="D30" s="845">
        <f t="shared" si="0"/>
        <v>1600</v>
      </c>
      <c r="E30" s="845">
        <f t="shared" si="0"/>
        <v>668</v>
      </c>
      <c r="F30" s="1398">
        <f t="shared" si="2"/>
        <v>41.75</v>
      </c>
      <c r="G30" s="1399">
        <f>SUM(G31:G31)</f>
        <v>1600</v>
      </c>
      <c r="H30" s="845">
        <f>SUM(H31:H31)</f>
        <v>668</v>
      </c>
      <c r="I30" s="1400">
        <f>H30/G30*100</f>
        <v>41.75</v>
      </c>
      <c r="J30" s="1401"/>
      <c r="K30" s="1402"/>
      <c r="L30" s="1385"/>
      <c r="M30" s="1402"/>
      <c r="N30" s="1402"/>
      <c r="O30" s="1403"/>
      <c r="P30" s="876"/>
      <c r="Q30" s="1379"/>
      <c r="R30" s="846"/>
    </row>
    <row r="31" spans="1:18" s="1375" customFormat="1" ht="54.75" customHeight="1" thickBot="1">
      <c r="A31" s="1405" t="s">
        <v>708</v>
      </c>
      <c r="B31" s="1406" t="s">
        <v>709</v>
      </c>
      <c r="C31" s="864">
        <v>1600</v>
      </c>
      <c r="D31" s="869">
        <f t="shared" si="0"/>
        <v>1600</v>
      </c>
      <c r="E31" s="1407">
        <f>SUM(H31+K31+N31+Q31)</f>
        <v>668</v>
      </c>
      <c r="F31" s="1408">
        <f t="shared" si="2"/>
        <v>41.75</v>
      </c>
      <c r="G31" s="1409">
        <v>1600</v>
      </c>
      <c r="H31" s="869">
        <v>668</v>
      </c>
      <c r="I31" s="1410">
        <f>H31/G31*100</f>
        <v>41.75</v>
      </c>
      <c r="J31" s="1411"/>
      <c r="K31" s="1412"/>
      <c r="L31" s="1413"/>
      <c r="M31" s="1412"/>
      <c r="N31" s="1412"/>
      <c r="O31" s="1414"/>
      <c r="P31" s="1415"/>
      <c r="Q31" s="1394"/>
      <c r="R31" s="870"/>
    </row>
    <row r="32" spans="1:18" s="1350" customFormat="1" ht="18.75" customHeight="1" hidden="1" thickBot="1" thickTop="1">
      <c r="A32" s="1339" t="s">
        <v>116</v>
      </c>
      <c r="B32" s="1340" t="s">
        <v>117</v>
      </c>
      <c r="C32" s="1341">
        <f>C33</f>
        <v>0</v>
      </c>
      <c r="D32" s="813">
        <f t="shared" si="0"/>
        <v>0</v>
      </c>
      <c r="E32" s="1416">
        <f>H32+K32+Q32+N32</f>
        <v>0</v>
      </c>
      <c r="F32" s="1342" t="e">
        <f t="shared" si="2"/>
        <v>#DIV/0!</v>
      </c>
      <c r="G32" s="1346"/>
      <c r="H32" s="1345"/>
      <c r="I32" s="1417"/>
      <c r="J32" s="1345"/>
      <c r="K32" s="1346"/>
      <c r="L32" s="1347"/>
      <c r="M32" s="1343">
        <f>M33</f>
        <v>0</v>
      </c>
      <c r="N32" s="1343">
        <f>N33</f>
        <v>0</v>
      </c>
      <c r="O32" s="1349" t="e">
        <f>N32/M32*100</f>
        <v>#DIV/0!</v>
      </c>
      <c r="P32" s="1341"/>
      <c r="Q32" s="1343"/>
      <c r="R32" s="1418"/>
    </row>
    <row r="33" spans="1:18" s="1350" customFormat="1" ht="25.5" hidden="1" thickBot="1" thickTop="1">
      <c r="A33" s="1376" t="s">
        <v>710</v>
      </c>
      <c r="B33" s="1377" t="s">
        <v>711</v>
      </c>
      <c r="C33" s="1378">
        <f>C34</f>
        <v>0</v>
      </c>
      <c r="D33" s="843">
        <f t="shared" si="0"/>
        <v>0</v>
      </c>
      <c r="E33" s="1387">
        <f>E34</f>
        <v>0</v>
      </c>
      <c r="F33" s="1419" t="e">
        <f t="shared" si="2"/>
        <v>#DIV/0!</v>
      </c>
      <c r="G33" s="1382"/>
      <c r="H33" s="1383"/>
      <c r="I33" s="1384"/>
      <c r="J33" s="1383"/>
      <c r="K33" s="1382"/>
      <c r="L33" s="1385"/>
      <c r="M33" s="1387">
        <f>M34</f>
        <v>0</v>
      </c>
      <c r="N33" s="1387">
        <f>N34</f>
        <v>0</v>
      </c>
      <c r="O33" s="1420" t="e">
        <f>N33/M33*100</f>
        <v>#DIV/0!</v>
      </c>
      <c r="P33" s="1378"/>
      <c r="Q33" s="1387"/>
      <c r="R33" s="1421"/>
    </row>
    <row r="34" spans="1:18" s="809" customFormat="1" ht="13.5" hidden="1" thickBot="1">
      <c r="A34" s="1422">
        <v>4300</v>
      </c>
      <c r="B34" s="1423" t="s">
        <v>712</v>
      </c>
      <c r="C34" s="1393"/>
      <c r="D34" s="869">
        <f t="shared" si="0"/>
        <v>0</v>
      </c>
      <c r="E34" s="1407">
        <f>SUM(H34+K34+N34+Q34)</f>
        <v>0</v>
      </c>
      <c r="F34" s="1391" t="e">
        <f t="shared" si="2"/>
        <v>#DIV/0!</v>
      </c>
      <c r="G34" s="1424"/>
      <c r="H34" s="1425"/>
      <c r="I34" s="1413"/>
      <c r="J34" s="1425"/>
      <c r="K34" s="1424"/>
      <c r="L34" s="1413"/>
      <c r="M34" s="1426"/>
      <c r="N34" s="1426">
        <v>0</v>
      </c>
      <c r="O34" s="1374" t="e">
        <f>N34/M34*100</f>
        <v>#DIV/0!</v>
      </c>
      <c r="P34" s="1427"/>
      <c r="Q34" s="1426"/>
      <c r="R34" s="1428"/>
    </row>
    <row r="35" spans="1:18" s="1435" customFormat="1" ht="15.75" customHeight="1" thickBot="1" thickTop="1">
      <c r="A35" s="1429">
        <v>500</v>
      </c>
      <c r="B35" s="1430" t="s">
        <v>180</v>
      </c>
      <c r="C35" s="1431">
        <f>C36</f>
        <v>354000</v>
      </c>
      <c r="D35" s="813">
        <f t="shared" si="0"/>
        <v>354000</v>
      </c>
      <c r="E35" s="1416">
        <f>H35+K35+Q35+N35</f>
        <v>58487</v>
      </c>
      <c r="F35" s="1342">
        <f t="shared" si="2"/>
        <v>16.521751412429378</v>
      </c>
      <c r="G35" s="813">
        <f>G36</f>
        <v>354000</v>
      </c>
      <c r="H35" s="813">
        <f>H36</f>
        <v>58487</v>
      </c>
      <c r="I35" s="1344">
        <f aca="true" t="shared" si="4" ref="I35:I41">H35/G35*100</f>
        <v>16.521751412429378</v>
      </c>
      <c r="J35" s="1432"/>
      <c r="K35" s="1416"/>
      <c r="L35" s="1433"/>
      <c r="M35" s="1416"/>
      <c r="N35" s="1416"/>
      <c r="O35" s="1434"/>
      <c r="P35" s="1341"/>
      <c r="Q35" s="1343"/>
      <c r="R35" s="1418"/>
    </row>
    <row r="36" spans="1:18" s="1435" customFormat="1" ht="18" customHeight="1" thickTop="1">
      <c r="A36" s="1436">
        <v>50095</v>
      </c>
      <c r="B36" s="1437" t="s">
        <v>299</v>
      </c>
      <c r="C36" s="1438">
        <f>SUM(C37:C40)</f>
        <v>354000</v>
      </c>
      <c r="D36" s="821">
        <f t="shared" si="0"/>
        <v>354000</v>
      </c>
      <c r="E36" s="1380">
        <f>SUM(E37:E40)</f>
        <v>58487</v>
      </c>
      <c r="F36" s="1419">
        <f t="shared" si="2"/>
        <v>16.521751412429378</v>
      </c>
      <c r="G36" s="845">
        <f>SUM(G37:G40)</f>
        <v>354000</v>
      </c>
      <c r="H36" s="845">
        <f>SUM(H37:H40)</f>
        <v>58487</v>
      </c>
      <c r="I36" s="1439">
        <f t="shared" si="4"/>
        <v>16.521751412429378</v>
      </c>
      <c r="J36" s="1440"/>
      <c r="K36" s="1380"/>
      <c r="L36" s="1441"/>
      <c r="M36" s="1380"/>
      <c r="N36" s="1380"/>
      <c r="O36" s="1442"/>
      <c r="P36" s="1378"/>
      <c r="Q36" s="1387"/>
      <c r="R36" s="1421"/>
    </row>
    <row r="37" spans="1:18" s="799" customFormat="1" ht="24">
      <c r="A37" s="1443">
        <v>4210</v>
      </c>
      <c r="B37" s="1444" t="s">
        <v>690</v>
      </c>
      <c r="C37" s="1389">
        <v>2000</v>
      </c>
      <c r="D37" s="830">
        <f t="shared" si="0"/>
        <v>2000</v>
      </c>
      <c r="E37" s="1390">
        <f>SUM(H37+K37+N37+Q37)</f>
        <v>247</v>
      </c>
      <c r="F37" s="1366">
        <f t="shared" si="2"/>
        <v>12.35</v>
      </c>
      <c r="G37" s="1393">
        <v>2000</v>
      </c>
      <c r="H37" s="869">
        <v>247</v>
      </c>
      <c r="I37" s="1369">
        <f t="shared" si="4"/>
        <v>12.35</v>
      </c>
      <c r="J37" s="1445"/>
      <c r="K37" s="1390"/>
      <c r="L37" s="1446"/>
      <c r="M37" s="1390"/>
      <c r="N37" s="1390"/>
      <c r="O37" s="1447"/>
      <c r="P37" s="1448"/>
      <c r="Q37" s="1449"/>
      <c r="R37" s="1450"/>
    </row>
    <row r="38" spans="1:18" s="799" customFormat="1" ht="14.25" customHeight="1">
      <c r="A38" s="1443">
        <v>4260</v>
      </c>
      <c r="B38" s="1444" t="s">
        <v>694</v>
      </c>
      <c r="C38" s="1389">
        <v>2000</v>
      </c>
      <c r="D38" s="830">
        <f t="shared" si="0"/>
        <v>2000</v>
      </c>
      <c r="E38" s="1390">
        <f>SUM(H38+K38+N38+Q38)</f>
        <v>350</v>
      </c>
      <c r="F38" s="1366">
        <f t="shared" si="2"/>
        <v>17.5</v>
      </c>
      <c r="G38" s="1389">
        <v>2000</v>
      </c>
      <c r="H38" s="830">
        <v>350</v>
      </c>
      <c r="I38" s="1369">
        <f t="shared" si="4"/>
        <v>17.5</v>
      </c>
      <c r="J38" s="1445"/>
      <c r="K38" s="1390"/>
      <c r="L38" s="1446"/>
      <c r="M38" s="1390"/>
      <c r="N38" s="1390"/>
      <c r="O38" s="1447"/>
      <c r="P38" s="1448"/>
      <c r="Q38" s="1449"/>
      <c r="R38" s="1450"/>
    </row>
    <row r="39" spans="1:18" s="799" customFormat="1" ht="14.25" customHeight="1">
      <c r="A39" s="1443">
        <v>4270</v>
      </c>
      <c r="B39" s="1444" t="s">
        <v>696</v>
      </c>
      <c r="C39" s="1389">
        <v>220000</v>
      </c>
      <c r="D39" s="830">
        <f t="shared" si="0"/>
        <v>220000</v>
      </c>
      <c r="E39" s="1390">
        <f>SUM(H39+K39+N39+Q39)</f>
        <v>0</v>
      </c>
      <c r="F39" s="1366">
        <f t="shared" si="2"/>
        <v>0</v>
      </c>
      <c r="G39" s="1389">
        <v>220000</v>
      </c>
      <c r="H39" s="830"/>
      <c r="I39" s="1369">
        <f t="shared" si="4"/>
        <v>0</v>
      </c>
      <c r="J39" s="1445"/>
      <c r="K39" s="1390"/>
      <c r="L39" s="1446"/>
      <c r="M39" s="1390"/>
      <c r="N39" s="1390"/>
      <c r="O39" s="1447"/>
      <c r="P39" s="1448"/>
      <c r="Q39" s="1449"/>
      <c r="R39" s="1450"/>
    </row>
    <row r="40" spans="1:18" s="799" customFormat="1" ht="18" customHeight="1" thickBot="1">
      <c r="A40" s="1443">
        <v>4300</v>
      </c>
      <c r="B40" s="1451" t="s">
        <v>698</v>
      </c>
      <c r="C40" s="1389">
        <v>130000</v>
      </c>
      <c r="D40" s="830">
        <f t="shared" si="0"/>
        <v>130000</v>
      </c>
      <c r="E40" s="1390">
        <f>SUM(H40+K40+N40+Q40)</f>
        <v>57890</v>
      </c>
      <c r="F40" s="1366">
        <f t="shared" si="2"/>
        <v>44.53076923076923</v>
      </c>
      <c r="G40" s="1452">
        <v>130000</v>
      </c>
      <c r="H40" s="1453">
        <v>57890</v>
      </c>
      <c r="I40" s="1369">
        <f t="shared" si="4"/>
        <v>44.53076923076923</v>
      </c>
      <c r="J40" s="1445"/>
      <c r="K40" s="1390"/>
      <c r="L40" s="1446"/>
      <c r="M40" s="1390"/>
      <c r="N40" s="1390"/>
      <c r="O40" s="1447"/>
      <c r="P40" s="1389"/>
      <c r="Q40" s="1390"/>
      <c r="R40" s="1454"/>
    </row>
    <row r="41" spans="1:18" s="1435" customFormat="1" ht="28.5" customHeight="1" thickBot="1" thickTop="1">
      <c r="A41" s="1455">
        <v>600</v>
      </c>
      <c r="B41" s="1456" t="s">
        <v>121</v>
      </c>
      <c r="C41" s="812">
        <f>SUM(C42+C45+C64+C90+C97)</f>
        <v>46279882</v>
      </c>
      <c r="D41" s="813">
        <f t="shared" si="0"/>
        <v>45744559</v>
      </c>
      <c r="E41" s="813">
        <f>H41+K41+Q41+N41</f>
        <v>11283099</v>
      </c>
      <c r="F41" s="1457">
        <f t="shared" si="2"/>
        <v>24.66544491116419</v>
      </c>
      <c r="G41" s="813">
        <f>SUM(G64+G97+G45)+G42+G90+G95</f>
        <v>21333121</v>
      </c>
      <c r="H41" s="813">
        <f>SUM(H64+H97+H45)+H42+H90+H95</f>
        <v>4659615</v>
      </c>
      <c r="I41" s="1458">
        <f t="shared" si="4"/>
        <v>21.842162710275726</v>
      </c>
      <c r="J41" s="1459"/>
      <c r="K41" s="813"/>
      <c r="L41" s="1433"/>
      <c r="M41" s="813">
        <f>SUM(M64+M97+M45)</f>
        <v>24411438</v>
      </c>
      <c r="N41" s="813">
        <f>SUM(N64+N97+N45)</f>
        <v>6623484</v>
      </c>
      <c r="O41" s="1460">
        <f>N41/M41*100</f>
        <v>27.132707217002128</v>
      </c>
      <c r="P41" s="812"/>
      <c r="Q41" s="813"/>
      <c r="R41" s="816"/>
    </row>
    <row r="42" spans="1:18" s="1471" customFormat="1" ht="27" customHeight="1" thickTop="1">
      <c r="A42" s="1461">
        <v>60004</v>
      </c>
      <c r="B42" s="1462" t="s">
        <v>713</v>
      </c>
      <c r="C42" s="1463">
        <f>SUM(C43:C44)</f>
        <v>8500000</v>
      </c>
      <c r="D42" s="1464">
        <f t="shared" si="0"/>
        <v>8500000</v>
      </c>
      <c r="E42" s="1464">
        <f t="shared" si="0"/>
        <v>2100000</v>
      </c>
      <c r="F42" s="1398">
        <f>E42/D42*100</f>
        <v>24.705882352941178</v>
      </c>
      <c r="G42" s="1465">
        <f>SUM(G43:G44)</f>
        <v>8500000</v>
      </c>
      <c r="H42" s="1465">
        <f>SUM(H43:H44)</f>
        <v>2100000</v>
      </c>
      <c r="I42" s="1400">
        <f>H42/G42*100</f>
        <v>24.705882352941178</v>
      </c>
      <c r="J42" s="1466"/>
      <c r="K42" s="1467"/>
      <c r="L42" s="1468"/>
      <c r="M42" s="1469"/>
      <c r="N42" s="1464"/>
      <c r="O42" s="1470"/>
      <c r="P42" s="1463"/>
      <c r="Q42" s="1465"/>
      <c r="R42" s="880"/>
    </row>
    <row r="43" spans="1:18" ht="27.75" customHeight="1">
      <c r="A43" s="1422">
        <v>4150</v>
      </c>
      <c r="B43" s="1547" t="s">
        <v>714</v>
      </c>
      <c r="C43" s="1393">
        <v>4500000</v>
      </c>
      <c r="D43" s="869">
        <f aca="true" t="shared" si="5" ref="D43:E58">G43+J43+P43+M43</f>
        <v>4500000</v>
      </c>
      <c r="E43" s="869">
        <f t="shared" si="5"/>
        <v>2100000</v>
      </c>
      <c r="F43" s="1391">
        <f>E43/D43*100</f>
        <v>46.666666666666664</v>
      </c>
      <c r="G43" s="869">
        <v>4500000</v>
      </c>
      <c r="H43" s="1542">
        <v>2100000</v>
      </c>
      <c r="I43" s="1410">
        <f>H43/G43*100</f>
        <v>46.666666666666664</v>
      </c>
      <c r="J43" s="1548"/>
      <c r="K43" s="1426"/>
      <c r="L43" s="1491"/>
      <c r="M43" s="2915"/>
      <c r="N43" s="1407"/>
      <c r="O43" s="1549"/>
      <c r="P43" s="1393"/>
      <c r="Q43" s="1407"/>
      <c r="R43" s="1550"/>
    </row>
    <row r="44" spans="1:18" ht="48">
      <c r="A44" s="1492">
        <v>6010</v>
      </c>
      <c r="B44" s="1493" t="s">
        <v>1219</v>
      </c>
      <c r="C44" s="1494">
        <v>4000000</v>
      </c>
      <c r="D44" s="862">
        <f t="shared" si="5"/>
        <v>4000000</v>
      </c>
      <c r="E44" s="862">
        <f t="shared" si="5"/>
        <v>0</v>
      </c>
      <c r="F44" s="1419">
        <f>E44/D44*100</f>
        <v>0</v>
      </c>
      <c r="G44" s="862">
        <v>4000000</v>
      </c>
      <c r="H44" s="1516"/>
      <c r="I44" s="1439">
        <f>H44/G44*100</f>
        <v>0</v>
      </c>
      <c r="J44" s="1495"/>
      <c r="K44" s="1496"/>
      <c r="L44" s="1497"/>
      <c r="M44" s="2916"/>
      <c r="N44" s="1487"/>
      <c r="O44" s="1498"/>
      <c r="P44" s="1494"/>
      <c r="Q44" s="1487"/>
      <c r="R44" s="1539"/>
    </row>
    <row r="45" spans="1:18" s="1435" customFormat="1" ht="39" customHeight="1">
      <c r="A45" s="1479">
        <v>60015</v>
      </c>
      <c r="B45" s="1480" t="s">
        <v>715</v>
      </c>
      <c r="C45" s="876">
        <f>SUM(C46:C52)+SUM(C60:C63)</f>
        <v>25950000</v>
      </c>
      <c r="D45" s="845">
        <f t="shared" si="5"/>
        <v>24411438</v>
      </c>
      <c r="E45" s="845">
        <f t="shared" si="5"/>
        <v>6623484</v>
      </c>
      <c r="F45" s="1398">
        <f t="shared" si="2"/>
        <v>27.132707217002128</v>
      </c>
      <c r="G45" s="1379"/>
      <c r="H45" s="1481"/>
      <c r="I45" s="1482"/>
      <c r="J45" s="1481"/>
      <c r="K45" s="1379"/>
      <c r="L45" s="1482"/>
      <c r="M45" s="1399">
        <f>SUM(M46:M52)+SUM(M60:M63)</f>
        <v>24411438</v>
      </c>
      <c r="N45" s="1379">
        <f>SUM(N46:N52)+SUM(N60:N63)</f>
        <v>6623484</v>
      </c>
      <c r="O45" s="1483">
        <f aca="true" t="shared" si="6" ref="O45:O63">N45/M45*100</f>
        <v>27.132707217002128</v>
      </c>
      <c r="P45" s="876"/>
      <c r="Q45" s="1379"/>
      <c r="R45" s="878"/>
    </row>
    <row r="46" spans="1:18" ht="24">
      <c r="A46" s="1443">
        <v>4210</v>
      </c>
      <c r="B46" s="1444" t="s">
        <v>690</v>
      </c>
      <c r="C46" s="1389">
        <v>40000</v>
      </c>
      <c r="D46" s="830">
        <f t="shared" si="5"/>
        <v>60000</v>
      </c>
      <c r="E46" s="1390">
        <f>SUM(H46+K46+N46+Q46)</f>
        <v>56957</v>
      </c>
      <c r="F46" s="1366">
        <f t="shared" si="2"/>
        <v>94.92833333333334</v>
      </c>
      <c r="G46" s="1449"/>
      <c r="H46" s="1484"/>
      <c r="I46" s="1485"/>
      <c r="J46" s="1484"/>
      <c r="K46" s="1449"/>
      <c r="L46" s="1485"/>
      <c r="M46" s="1486">
        <f>40000+20000</f>
        <v>60000</v>
      </c>
      <c r="N46" s="1449">
        <v>56957</v>
      </c>
      <c r="O46" s="1395">
        <f t="shared" si="6"/>
        <v>94.92833333333334</v>
      </c>
      <c r="P46" s="1448"/>
      <c r="Q46" s="1449"/>
      <c r="R46" s="1450"/>
    </row>
    <row r="47" spans="1:18" ht="24">
      <c r="A47" s="1443">
        <v>4170</v>
      </c>
      <c r="B47" s="1444" t="s">
        <v>744</v>
      </c>
      <c r="C47" s="1389"/>
      <c r="D47" s="830">
        <f t="shared" si="5"/>
        <v>8000</v>
      </c>
      <c r="E47" s="1390">
        <f>SUM(H47+K47+N47+Q47)</f>
        <v>0</v>
      </c>
      <c r="F47" s="1366">
        <f>E47/D47*100</f>
        <v>0</v>
      </c>
      <c r="G47" s="1449"/>
      <c r="H47" s="1484"/>
      <c r="I47" s="1485"/>
      <c r="J47" s="1484"/>
      <c r="K47" s="1449"/>
      <c r="L47" s="1485"/>
      <c r="M47" s="1486">
        <v>8000</v>
      </c>
      <c r="N47" s="1449"/>
      <c r="O47" s="1395">
        <f t="shared" si="6"/>
        <v>0</v>
      </c>
      <c r="P47" s="1448"/>
      <c r="Q47" s="1449"/>
      <c r="R47" s="1450"/>
    </row>
    <row r="48" spans="1:18" ht="15.75" customHeight="1">
      <c r="A48" s="1443">
        <v>4260</v>
      </c>
      <c r="B48" s="1444" t="s">
        <v>694</v>
      </c>
      <c r="C48" s="1389">
        <v>60000</v>
      </c>
      <c r="D48" s="830">
        <f t="shared" si="5"/>
        <v>60000</v>
      </c>
      <c r="E48" s="1390">
        <f>SUM(H48+K48+N48+Q48)</f>
        <v>39429</v>
      </c>
      <c r="F48" s="1366">
        <f t="shared" si="2"/>
        <v>65.715</v>
      </c>
      <c r="G48" s="1449"/>
      <c r="H48" s="1484"/>
      <c r="I48" s="1485"/>
      <c r="J48" s="1484"/>
      <c r="K48" s="1449"/>
      <c r="L48" s="1485"/>
      <c r="M48" s="1486">
        <v>60000</v>
      </c>
      <c r="N48" s="1449">
        <v>39429</v>
      </c>
      <c r="O48" s="1395">
        <f t="shared" si="6"/>
        <v>65.715</v>
      </c>
      <c r="P48" s="1448"/>
      <c r="Q48" s="1449"/>
      <c r="R48" s="1450"/>
    </row>
    <row r="49" spans="1:18" ht="15.75" customHeight="1">
      <c r="A49" s="1443">
        <v>4270</v>
      </c>
      <c r="B49" s="1451" t="s">
        <v>696</v>
      </c>
      <c r="C49" s="1389">
        <v>1950000</v>
      </c>
      <c r="D49" s="830">
        <f t="shared" si="5"/>
        <v>1865150</v>
      </c>
      <c r="E49" s="1390">
        <f>SUM(H49+K49+N49+Q49)</f>
        <v>572788</v>
      </c>
      <c r="F49" s="1366">
        <f t="shared" si="2"/>
        <v>30.71002332252098</v>
      </c>
      <c r="G49" s="1390"/>
      <c r="H49" s="1445"/>
      <c r="I49" s="1446"/>
      <c r="J49" s="1445"/>
      <c r="K49" s="1390"/>
      <c r="L49" s="1446"/>
      <c r="M49" s="1486">
        <f>1950000-50000-20000-14850</f>
        <v>1865150</v>
      </c>
      <c r="N49" s="1390">
        <v>572788</v>
      </c>
      <c r="O49" s="1395">
        <f t="shared" si="6"/>
        <v>30.71002332252098</v>
      </c>
      <c r="P49" s="1389"/>
      <c r="Q49" s="1390"/>
      <c r="R49" s="1450"/>
    </row>
    <row r="50" spans="1:18" ht="15.75" customHeight="1">
      <c r="A50" s="1443">
        <v>4300</v>
      </c>
      <c r="B50" s="1451" t="s">
        <v>698</v>
      </c>
      <c r="C50" s="1389">
        <v>400000</v>
      </c>
      <c r="D50" s="830">
        <f t="shared" si="5"/>
        <v>400000</v>
      </c>
      <c r="E50" s="1390">
        <f aca="true" t="shared" si="7" ref="E50:E85">SUM(H50+K50+N50+Q50)</f>
        <v>196015</v>
      </c>
      <c r="F50" s="1366">
        <f t="shared" si="2"/>
        <v>49.003750000000004</v>
      </c>
      <c r="G50" s="1390"/>
      <c r="H50" s="1445"/>
      <c r="I50" s="1446"/>
      <c r="J50" s="1445"/>
      <c r="K50" s="1390"/>
      <c r="L50" s="1446"/>
      <c r="M50" s="1486">
        <v>400000</v>
      </c>
      <c r="N50" s="1390">
        <v>196015</v>
      </c>
      <c r="O50" s="1395">
        <f t="shared" si="6"/>
        <v>49.003750000000004</v>
      </c>
      <c r="P50" s="1389"/>
      <c r="Q50" s="1390"/>
      <c r="R50" s="1450"/>
    </row>
    <row r="51" spans="1:18" ht="36">
      <c r="A51" s="1443">
        <v>4610</v>
      </c>
      <c r="B51" s="1451" t="s">
        <v>766</v>
      </c>
      <c r="C51" s="1389"/>
      <c r="D51" s="830">
        <f t="shared" si="5"/>
        <v>6850</v>
      </c>
      <c r="E51" s="1390">
        <f>SUM(H51+K51+N51+Q51)</f>
        <v>6849</v>
      </c>
      <c r="F51" s="1366">
        <f>E51/D51*100</f>
        <v>99.98540145985402</v>
      </c>
      <c r="G51" s="1390"/>
      <c r="H51" s="1445"/>
      <c r="I51" s="1446"/>
      <c r="J51" s="1445"/>
      <c r="K51" s="1390"/>
      <c r="L51" s="1446"/>
      <c r="M51" s="1486">
        <v>6850</v>
      </c>
      <c r="N51" s="1390">
        <v>6849</v>
      </c>
      <c r="O51" s="1584">
        <f t="shared" si="6"/>
        <v>99.98540145985402</v>
      </c>
      <c r="P51" s="1389"/>
      <c r="Q51" s="1390"/>
      <c r="R51" s="1450"/>
    </row>
    <row r="52" spans="1:18" ht="24">
      <c r="A52" s="1443">
        <v>6050</v>
      </c>
      <c r="B52" s="1451" t="s">
        <v>767</v>
      </c>
      <c r="C52" s="1389">
        <f>SUM(C53:C57)</f>
        <v>6300000</v>
      </c>
      <c r="D52" s="830">
        <f t="shared" si="5"/>
        <v>6498152</v>
      </c>
      <c r="E52" s="1390">
        <f t="shared" si="7"/>
        <v>45376</v>
      </c>
      <c r="F52" s="1366">
        <f t="shared" si="2"/>
        <v>0.698290837148777</v>
      </c>
      <c r="G52" s="1390"/>
      <c r="H52" s="1445"/>
      <c r="I52" s="1446"/>
      <c r="J52" s="1445"/>
      <c r="K52" s="1390"/>
      <c r="L52" s="1446"/>
      <c r="M52" s="1486">
        <f>SUM(M53:M57)</f>
        <v>6498152</v>
      </c>
      <c r="N52" s="1390">
        <f>SUM(N53:N57)</f>
        <v>45376</v>
      </c>
      <c r="O52" s="1395">
        <f t="shared" si="6"/>
        <v>0.698290837148777</v>
      </c>
      <c r="P52" s="1389"/>
      <c r="Q52" s="1390"/>
      <c r="R52" s="1450"/>
    </row>
    <row r="53" spans="1:18" s="1285" customFormat="1" ht="36">
      <c r="A53" s="1499"/>
      <c r="B53" s="1597" t="s">
        <v>1220</v>
      </c>
      <c r="C53" s="1501">
        <v>1600000</v>
      </c>
      <c r="D53" s="1502">
        <f t="shared" si="5"/>
        <v>1600000</v>
      </c>
      <c r="E53" s="1502">
        <f t="shared" si="7"/>
        <v>3782</v>
      </c>
      <c r="F53" s="1366">
        <f t="shared" si="2"/>
        <v>0.236375</v>
      </c>
      <c r="G53" s="1502"/>
      <c r="H53" s="1504"/>
      <c r="I53" s="1503"/>
      <c r="J53" s="1504"/>
      <c r="K53" s="1502"/>
      <c r="L53" s="1503"/>
      <c r="M53" s="1765">
        <v>1600000</v>
      </c>
      <c r="N53" s="1502">
        <v>3782</v>
      </c>
      <c r="O53" s="1573">
        <f t="shared" si="6"/>
        <v>0.236375</v>
      </c>
      <c r="P53" s="1501"/>
      <c r="Q53" s="1502"/>
      <c r="R53" s="831"/>
    </row>
    <row r="54" spans="1:18" s="1285" customFormat="1" ht="12.75">
      <c r="A54" s="1499"/>
      <c r="B54" s="1597" t="s">
        <v>1061</v>
      </c>
      <c r="C54" s="1501">
        <v>1600000</v>
      </c>
      <c r="D54" s="1502">
        <f t="shared" si="5"/>
        <v>2600000</v>
      </c>
      <c r="E54" s="1502">
        <f t="shared" si="7"/>
        <v>7526</v>
      </c>
      <c r="F54" s="1366">
        <f t="shared" si="2"/>
        <v>0.2894615384615385</v>
      </c>
      <c r="G54" s="1502"/>
      <c r="H54" s="1504"/>
      <c r="I54" s="1503"/>
      <c r="J54" s="1504"/>
      <c r="K54" s="1502"/>
      <c r="L54" s="1503"/>
      <c r="M54" s="1765">
        <f>1600000+1000000</f>
        <v>2600000</v>
      </c>
      <c r="N54" s="1502">
        <v>7526</v>
      </c>
      <c r="O54" s="1573">
        <f t="shared" si="6"/>
        <v>0.2894615384615385</v>
      </c>
      <c r="P54" s="1501"/>
      <c r="Q54" s="1502"/>
      <c r="R54" s="831"/>
    </row>
    <row r="55" spans="1:18" s="1285" customFormat="1" ht="12.75">
      <c r="A55" s="1499"/>
      <c r="B55" s="1597" t="s">
        <v>1063</v>
      </c>
      <c r="C55" s="1501">
        <v>3000000</v>
      </c>
      <c r="D55" s="1502">
        <f t="shared" si="5"/>
        <v>2000000</v>
      </c>
      <c r="E55" s="1502">
        <f t="shared" si="7"/>
        <v>1837</v>
      </c>
      <c r="F55" s="1366">
        <f t="shared" si="2"/>
        <v>0.09185</v>
      </c>
      <c r="G55" s="1502"/>
      <c r="H55" s="1504"/>
      <c r="I55" s="1503"/>
      <c r="J55" s="1504"/>
      <c r="K55" s="1502"/>
      <c r="L55" s="1503"/>
      <c r="M55" s="1765">
        <f>3000000-1000000</f>
        <v>2000000</v>
      </c>
      <c r="N55" s="1502">
        <f>1220+617</f>
        <v>1837</v>
      </c>
      <c r="O55" s="1573">
        <f t="shared" si="6"/>
        <v>0.09185</v>
      </c>
      <c r="P55" s="1501"/>
      <c r="Q55" s="1502"/>
      <c r="R55" s="831"/>
    </row>
    <row r="56" spans="1:18" s="1285" customFormat="1" ht="24">
      <c r="A56" s="1499"/>
      <c r="B56" s="1597" t="s">
        <v>1221</v>
      </c>
      <c r="C56" s="1501"/>
      <c r="D56" s="1502">
        <f t="shared" si="5"/>
        <v>198152</v>
      </c>
      <c r="E56" s="1502">
        <f t="shared" si="7"/>
        <v>3073</v>
      </c>
      <c r="F56" s="1366">
        <f>E56/D56*100</f>
        <v>1.5508296661149017</v>
      </c>
      <c r="G56" s="1502"/>
      <c r="H56" s="1504"/>
      <c r="I56" s="1503"/>
      <c r="J56" s="1504"/>
      <c r="K56" s="1502"/>
      <c r="L56" s="1503"/>
      <c r="M56" s="1765">
        <f>50000+148152</f>
        <v>198152</v>
      </c>
      <c r="N56" s="1502">
        <v>3073</v>
      </c>
      <c r="O56" s="1573">
        <f t="shared" si="6"/>
        <v>1.5508296661149017</v>
      </c>
      <c r="P56" s="1501"/>
      <c r="Q56" s="1502"/>
      <c r="R56" s="831"/>
    </row>
    <row r="57" spans="1:18" s="1285" customFormat="1" ht="12.75">
      <c r="A57" s="1499"/>
      <c r="B57" s="1597" t="s">
        <v>1065</v>
      </c>
      <c r="C57" s="1501">
        <v>100000</v>
      </c>
      <c r="D57" s="1502">
        <f t="shared" si="5"/>
        <v>100000</v>
      </c>
      <c r="E57" s="1502">
        <f t="shared" si="7"/>
        <v>29158</v>
      </c>
      <c r="F57" s="1366">
        <f t="shared" si="2"/>
        <v>29.158</v>
      </c>
      <c r="G57" s="1502"/>
      <c r="H57" s="1504"/>
      <c r="I57" s="1503"/>
      <c r="J57" s="1504"/>
      <c r="K57" s="1502"/>
      <c r="L57" s="1503"/>
      <c r="M57" s="1765">
        <v>100000</v>
      </c>
      <c r="N57" s="1502">
        <v>29158</v>
      </c>
      <c r="O57" s="1573">
        <f t="shared" si="6"/>
        <v>29.158</v>
      </c>
      <c r="P57" s="1501"/>
      <c r="Q57" s="1502"/>
      <c r="R57" s="831"/>
    </row>
    <row r="58" spans="1:18" ht="36" hidden="1">
      <c r="A58" s="1443">
        <v>6058</v>
      </c>
      <c r="B58" s="1451" t="s">
        <v>716</v>
      </c>
      <c r="C58" s="1389"/>
      <c r="D58" s="830">
        <f t="shared" si="5"/>
        <v>0</v>
      </c>
      <c r="E58" s="1390">
        <f t="shared" si="7"/>
        <v>0</v>
      </c>
      <c r="F58" s="1366" t="e">
        <f t="shared" si="2"/>
        <v>#DIV/0!</v>
      </c>
      <c r="G58" s="1390"/>
      <c r="H58" s="1445"/>
      <c r="I58" s="1446"/>
      <c r="J58" s="1445"/>
      <c r="K58" s="1390"/>
      <c r="L58" s="1446"/>
      <c r="M58" s="1486"/>
      <c r="N58" s="1390"/>
      <c r="O58" s="1395" t="e">
        <f t="shared" si="6"/>
        <v>#DIV/0!</v>
      </c>
      <c r="P58" s="1389"/>
      <c r="Q58" s="1390"/>
      <c r="R58" s="1450"/>
    </row>
    <row r="59" spans="1:18" ht="36" hidden="1">
      <c r="A59" s="1443">
        <v>6059</v>
      </c>
      <c r="B59" s="1451" t="s">
        <v>716</v>
      </c>
      <c r="C59" s="1389"/>
      <c r="D59" s="830">
        <f aca="true" t="shared" si="8" ref="D59:D122">G59+J59+P59+M59</f>
        <v>0</v>
      </c>
      <c r="E59" s="1390">
        <f t="shared" si="7"/>
        <v>0</v>
      </c>
      <c r="F59" s="1366" t="e">
        <f t="shared" si="2"/>
        <v>#DIV/0!</v>
      </c>
      <c r="G59" s="1390"/>
      <c r="H59" s="1445"/>
      <c r="I59" s="1446"/>
      <c r="J59" s="1445"/>
      <c r="K59" s="1390"/>
      <c r="L59" s="1446"/>
      <c r="M59" s="1486"/>
      <c r="N59" s="1390"/>
      <c r="O59" s="1395" t="e">
        <f t="shared" si="6"/>
        <v>#DIV/0!</v>
      </c>
      <c r="P59" s="1389"/>
      <c r="Q59" s="1390"/>
      <c r="R59" s="1450"/>
    </row>
    <row r="60" spans="1:18" ht="36">
      <c r="A60" s="1443">
        <v>6058</v>
      </c>
      <c r="B60" s="1451" t="s">
        <v>1222</v>
      </c>
      <c r="C60" s="1389">
        <v>3883275</v>
      </c>
      <c r="D60" s="830">
        <f t="shared" si="8"/>
        <v>3459965</v>
      </c>
      <c r="E60" s="1390">
        <f t="shared" si="7"/>
        <v>0</v>
      </c>
      <c r="F60" s="1366">
        <f t="shared" si="2"/>
        <v>0</v>
      </c>
      <c r="G60" s="1390"/>
      <c r="H60" s="1445"/>
      <c r="I60" s="1446"/>
      <c r="J60" s="1445"/>
      <c r="K60" s="1390"/>
      <c r="L60" s="1446"/>
      <c r="M60" s="1486">
        <f>3883275-423310</f>
        <v>3459965</v>
      </c>
      <c r="N60" s="1390"/>
      <c r="O60" s="1395">
        <f t="shared" si="6"/>
        <v>0</v>
      </c>
      <c r="P60" s="1389"/>
      <c r="Q60" s="1390"/>
      <c r="R60" s="1450"/>
    </row>
    <row r="61" spans="1:18" ht="36">
      <c r="A61" s="1443">
        <v>6059</v>
      </c>
      <c r="B61" s="1451" t="s">
        <v>1222</v>
      </c>
      <c r="C61" s="1389">
        <v>1316725</v>
      </c>
      <c r="D61" s="830">
        <f t="shared" si="8"/>
        <v>1153321</v>
      </c>
      <c r="E61" s="1390">
        <f t="shared" si="7"/>
        <v>0</v>
      </c>
      <c r="F61" s="1366">
        <f t="shared" si="2"/>
        <v>0</v>
      </c>
      <c r="G61" s="1390"/>
      <c r="H61" s="1445"/>
      <c r="I61" s="1446"/>
      <c r="J61" s="1445"/>
      <c r="K61" s="1390"/>
      <c r="L61" s="1446"/>
      <c r="M61" s="1486">
        <f>1316725-163404</f>
        <v>1153321</v>
      </c>
      <c r="N61" s="1390"/>
      <c r="O61" s="1369">
        <f t="shared" si="6"/>
        <v>0</v>
      </c>
      <c r="P61" s="1389"/>
      <c r="Q61" s="1390"/>
      <c r="R61" s="1450"/>
    </row>
    <row r="62" spans="1:18" ht="48">
      <c r="A62" s="1443">
        <v>6051</v>
      </c>
      <c r="B62" s="1451" t="s">
        <v>717</v>
      </c>
      <c r="C62" s="1389">
        <v>9500000</v>
      </c>
      <c r="D62" s="830">
        <f t="shared" si="8"/>
        <v>9500000</v>
      </c>
      <c r="E62" s="1390">
        <f t="shared" si="7"/>
        <v>5488481</v>
      </c>
      <c r="F62" s="1366">
        <f t="shared" si="2"/>
        <v>57.77348421052631</v>
      </c>
      <c r="G62" s="1390"/>
      <c r="H62" s="1445"/>
      <c r="I62" s="1446"/>
      <c r="J62" s="1445"/>
      <c r="K62" s="1390"/>
      <c r="L62" s="1446"/>
      <c r="M62" s="1486">
        <v>9500000</v>
      </c>
      <c r="N62" s="1390">
        <v>5488481</v>
      </c>
      <c r="O62" s="1395">
        <f t="shared" si="6"/>
        <v>57.77348421052631</v>
      </c>
      <c r="P62" s="1389"/>
      <c r="Q62" s="1390"/>
      <c r="R62" s="1450"/>
    </row>
    <row r="63" spans="1:18" ht="48">
      <c r="A63" s="1443">
        <v>6052</v>
      </c>
      <c r="B63" s="1451" t="s">
        <v>717</v>
      </c>
      <c r="C63" s="1389">
        <v>2500000</v>
      </c>
      <c r="D63" s="830">
        <f t="shared" si="8"/>
        <v>1400000</v>
      </c>
      <c r="E63" s="1390">
        <f t="shared" si="7"/>
        <v>217589</v>
      </c>
      <c r="F63" s="1366">
        <f t="shared" si="2"/>
        <v>15.542071428571427</v>
      </c>
      <c r="G63" s="1390"/>
      <c r="H63" s="1445"/>
      <c r="I63" s="1446"/>
      <c r="J63" s="1445"/>
      <c r="K63" s="1390"/>
      <c r="L63" s="1446"/>
      <c r="M63" s="1486">
        <f>2500000-700000-400000</f>
        <v>1400000</v>
      </c>
      <c r="N63" s="1487">
        <v>217589</v>
      </c>
      <c r="O63" s="1395">
        <f t="shared" si="6"/>
        <v>15.542071428571427</v>
      </c>
      <c r="P63" s="1389"/>
      <c r="Q63" s="1390"/>
      <c r="R63" s="1450"/>
    </row>
    <row r="64" spans="1:18" s="1435" customFormat="1" ht="15.75" customHeight="1">
      <c r="A64" s="1436">
        <v>60016</v>
      </c>
      <c r="B64" s="1437" t="s">
        <v>718</v>
      </c>
      <c r="C64" s="1378">
        <f>SUM(C66:C73)</f>
        <v>7207800</v>
      </c>
      <c r="D64" s="845">
        <f t="shared" si="8"/>
        <v>7443508</v>
      </c>
      <c r="E64" s="1380">
        <f>H64+K64+Q64+N64</f>
        <v>1181330</v>
      </c>
      <c r="F64" s="1381">
        <f t="shared" si="2"/>
        <v>15.870608320700402</v>
      </c>
      <c r="G64" s="1387">
        <f>SUM(G65:G73)</f>
        <v>7443508</v>
      </c>
      <c r="H64" s="1387">
        <f>SUM(H65:H73)</f>
        <v>1181330</v>
      </c>
      <c r="I64" s="1475">
        <f aca="true" t="shared" si="9" ref="I64:I73">H64/G64*100</f>
        <v>15.870608320700402</v>
      </c>
      <c r="J64" s="1488"/>
      <c r="K64" s="1387"/>
      <c r="L64" s="1482"/>
      <c r="M64" s="1387"/>
      <c r="N64" s="1387"/>
      <c r="O64" s="1489"/>
      <c r="P64" s="1378"/>
      <c r="Q64" s="1387"/>
      <c r="R64" s="1421"/>
    </row>
    <row r="65" spans="1:18" ht="24">
      <c r="A65" s="1443">
        <v>4170</v>
      </c>
      <c r="B65" s="1444" t="s">
        <v>744</v>
      </c>
      <c r="C65" s="1389"/>
      <c r="D65" s="830">
        <f t="shared" si="8"/>
        <v>11500</v>
      </c>
      <c r="E65" s="1390">
        <f>SUM(H65+K65+N65+Q65)</f>
        <v>11025</v>
      </c>
      <c r="F65" s="1366"/>
      <c r="G65" s="1389">
        <f>23265-14265+2500</f>
        <v>11500</v>
      </c>
      <c r="H65" s="1449">
        <v>11025</v>
      </c>
      <c r="I65" s="1369">
        <f>H65/G65*100</f>
        <v>95.86956521739131</v>
      </c>
      <c r="J65" s="1484"/>
      <c r="K65" s="1449"/>
      <c r="L65" s="1485"/>
      <c r="M65" s="1449"/>
      <c r="N65" s="1449"/>
      <c r="O65" s="1636"/>
      <c r="P65" s="1448"/>
      <c r="Q65" s="1449"/>
      <c r="R65" s="1450"/>
    </row>
    <row r="66" spans="1:18" ht="24">
      <c r="A66" s="1443">
        <v>4210</v>
      </c>
      <c r="B66" s="1444" t="s">
        <v>690</v>
      </c>
      <c r="C66" s="1389">
        <v>5000</v>
      </c>
      <c r="D66" s="830">
        <f t="shared" si="8"/>
        <v>5000</v>
      </c>
      <c r="E66" s="1390">
        <f t="shared" si="7"/>
        <v>0</v>
      </c>
      <c r="F66" s="1366">
        <f t="shared" si="2"/>
        <v>0</v>
      </c>
      <c r="G66" s="1389">
        <v>5000</v>
      </c>
      <c r="H66" s="1449"/>
      <c r="I66" s="1369">
        <f t="shared" si="9"/>
        <v>0</v>
      </c>
      <c r="J66" s="1484"/>
      <c r="K66" s="1449"/>
      <c r="L66" s="1485"/>
      <c r="M66" s="1449"/>
      <c r="N66" s="1449"/>
      <c r="O66" s="1636"/>
      <c r="P66" s="1448"/>
      <c r="Q66" s="1449"/>
      <c r="R66" s="1450"/>
    </row>
    <row r="67" spans="1:18" ht="16.5" customHeight="1">
      <c r="A67" s="1443">
        <v>4270</v>
      </c>
      <c r="B67" s="1451" t="s">
        <v>696</v>
      </c>
      <c r="C67" s="1389">
        <v>2020000</v>
      </c>
      <c r="D67" s="830">
        <f t="shared" si="8"/>
        <v>1916889</v>
      </c>
      <c r="E67" s="1390">
        <f t="shared" si="7"/>
        <v>574041</v>
      </c>
      <c r="F67" s="1366">
        <f t="shared" si="2"/>
        <v>29.946491424386075</v>
      </c>
      <c r="G67" s="1389">
        <f>2020000-57566-20000-11635-13910</f>
        <v>1916889</v>
      </c>
      <c r="H67" s="1390">
        <v>574041</v>
      </c>
      <c r="I67" s="1369">
        <f t="shared" si="9"/>
        <v>29.946491424386075</v>
      </c>
      <c r="J67" s="1445"/>
      <c r="K67" s="1449"/>
      <c r="L67" s="1485"/>
      <c r="M67" s="1390"/>
      <c r="N67" s="1390"/>
      <c r="O67" s="1447"/>
      <c r="P67" s="1389"/>
      <c r="Q67" s="1390"/>
      <c r="R67" s="1454"/>
    </row>
    <row r="68" spans="1:18" ht="14.25" customHeight="1">
      <c r="A68" s="1443">
        <v>4300</v>
      </c>
      <c r="B68" s="1451" t="s">
        <v>698</v>
      </c>
      <c r="C68" s="1389">
        <v>300000</v>
      </c>
      <c r="D68" s="830">
        <f t="shared" si="8"/>
        <v>300000</v>
      </c>
      <c r="E68" s="1390">
        <f t="shared" si="7"/>
        <v>156451</v>
      </c>
      <c r="F68" s="1366">
        <f t="shared" si="2"/>
        <v>52.15033333333333</v>
      </c>
      <c r="G68" s="1389">
        <v>300000</v>
      </c>
      <c r="H68" s="1390">
        <v>156451</v>
      </c>
      <c r="I68" s="1369">
        <f t="shared" si="9"/>
        <v>52.15033333333333</v>
      </c>
      <c r="J68" s="1445"/>
      <c r="K68" s="1449"/>
      <c r="L68" s="1485"/>
      <c r="M68" s="1390"/>
      <c r="N68" s="1390"/>
      <c r="O68" s="1447"/>
      <c r="P68" s="1389"/>
      <c r="Q68" s="1390"/>
      <c r="R68" s="1454"/>
    </row>
    <row r="69" spans="1:18" ht="14.25" customHeight="1">
      <c r="A69" s="1443">
        <v>4430</v>
      </c>
      <c r="B69" s="1451" t="s">
        <v>700</v>
      </c>
      <c r="C69" s="1389">
        <v>2600</v>
      </c>
      <c r="D69" s="830">
        <f t="shared" si="8"/>
        <v>0</v>
      </c>
      <c r="E69" s="1390">
        <f t="shared" si="7"/>
        <v>0</v>
      </c>
      <c r="F69" s="1366"/>
      <c r="G69" s="1389">
        <f>2600-2600</f>
        <v>0</v>
      </c>
      <c r="H69" s="1390"/>
      <c r="I69" s="1369"/>
      <c r="J69" s="1445"/>
      <c r="K69" s="1449"/>
      <c r="L69" s="1485"/>
      <c r="M69" s="1390"/>
      <c r="N69" s="1390"/>
      <c r="O69" s="1447"/>
      <c r="P69" s="1389"/>
      <c r="Q69" s="1390"/>
      <c r="R69" s="1454"/>
    </row>
    <row r="70" spans="1:18" ht="24">
      <c r="A70" s="1443">
        <v>6050</v>
      </c>
      <c r="B70" s="1697" t="s">
        <v>719</v>
      </c>
      <c r="C70" s="1389">
        <v>2900000</v>
      </c>
      <c r="D70" s="830">
        <f t="shared" si="8"/>
        <v>3770000</v>
      </c>
      <c r="E70" s="1390">
        <f t="shared" si="7"/>
        <v>35969</v>
      </c>
      <c r="F70" s="1366">
        <f t="shared" si="2"/>
        <v>0.9540848806366048</v>
      </c>
      <c r="G70" s="1389">
        <f>2900000+20000+400000+450000</f>
        <v>3770000</v>
      </c>
      <c r="H70" s="1390">
        <v>35969</v>
      </c>
      <c r="I70" s="1369">
        <f>H70/G70*100</f>
        <v>0.9540848806366048</v>
      </c>
      <c r="J70" s="1445"/>
      <c r="K70" s="1449"/>
      <c r="L70" s="1485"/>
      <c r="M70" s="1390"/>
      <c r="N70" s="1390"/>
      <c r="O70" s="1447"/>
      <c r="P70" s="1389"/>
      <c r="Q70" s="1390"/>
      <c r="R70" s="1447"/>
    </row>
    <row r="71" spans="1:18" ht="36">
      <c r="A71" s="1443">
        <v>6058</v>
      </c>
      <c r="B71" s="1697" t="s">
        <v>1223</v>
      </c>
      <c r="C71" s="1389">
        <v>1485167</v>
      </c>
      <c r="D71" s="830">
        <f t="shared" si="8"/>
        <v>892606</v>
      </c>
      <c r="E71" s="1390">
        <f t="shared" si="7"/>
        <v>280543</v>
      </c>
      <c r="F71" s="1366">
        <f t="shared" si="2"/>
        <v>31.429656533789824</v>
      </c>
      <c r="G71" s="1389">
        <f>1485167-592561</f>
        <v>892606</v>
      </c>
      <c r="H71" s="1390">
        <v>280543</v>
      </c>
      <c r="I71" s="1369">
        <f t="shared" si="9"/>
        <v>31.429656533789824</v>
      </c>
      <c r="J71" s="1445"/>
      <c r="K71" s="1449"/>
      <c r="L71" s="1485"/>
      <c r="M71" s="1390"/>
      <c r="N71" s="1390"/>
      <c r="O71" s="1447"/>
      <c r="P71" s="1389"/>
      <c r="Q71" s="1390"/>
      <c r="R71" s="1454"/>
    </row>
    <row r="72" spans="1:18" ht="36">
      <c r="A72" s="1443">
        <v>6059</v>
      </c>
      <c r="B72" s="1697" t="s">
        <v>1223</v>
      </c>
      <c r="C72" s="1389">
        <v>495033</v>
      </c>
      <c r="D72" s="830">
        <f t="shared" si="8"/>
        <v>297513</v>
      </c>
      <c r="E72" s="1390">
        <f t="shared" si="7"/>
        <v>94021</v>
      </c>
      <c r="F72" s="1366">
        <f t="shared" si="2"/>
        <v>31.602316537428614</v>
      </c>
      <c r="G72" s="1389">
        <f>495033-197520</f>
        <v>297513</v>
      </c>
      <c r="H72" s="1390">
        <v>94021</v>
      </c>
      <c r="I72" s="1369">
        <f t="shared" si="9"/>
        <v>31.602316537428614</v>
      </c>
      <c r="J72" s="1445"/>
      <c r="K72" s="1449"/>
      <c r="L72" s="1485"/>
      <c r="M72" s="1390"/>
      <c r="N72" s="1390"/>
      <c r="O72" s="1447"/>
      <c r="P72" s="1389"/>
      <c r="Q72" s="1390"/>
      <c r="R72" s="1454"/>
    </row>
    <row r="73" spans="1:18" ht="60">
      <c r="A73" s="1443">
        <v>6610</v>
      </c>
      <c r="B73" s="1697" t="s">
        <v>1224</v>
      </c>
      <c r="C73" s="1389"/>
      <c r="D73" s="830">
        <f t="shared" si="8"/>
        <v>250000</v>
      </c>
      <c r="E73" s="1390">
        <f>SUM(H73+K73+N73+Q73)</f>
        <v>29280</v>
      </c>
      <c r="F73" s="1366">
        <f>E73/D73*100</f>
        <v>11.712</v>
      </c>
      <c r="G73" s="1389">
        <v>250000</v>
      </c>
      <c r="H73" s="1390">
        <v>29280</v>
      </c>
      <c r="I73" s="1369">
        <f t="shared" si="9"/>
        <v>11.712</v>
      </c>
      <c r="J73" s="1445"/>
      <c r="K73" s="1449"/>
      <c r="L73" s="1485"/>
      <c r="M73" s="1390"/>
      <c r="N73" s="1390"/>
      <c r="O73" s="1447"/>
      <c r="P73" s="1389"/>
      <c r="Q73" s="1390"/>
      <c r="R73" s="1454"/>
    </row>
    <row r="74" spans="1:18" s="1285" customFormat="1" ht="25.5" customHeight="1" hidden="1">
      <c r="A74" s="1499"/>
      <c r="B74" s="1500" t="s">
        <v>720</v>
      </c>
      <c r="C74" s="1501">
        <v>500000</v>
      </c>
      <c r="D74" s="1502">
        <f t="shared" si="8"/>
        <v>250000</v>
      </c>
      <c r="E74" s="1502">
        <f t="shared" si="7"/>
        <v>0</v>
      </c>
      <c r="F74" s="1366">
        <f t="shared" si="2"/>
        <v>0</v>
      </c>
      <c r="G74" s="1501">
        <f>500000-250000</f>
        <v>250000</v>
      </c>
      <c r="H74" s="1502"/>
      <c r="I74" s="1503"/>
      <c r="J74" s="1504"/>
      <c r="K74" s="1505"/>
      <c r="L74" s="1369"/>
      <c r="M74" s="1502"/>
      <c r="N74" s="1502"/>
      <c r="O74" s="1506"/>
      <c r="P74" s="1501"/>
      <c r="Q74" s="1502"/>
      <c r="R74" s="1507"/>
    </row>
    <row r="75" spans="1:18" s="1285" customFormat="1" ht="21.75" customHeight="1" hidden="1">
      <c r="A75" s="1499"/>
      <c r="B75" s="1500" t="s">
        <v>721</v>
      </c>
      <c r="C75" s="1501">
        <v>200000</v>
      </c>
      <c r="D75" s="1502">
        <f t="shared" si="8"/>
        <v>200000</v>
      </c>
      <c r="E75" s="1502">
        <f t="shared" si="7"/>
        <v>0</v>
      </c>
      <c r="F75" s="1366">
        <f t="shared" si="2"/>
        <v>0</v>
      </c>
      <c r="G75" s="1501">
        <v>200000</v>
      </c>
      <c r="H75" s="1502"/>
      <c r="I75" s="1503"/>
      <c r="J75" s="1504"/>
      <c r="K75" s="1505"/>
      <c r="L75" s="1369"/>
      <c r="M75" s="1502"/>
      <c r="N75" s="1502"/>
      <c r="O75" s="1506"/>
      <c r="P75" s="1501"/>
      <c r="Q75" s="1502"/>
      <c r="R75" s="1507"/>
    </row>
    <row r="76" spans="1:18" s="1285" customFormat="1" ht="25.5" customHeight="1" hidden="1">
      <c r="A76" s="1499"/>
      <c r="B76" s="1500" t="s">
        <v>722</v>
      </c>
      <c r="C76" s="1501">
        <v>300000</v>
      </c>
      <c r="D76" s="1502">
        <f t="shared" si="8"/>
        <v>300000</v>
      </c>
      <c r="E76" s="1502">
        <f t="shared" si="7"/>
        <v>0</v>
      </c>
      <c r="F76" s="1366">
        <f t="shared" si="2"/>
        <v>0</v>
      </c>
      <c r="G76" s="1501">
        <v>300000</v>
      </c>
      <c r="H76" s="1502"/>
      <c r="I76" s="1503"/>
      <c r="J76" s="1504"/>
      <c r="K76" s="1505"/>
      <c r="L76" s="1369"/>
      <c r="M76" s="1502"/>
      <c r="N76" s="1502"/>
      <c r="O76" s="1506"/>
      <c r="P76" s="1501"/>
      <c r="Q76" s="1502"/>
      <c r="R76" s="1507"/>
    </row>
    <row r="77" spans="1:18" s="1285" customFormat="1" ht="18.75" customHeight="1" hidden="1">
      <c r="A77" s="1499"/>
      <c r="B77" s="1500" t="s">
        <v>723</v>
      </c>
      <c r="C77" s="1501">
        <v>50000</v>
      </c>
      <c r="D77" s="1502">
        <f t="shared" si="8"/>
        <v>50000</v>
      </c>
      <c r="E77" s="1502">
        <f t="shared" si="7"/>
        <v>0</v>
      </c>
      <c r="F77" s="1366">
        <f t="shared" si="2"/>
        <v>0</v>
      </c>
      <c r="G77" s="1501">
        <v>50000</v>
      </c>
      <c r="H77" s="1502"/>
      <c r="I77" s="1503"/>
      <c r="J77" s="1504"/>
      <c r="K77" s="1505"/>
      <c r="L77" s="1369"/>
      <c r="M77" s="1502"/>
      <c r="N77" s="1502"/>
      <c r="O77" s="1506"/>
      <c r="P77" s="1501"/>
      <c r="Q77" s="1502"/>
      <c r="R77" s="1507"/>
    </row>
    <row r="78" spans="1:18" s="1285" customFormat="1" ht="11.25" customHeight="1" hidden="1">
      <c r="A78" s="1499"/>
      <c r="B78" s="1500" t="s">
        <v>724</v>
      </c>
      <c r="C78" s="1501">
        <v>400000</v>
      </c>
      <c r="D78" s="1502">
        <f t="shared" si="8"/>
        <v>400000</v>
      </c>
      <c r="E78" s="1502">
        <f t="shared" si="7"/>
        <v>0</v>
      </c>
      <c r="F78" s="1366">
        <f>E78/D78*100</f>
        <v>0</v>
      </c>
      <c r="G78" s="1501">
        <v>400000</v>
      </c>
      <c r="H78" s="1502"/>
      <c r="I78" s="1503"/>
      <c r="J78" s="1504"/>
      <c r="K78" s="1505"/>
      <c r="L78" s="1369"/>
      <c r="M78" s="1502"/>
      <c r="N78" s="1502"/>
      <c r="O78" s="1506"/>
      <c r="P78" s="1501"/>
      <c r="Q78" s="1502"/>
      <c r="R78" s="1507"/>
    </row>
    <row r="79" spans="1:18" s="1285" customFormat="1" ht="23.25" customHeight="1" hidden="1">
      <c r="A79" s="1499"/>
      <c r="B79" s="1500" t="s">
        <v>725</v>
      </c>
      <c r="C79" s="1501">
        <v>300000</v>
      </c>
      <c r="D79" s="1502">
        <f t="shared" si="8"/>
        <v>300000</v>
      </c>
      <c r="E79" s="1502">
        <f t="shared" si="7"/>
        <v>0</v>
      </c>
      <c r="F79" s="1366">
        <f>E79/D79*100</f>
        <v>0</v>
      </c>
      <c r="G79" s="1501">
        <v>300000</v>
      </c>
      <c r="H79" s="1502"/>
      <c r="I79" s="1503"/>
      <c r="J79" s="1504"/>
      <c r="K79" s="1505"/>
      <c r="L79" s="1369"/>
      <c r="M79" s="1502"/>
      <c r="N79" s="1502"/>
      <c r="O79" s="1506"/>
      <c r="P79" s="1501"/>
      <c r="Q79" s="1502"/>
      <c r="R79" s="1507"/>
    </row>
    <row r="80" spans="1:18" s="1285" customFormat="1" ht="15.75" customHeight="1" hidden="1">
      <c r="A80" s="1499"/>
      <c r="B80" s="1500" t="s">
        <v>726</v>
      </c>
      <c r="C80" s="1501">
        <v>200000</v>
      </c>
      <c r="D80" s="1502">
        <f t="shared" si="8"/>
        <v>200000</v>
      </c>
      <c r="E80" s="1502">
        <f t="shared" si="7"/>
        <v>0</v>
      </c>
      <c r="F80" s="1366">
        <f>E80/D80*100</f>
        <v>0</v>
      </c>
      <c r="G80" s="1501">
        <v>200000</v>
      </c>
      <c r="H80" s="1502"/>
      <c r="I80" s="1503"/>
      <c r="J80" s="1504"/>
      <c r="K80" s="1505"/>
      <c r="L80" s="1369"/>
      <c r="M80" s="1502"/>
      <c r="N80" s="1502"/>
      <c r="O80" s="1506"/>
      <c r="P80" s="1501"/>
      <c r="Q80" s="1502"/>
      <c r="R80" s="1507"/>
    </row>
    <row r="81" spans="1:18" s="1285" customFormat="1" ht="15" customHeight="1" hidden="1">
      <c r="A81" s="1499"/>
      <c r="B81" s="1500" t="s">
        <v>727</v>
      </c>
      <c r="C81" s="1501">
        <v>400000</v>
      </c>
      <c r="D81" s="1502">
        <f t="shared" si="8"/>
        <v>400000</v>
      </c>
      <c r="E81" s="1502">
        <f t="shared" si="7"/>
        <v>0</v>
      </c>
      <c r="F81" s="1366">
        <f>E81/D81*100</f>
        <v>0</v>
      </c>
      <c r="G81" s="1501">
        <v>400000</v>
      </c>
      <c r="H81" s="1502"/>
      <c r="I81" s="1503"/>
      <c r="J81" s="1504"/>
      <c r="K81" s="1505"/>
      <c r="L81" s="1369"/>
      <c r="M81" s="1502"/>
      <c r="N81" s="1502"/>
      <c r="O81" s="1506"/>
      <c r="P81" s="1501"/>
      <c r="Q81" s="1502"/>
      <c r="R81" s="1507"/>
    </row>
    <row r="82" spans="1:18" s="1285" customFormat="1" ht="15" customHeight="1" hidden="1">
      <c r="A82" s="1499"/>
      <c r="B82" s="1500" t="s">
        <v>728</v>
      </c>
      <c r="C82" s="1501">
        <v>300000</v>
      </c>
      <c r="D82" s="1502">
        <f t="shared" si="8"/>
        <v>300000</v>
      </c>
      <c r="E82" s="1502">
        <f>SUM(H82+K82+N82+Q82)</f>
        <v>0</v>
      </c>
      <c r="F82" s="1366">
        <f>E82/D82*100</f>
        <v>0</v>
      </c>
      <c r="G82" s="1501">
        <v>300000</v>
      </c>
      <c r="H82" s="1502"/>
      <c r="I82" s="1503"/>
      <c r="J82" s="1504"/>
      <c r="K82" s="1505"/>
      <c r="L82" s="1369"/>
      <c r="M82" s="1502"/>
      <c r="N82" s="1502"/>
      <c r="O82" s="1506"/>
      <c r="P82" s="1501"/>
      <c r="Q82" s="1502"/>
      <c r="R82" s="1507"/>
    </row>
    <row r="83" spans="1:18" s="1285" customFormat="1" ht="18" customHeight="1" hidden="1">
      <c r="A83" s="1499"/>
      <c r="B83" s="1500" t="s">
        <v>729</v>
      </c>
      <c r="C83" s="1501">
        <v>100000</v>
      </c>
      <c r="D83" s="1502">
        <f t="shared" si="8"/>
        <v>100000</v>
      </c>
      <c r="E83" s="1502">
        <f t="shared" si="7"/>
        <v>0</v>
      </c>
      <c r="F83" s="1366">
        <f aca="true" t="shared" si="10" ref="F83:F146">E83/D83*100</f>
        <v>0</v>
      </c>
      <c r="G83" s="1501">
        <v>100000</v>
      </c>
      <c r="H83" s="1502"/>
      <c r="I83" s="1503"/>
      <c r="J83" s="1504"/>
      <c r="K83" s="1505"/>
      <c r="L83" s="1369"/>
      <c r="M83" s="1502"/>
      <c r="N83" s="1502"/>
      <c r="O83" s="1506"/>
      <c r="P83" s="1501"/>
      <c r="Q83" s="1502"/>
      <c r="R83" s="1507"/>
    </row>
    <row r="84" spans="1:18" s="1285" customFormat="1" ht="16.5" customHeight="1" hidden="1">
      <c r="A84" s="1499"/>
      <c r="B84" s="1500" t="s">
        <v>730</v>
      </c>
      <c r="C84" s="1501">
        <v>400000</v>
      </c>
      <c r="D84" s="1502">
        <f t="shared" si="8"/>
        <v>400000</v>
      </c>
      <c r="E84" s="1502">
        <f t="shared" si="7"/>
        <v>0</v>
      </c>
      <c r="F84" s="1366">
        <f t="shared" si="10"/>
        <v>0</v>
      </c>
      <c r="G84" s="1501">
        <v>400000</v>
      </c>
      <c r="H84" s="1502"/>
      <c r="I84" s="1503"/>
      <c r="J84" s="1504"/>
      <c r="K84" s="1505"/>
      <c r="L84" s="1369"/>
      <c r="M84" s="1502"/>
      <c r="N84" s="1502"/>
      <c r="O84" s="1506"/>
      <c r="P84" s="1501"/>
      <c r="Q84" s="1502"/>
      <c r="R84" s="1507"/>
    </row>
    <row r="85" spans="1:18" s="1285" customFormat="1" ht="17.25" customHeight="1" hidden="1">
      <c r="A85" s="1499"/>
      <c r="B85" s="1508" t="s">
        <v>731</v>
      </c>
      <c r="C85" s="1501">
        <v>100000</v>
      </c>
      <c r="D85" s="1502">
        <f t="shared" si="8"/>
        <v>170000</v>
      </c>
      <c r="E85" s="1502">
        <f t="shared" si="7"/>
        <v>0</v>
      </c>
      <c r="F85" s="1366">
        <f t="shared" si="10"/>
        <v>0</v>
      </c>
      <c r="G85" s="1501">
        <f>100000+70000</f>
        <v>170000</v>
      </c>
      <c r="H85" s="1502"/>
      <c r="I85" s="1503"/>
      <c r="J85" s="1504"/>
      <c r="K85" s="1505"/>
      <c r="L85" s="1369"/>
      <c r="M85" s="1502"/>
      <c r="N85" s="1502"/>
      <c r="O85" s="1506"/>
      <c r="P85" s="1501"/>
      <c r="Q85" s="1502"/>
      <c r="R85" s="1507"/>
    </row>
    <row r="86" spans="1:18" s="1285" customFormat="1" ht="17.25" customHeight="1" hidden="1">
      <c r="A86" s="1499"/>
      <c r="B86" s="1508" t="s">
        <v>732</v>
      </c>
      <c r="C86" s="1501">
        <v>100000</v>
      </c>
      <c r="D86" s="1502">
        <f t="shared" si="8"/>
        <v>160000</v>
      </c>
      <c r="E86" s="1502">
        <f>SUM(H86+K86+N86+Q86)</f>
        <v>0</v>
      </c>
      <c r="F86" s="1366">
        <f>E86/D86*100</f>
        <v>0</v>
      </c>
      <c r="G86" s="1501">
        <f>100000+60000</f>
        <v>160000</v>
      </c>
      <c r="H86" s="1502"/>
      <c r="I86" s="1503"/>
      <c r="J86" s="1504"/>
      <c r="K86" s="1505"/>
      <c r="L86" s="1369"/>
      <c r="M86" s="1502"/>
      <c r="N86" s="1502"/>
      <c r="O86" s="1506"/>
      <c r="P86" s="1501"/>
      <c r="Q86" s="1502"/>
      <c r="R86" s="1507"/>
    </row>
    <row r="87" spans="1:18" s="1285" customFormat="1" ht="17.25" customHeight="1" hidden="1">
      <c r="A87" s="1499"/>
      <c r="B87" s="1508" t="s">
        <v>733</v>
      </c>
      <c r="C87" s="1501">
        <v>100000</v>
      </c>
      <c r="D87" s="1502">
        <f t="shared" si="8"/>
        <v>100000</v>
      </c>
      <c r="E87" s="1502">
        <f>SUM(H87+K87+N87+Q87)</f>
        <v>0</v>
      </c>
      <c r="F87" s="1366">
        <f>E87/D87*100</f>
        <v>0</v>
      </c>
      <c r="G87" s="1501">
        <v>100000</v>
      </c>
      <c r="H87" s="1502"/>
      <c r="I87" s="1503"/>
      <c r="J87" s="1504"/>
      <c r="K87" s="1505"/>
      <c r="L87" s="1369"/>
      <c r="M87" s="1502"/>
      <c r="N87" s="1502"/>
      <c r="O87" s="1506"/>
      <c r="P87" s="1501"/>
      <c r="Q87" s="1502"/>
      <c r="R87" s="1507"/>
    </row>
    <row r="88" spans="1:18" s="1285" customFormat="1" ht="17.25" customHeight="1" hidden="1">
      <c r="A88" s="1499"/>
      <c r="B88" s="1508" t="s">
        <v>734</v>
      </c>
      <c r="C88" s="1501">
        <v>300000</v>
      </c>
      <c r="D88" s="1502">
        <f t="shared" si="8"/>
        <v>300000</v>
      </c>
      <c r="E88" s="1502">
        <f>SUM(H88+K88+N88+Q88)</f>
        <v>0</v>
      </c>
      <c r="F88" s="1366">
        <f>E88/D88*100</f>
        <v>0</v>
      </c>
      <c r="G88" s="1501">
        <v>300000</v>
      </c>
      <c r="H88" s="1502"/>
      <c r="I88" s="1503"/>
      <c r="J88" s="1504"/>
      <c r="K88" s="1505"/>
      <c r="L88" s="1369"/>
      <c r="M88" s="1502"/>
      <c r="N88" s="1502"/>
      <c r="O88" s="1506"/>
      <c r="P88" s="1501"/>
      <c r="Q88" s="1502"/>
      <c r="R88" s="1507"/>
    </row>
    <row r="89" spans="1:18" s="1285" customFormat="1" ht="31.5" customHeight="1" hidden="1">
      <c r="A89" s="1499"/>
      <c r="B89" s="1508" t="s">
        <v>735</v>
      </c>
      <c r="C89" s="1501">
        <v>200000</v>
      </c>
      <c r="D89" s="1502">
        <f t="shared" si="8"/>
        <v>200000</v>
      </c>
      <c r="E89" s="1502">
        <f>SUM(H89+K89+N89+Q89)</f>
        <v>0</v>
      </c>
      <c r="F89" s="1366">
        <f>E89/D89*100</f>
        <v>0</v>
      </c>
      <c r="G89" s="1501">
        <v>200000</v>
      </c>
      <c r="H89" s="1502"/>
      <c r="I89" s="1503"/>
      <c r="J89" s="1504"/>
      <c r="K89" s="1505"/>
      <c r="L89" s="1369"/>
      <c r="M89" s="1502"/>
      <c r="N89" s="1502"/>
      <c r="O89" s="1506"/>
      <c r="P89" s="1501"/>
      <c r="Q89" s="1502"/>
      <c r="R89" s="1507"/>
    </row>
    <row r="90" spans="1:18" s="1471" customFormat="1" ht="14.25" customHeight="1">
      <c r="A90" s="1479">
        <v>60017</v>
      </c>
      <c r="B90" s="1509" t="s">
        <v>736</v>
      </c>
      <c r="C90" s="823">
        <f>SUM(C91:C94)</f>
        <v>2344700</v>
      </c>
      <c r="D90" s="845">
        <f t="shared" si="8"/>
        <v>2438020</v>
      </c>
      <c r="E90" s="1380">
        <f>H90+K90+Q90+N90</f>
        <v>290827</v>
      </c>
      <c r="F90" s="1381">
        <f t="shared" si="10"/>
        <v>11.928819287782709</v>
      </c>
      <c r="G90" s="823">
        <f>SUM(G91:G94)</f>
        <v>2438020</v>
      </c>
      <c r="H90" s="845">
        <f>SUM(H91:H94)</f>
        <v>290827</v>
      </c>
      <c r="I90" s="1475">
        <f aca="true" t="shared" si="11" ref="I90:I153">H90/G90*100</f>
        <v>11.928819287782709</v>
      </c>
      <c r="J90" s="1510"/>
      <c r="K90" s="1379"/>
      <c r="L90" s="1482"/>
      <c r="M90" s="845"/>
      <c r="N90" s="845"/>
      <c r="O90" s="1511"/>
      <c r="P90" s="823"/>
      <c r="Q90" s="845"/>
      <c r="R90" s="826"/>
    </row>
    <row r="91" spans="1:18" s="1286" customFormat="1" ht="14.25" customHeight="1">
      <c r="A91" s="1512">
        <v>4270</v>
      </c>
      <c r="B91" s="1513" t="s">
        <v>696</v>
      </c>
      <c r="C91" s="832">
        <f>880000+111700</f>
        <v>991700</v>
      </c>
      <c r="D91" s="830">
        <f t="shared" si="8"/>
        <v>1083251</v>
      </c>
      <c r="E91" s="1390">
        <f aca="true" t="shared" si="12" ref="E91:E96">SUM(H91+K91+N91+Q91)</f>
        <v>109724</v>
      </c>
      <c r="F91" s="1366">
        <f t="shared" si="10"/>
        <v>10.129139045336677</v>
      </c>
      <c r="G91" s="832">
        <f>880000+111700-769+103320-1000-10000</f>
        <v>1083251</v>
      </c>
      <c r="H91" s="830">
        <v>109724</v>
      </c>
      <c r="I91" s="1369">
        <f t="shared" si="11"/>
        <v>10.129139045336677</v>
      </c>
      <c r="J91" s="1514"/>
      <c r="K91" s="1367"/>
      <c r="L91" s="1485"/>
      <c r="M91" s="830"/>
      <c r="N91" s="830"/>
      <c r="O91" s="1515"/>
      <c r="P91" s="832"/>
      <c r="Q91" s="830"/>
      <c r="R91" s="834"/>
    </row>
    <row r="92" spans="1:18" s="1286" customFormat="1" ht="15.75" customHeight="1">
      <c r="A92" s="1512">
        <v>4300</v>
      </c>
      <c r="B92" s="1513" t="s">
        <v>698</v>
      </c>
      <c r="C92" s="832">
        <v>1000</v>
      </c>
      <c r="D92" s="830">
        <f t="shared" si="8"/>
        <v>2000</v>
      </c>
      <c r="E92" s="1390">
        <f t="shared" si="12"/>
        <v>1842</v>
      </c>
      <c r="F92" s="1366">
        <f t="shared" si="10"/>
        <v>92.10000000000001</v>
      </c>
      <c r="G92" s="832">
        <f>1000+1000</f>
        <v>2000</v>
      </c>
      <c r="H92" s="830">
        <v>1842</v>
      </c>
      <c r="I92" s="1369">
        <f t="shared" si="11"/>
        <v>92.10000000000001</v>
      </c>
      <c r="J92" s="1514"/>
      <c r="K92" s="1367"/>
      <c r="L92" s="1485"/>
      <c r="M92" s="830"/>
      <c r="N92" s="830"/>
      <c r="O92" s="1515"/>
      <c r="P92" s="832"/>
      <c r="Q92" s="830"/>
      <c r="R92" s="834"/>
    </row>
    <row r="93" spans="1:18" s="1286" customFormat="1" ht="14.25" customHeight="1">
      <c r="A93" s="1512">
        <v>4430</v>
      </c>
      <c r="B93" s="1513" t="s">
        <v>700</v>
      </c>
      <c r="C93" s="832">
        <v>2000</v>
      </c>
      <c r="D93" s="830">
        <f t="shared" si="8"/>
        <v>2769</v>
      </c>
      <c r="E93" s="1390">
        <f t="shared" si="12"/>
        <v>1558</v>
      </c>
      <c r="F93" s="1366">
        <f t="shared" si="10"/>
        <v>56.26579992777175</v>
      </c>
      <c r="G93" s="832">
        <f>2000+769</f>
        <v>2769</v>
      </c>
      <c r="H93" s="830">
        <v>1558</v>
      </c>
      <c r="I93" s="1369">
        <f t="shared" si="11"/>
        <v>56.26579992777175</v>
      </c>
      <c r="J93" s="1514"/>
      <c r="K93" s="1367"/>
      <c r="L93" s="1485"/>
      <c r="M93" s="830"/>
      <c r="N93" s="830"/>
      <c r="O93" s="1515"/>
      <c r="P93" s="832"/>
      <c r="Q93" s="830"/>
      <c r="R93" s="834"/>
    </row>
    <row r="94" spans="1:18" s="1286" customFormat="1" ht="24">
      <c r="A94" s="1492">
        <v>6050</v>
      </c>
      <c r="B94" s="1493" t="s">
        <v>719</v>
      </c>
      <c r="C94" s="861">
        <f>950000+400000</f>
        <v>1350000</v>
      </c>
      <c r="D94" s="862">
        <f t="shared" si="8"/>
        <v>1350000</v>
      </c>
      <c r="E94" s="1487">
        <f t="shared" si="12"/>
        <v>177703</v>
      </c>
      <c r="F94" s="1419">
        <f t="shared" si="10"/>
        <v>13.163185185185187</v>
      </c>
      <c r="G94" s="861">
        <f>950000+400000</f>
        <v>1350000</v>
      </c>
      <c r="H94" s="862">
        <v>177703</v>
      </c>
      <c r="I94" s="1439">
        <f t="shared" si="11"/>
        <v>13.163185185185187</v>
      </c>
      <c r="J94" s="1516"/>
      <c r="K94" s="1517"/>
      <c r="L94" s="1497"/>
      <c r="M94" s="862"/>
      <c r="N94" s="862"/>
      <c r="O94" s="1518"/>
      <c r="P94" s="861"/>
      <c r="Q94" s="862"/>
      <c r="R94" s="1519"/>
    </row>
    <row r="95" spans="1:18" s="1471" customFormat="1" ht="24">
      <c r="A95" s="1552">
        <v>60053</v>
      </c>
      <c r="B95" s="1553" t="s">
        <v>1225</v>
      </c>
      <c r="C95" s="820">
        <f>C96</f>
        <v>0</v>
      </c>
      <c r="D95" s="821">
        <f t="shared" si="8"/>
        <v>600000</v>
      </c>
      <c r="E95" s="821">
        <f t="shared" si="12"/>
        <v>0</v>
      </c>
      <c r="F95" s="1644">
        <f t="shared" si="10"/>
        <v>0</v>
      </c>
      <c r="G95" s="820">
        <f>G96</f>
        <v>600000</v>
      </c>
      <c r="H95" s="821">
        <f>H96</f>
        <v>0</v>
      </c>
      <c r="I95" s="1581">
        <f t="shared" si="11"/>
        <v>0</v>
      </c>
      <c r="J95" s="1554"/>
      <c r="K95" s="2917"/>
      <c r="L95" s="2918"/>
      <c r="M95" s="821"/>
      <c r="N95" s="821"/>
      <c r="O95" s="1555"/>
      <c r="P95" s="820"/>
      <c r="Q95" s="821"/>
      <c r="R95" s="1556"/>
    </row>
    <row r="96" spans="1:18" s="1286" customFormat="1" ht="24">
      <c r="A96" s="1492">
        <v>6050</v>
      </c>
      <c r="B96" s="1493" t="s">
        <v>719</v>
      </c>
      <c r="C96" s="861"/>
      <c r="D96" s="862">
        <f t="shared" si="8"/>
        <v>600000</v>
      </c>
      <c r="E96" s="1487">
        <f t="shared" si="12"/>
        <v>0</v>
      </c>
      <c r="F96" s="1419">
        <f t="shared" si="10"/>
        <v>0</v>
      </c>
      <c r="G96" s="861">
        <v>600000</v>
      </c>
      <c r="H96" s="862"/>
      <c r="I96" s="1439">
        <f t="shared" si="11"/>
        <v>0</v>
      </c>
      <c r="J96" s="1516"/>
      <c r="K96" s="1517"/>
      <c r="L96" s="1497"/>
      <c r="M96" s="862"/>
      <c r="N96" s="862"/>
      <c r="O96" s="1518"/>
      <c r="P96" s="861"/>
      <c r="Q96" s="862"/>
      <c r="R96" s="1519"/>
    </row>
    <row r="97" spans="1:18" ht="12.75">
      <c r="A97" s="1436">
        <v>60095</v>
      </c>
      <c r="B97" s="1520" t="s">
        <v>299</v>
      </c>
      <c r="C97" s="1438">
        <f>C99+C98</f>
        <v>2277382</v>
      </c>
      <c r="D97" s="845">
        <f t="shared" si="8"/>
        <v>2351593</v>
      </c>
      <c r="E97" s="1380">
        <f>H97+K97+Q97+N97</f>
        <v>1087458</v>
      </c>
      <c r="F97" s="1381">
        <f t="shared" si="10"/>
        <v>46.24346134726545</v>
      </c>
      <c r="G97" s="1438">
        <f>G99+G119+G120+G121+G98</f>
        <v>2351593</v>
      </c>
      <c r="H97" s="1380">
        <f>H99+H119+H120+H121+H98</f>
        <v>1087458</v>
      </c>
      <c r="I97" s="1475">
        <f t="shared" si="11"/>
        <v>46.24346134726545</v>
      </c>
      <c r="J97" s="1440"/>
      <c r="K97" s="1380"/>
      <c r="L97" s="1441"/>
      <c r="M97" s="1380"/>
      <c r="N97" s="1380"/>
      <c r="O97" s="1442"/>
      <c r="P97" s="1438"/>
      <c r="Q97" s="1380"/>
      <c r="R97" s="1478"/>
    </row>
    <row r="98" spans="1:18" s="1286" customFormat="1" ht="36">
      <c r="A98" s="1512">
        <v>4300</v>
      </c>
      <c r="B98" s="1513" t="s">
        <v>1226</v>
      </c>
      <c r="C98" s="832">
        <v>240000</v>
      </c>
      <c r="D98" s="830">
        <f t="shared" si="8"/>
        <v>240000</v>
      </c>
      <c r="E98" s="830">
        <f>H98+K98+Q98+N98</f>
        <v>0</v>
      </c>
      <c r="F98" s="1366">
        <f t="shared" si="10"/>
        <v>0</v>
      </c>
      <c r="G98" s="864">
        <v>240000</v>
      </c>
      <c r="H98" s="869"/>
      <c r="I98" s="1369">
        <f t="shared" si="11"/>
        <v>0</v>
      </c>
      <c r="J98" s="1514"/>
      <c r="K98" s="830"/>
      <c r="L98" s="1446"/>
      <c r="M98" s="830"/>
      <c r="N98" s="830"/>
      <c r="O98" s="1515"/>
      <c r="P98" s="832"/>
      <c r="Q98" s="830"/>
      <c r="R98" s="834"/>
    </row>
    <row r="99" spans="1:18" s="1435" customFormat="1" ht="12.75">
      <c r="A99" s="1521"/>
      <c r="B99" s="1522" t="s">
        <v>738</v>
      </c>
      <c r="C99" s="1523">
        <f>SUM(C100:C124)</f>
        <v>2037382</v>
      </c>
      <c r="D99" s="1465">
        <f t="shared" si="8"/>
        <v>2111593</v>
      </c>
      <c r="E99" s="1524">
        <f>H99+K99+Q99+N99</f>
        <v>1087458</v>
      </c>
      <c r="F99" s="1366">
        <f t="shared" si="10"/>
        <v>51.499413002410975</v>
      </c>
      <c r="G99" s="1523">
        <f>SUM(G100:G124)-G119-G120-G121</f>
        <v>2111593</v>
      </c>
      <c r="H99" s="1524">
        <f>SUM(H100:H124)-H119-H120-H121</f>
        <v>1087458</v>
      </c>
      <c r="I99" s="1369">
        <f t="shared" si="11"/>
        <v>51.499413002410975</v>
      </c>
      <c r="J99" s="1525"/>
      <c r="K99" s="1524"/>
      <c r="L99" s="1526"/>
      <c r="M99" s="1524"/>
      <c r="N99" s="1524"/>
      <c r="O99" s="1447"/>
      <c r="P99" s="1523"/>
      <c r="Q99" s="1524"/>
      <c r="R99" s="1454"/>
    </row>
    <row r="100" spans="1:18" ht="36">
      <c r="A100" s="1443">
        <v>3020</v>
      </c>
      <c r="B100" s="1451" t="s">
        <v>756</v>
      </c>
      <c r="C100" s="1389">
        <v>2500</v>
      </c>
      <c r="D100" s="830">
        <f t="shared" si="8"/>
        <v>3500</v>
      </c>
      <c r="E100" s="1390">
        <f>SUM(H100+K100+N100+Q100)</f>
        <v>2620</v>
      </c>
      <c r="F100" s="1366">
        <f t="shared" si="10"/>
        <v>74.85714285714286</v>
      </c>
      <c r="G100" s="1389">
        <f>2500+1000</f>
        <v>3500</v>
      </c>
      <c r="H100" s="1390">
        <v>2620</v>
      </c>
      <c r="I100" s="1369">
        <f t="shared" si="11"/>
        <v>74.85714285714286</v>
      </c>
      <c r="J100" s="1445"/>
      <c r="K100" s="1390"/>
      <c r="L100" s="1446"/>
      <c r="M100" s="1390"/>
      <c r="N100" s="1390"/>
      <c r="O100" s="1447"/>
      <c r="P100" s="1389"/>
      <c r="Q100" s="1390"/>
      <c r="R100" s="1454"/>
    </row>
    <row r="101" spans="1:18" ht="24">
      <c r="A101" s="1443">
        <v>4010</v>
      </c>
      <c r="B101" s="1451" t="s">
        <v>680</v>
      </c>
      <c r="C101" s="1389">
        <v>1083287</v>
      </c>
      <c r="D101" s="830">
        <f t="shared" si="8"/>
        <v>1083287</v>
      </c>
      <c r="E101" s="1390">
        <f>SUM(H101+K101+N101+Q101)</f>
        <v>498032</v>
      </c>
      <c r="F101" s="1366">
        <f t="shared" si="10"/>
        <v>45.97415089445364</v>
      </c>
      <c r="G101" s="1389">
        <v>1083287</v>
      </c>
      <c r="H101" s="1390">
        <v>498032</v>
      </c>
      <c r="I101" s="1369">
        <f t="shared" si="11"/>
        <v>45.97415089445364</v>
      </c>
      <c r="J101" s="1445"/>
      <c r="K101" s="1390"/>
      <c r="L101" s="1446"/>
      <c r="M101" s="1390"/>
      <c r="N101" s="1390"/>
      <c r="O101" s="1447"/>
      <c r="P101" s="1389"/>
      <c r="Q101" s="1390"/>
      <c r="R101" s="1454"/>
    </row>
    <row r="102" spans="1:18" ht="24">
      <c r="A102" s="1527">
        <v>4040</v>
      </c>
      <c r="B102" s="1451" t="s">
        <v>740</v>
      </c>
      <c r="C102" s="1389">
        <v>82200</v>
      </c>
      <c r="D102" s="830">
        <f t="shared" si="8"/>
        <v>82200</v>
      </c>
      <c r="E102" s="1390">
        <f>SUM(H102+K102+N102+Q102)</f>
        <v>78121</v>
      </c>
      <c r="F102" s="1366">
        <f t="shared" si="10"/>
        <v>95.03771289537713</v>
      </c>
      <c r="G102" s="1389">
        <v>82200</v>
      </c>
      <c r="H102" s="1390">
        <v>78121</v>
      </c>
      <c r="I102" s="1369">
        <f t="shared" si="11"/>
        <v>95.03771289537713</v>
      </c>
      <c r="J102" s="1445"/>
      <c r="K102" s="1390"/>
      <c r="L102" s="1446"/>
      <c r="M102" s="1390"/>
      <c r="N102" s="1390"/>
      <c r="O102" s="1447"/>
      <c r="P102" s="1389"/>
      <c r="Q102" s="1390"/>
      <c r="R102" s="1454"/>
    </row>
    <row r="103" spans="1:18" ht="24">
      <c r="A103" s="1443">
        <v>4110</v>
      </c>
      <c r="B103" s="1451" t="s">
        <v>741</v>
      </c>
      <c r="C103" s="1389">
        <v>202000</v>
      </c>
      <c r="D103" s="830">
        <f t="shared" si="8"/>
        <v>202000</v>
      </c>
      <c r="E103" s="1390">
        <f aca="true" t="shared" si="13" ref="E103:E124">SUM(H103+K103+N103+Q103)</f>
        <v>94335</v>
      </c>
      <c r="F103" s="1366">
        <f t="shared" si="10"/>
        <v>46.70049504950495</v>
      </c>
      <c r="G103" s="1389">
        <v>202000</v>
      </c>
      <c r="H103" s="1390">
        <v>94335</v>
      </c>
      <c r="I103" s="1369">
        <f t="shared" si="11"/>
        <v>46.70049504950495</v>
      </c>
      <c r="J103" s="1445"/>
      <c r="K103" s="1390"/>
      <c r="L103" s="1446"/>
      <c r="M103" s="1390"/>
      <c r="N103" s="1390"/>
      <c r="O103" s="1447"/>
      <c r="P103" s="1389"/>
      <c r="Q103" s="1390"/>
      <c r="R103" s="1454"/>
    </row>
    <row r="104" spans="1:18" ht="12.75">
      <c r="A104" s="1443">
        <v>4120</v>
      </c>
      <c r="B104" s="1451" t="s">
        <v>742</v>
      </c>
      <c r="C104" s="1389">
        <v>28000</v>
      </c>
      <c r="D104" s="830">
        <f t="shared" si="8"/>
        <v>28000</v>
      </c>
      <c r="E104" s="1390">
        <f t="shared" si="13"/>
        <v>13541</v>
      </c>
      <c r="F104" s="1366">
        <f t="shared" si="10"/>
        <v>48.36071428571429</v>
      </c>
      <c r="G104" s="1389">
        <v>28000</v>
      </c>
      <c r="H104" s="1390">
        <v>13541</v>
      </c>
      <c r="I104" s="1369">
        <f t="shared" si="11"/>
        <v>48.36071428571429</v>
      </c>
      <c r="J104" s="1445"/>
      <c r="K104" s="1390"/>
      <c r="L104" s="1446"/>
      <c r="M104" s="1390"/>
      <c r="N104" s="1390"/>
      <c r="O104" s="1447"/>
      <c r="P104" s="1389"/>
      <c r="Q104" s="1390"/>
      <c r="R104" s="1454"/>
    </row>
    <row r="105" spans="1:18" ht="12.75">
      <c r="A105" s="1443">
        <v>4140</v>
      </c>
      <c r="B105" s="1451" t="s">
        <v>743</v>
      </c>
      <c r="C105" s="1389">
        <v>9500</v>
      </c>
      <c r="D105" s="830">
        <f t="shared" si="8"/>
        <v>13100</v>
      </c>
      <c r="E105" s="1390">
        <f t="shared" si="13"/>
        <v>7223</v>
      </c>
      <c r="F105" s="1366">
        <f t="shared" si="10"/>
        <v>55.13740458015267</v>
      </c>
      <c r="G105" s="1389">
        <f>9500+3600</f>
        <v>13100</v>
      </c>
      <c r="H105" s="1390">
        <v>7223</v>
      </c>
      <c r="I105" s="1369">
        <f t="shared" si="11"/>
        <v>55.13740458015267</v>
      </c>
      <c r="J105" s="1445"/>
      <c r="K105" s="1390"/>
      <c r="L105" s="1446"/>
      <c r="M105" s="1390"/>
      <c r="N105" s="1390"/>
      <c r="O105" s="1447"/>
      <c r="P105" s="1389"/>
      <c r="Q105" s="1390"/>
      <c r="R105" s="1454"/>
    </row>
    <row r="106" spans="1:18" ht="24">
      <c r="A106" s="1443">
        <v>4170</v>
      </c>
      <c r="B106" s="1451" t="s">
        <v>744</v>
      </c>
      <c r="C106" s="1389">
        <v>6000</v>
      </c>
      <c r="D106" s="830">
        <f t="shared" si="8"/>
        <v>6000</v>
      </c>
      <c r="E106" s="1390">
        <f t="shared" si="13"/>
        <v>900</v>
      </c>
      <c r="F106" s="1366">
        <f t="shared" si="10"/>
        <v>15</v>
      </c>
      <c r="G106" s="1389">
        <v>6000</v>
      </c>
      <c r="H106" s="1390">
        <v>900</v>
      </c>
      <c r="I106" s="1369">
        <f t="shared" si="11"/>
        <v>15</v>
      </c>
      <c r="J106" s="1445"/>
      <c r="K106" s="1390"/>
      <c r="L106" s="1446"/>
      <c r="M106" s="1390"/>
      <c r="N106" s="1390"/>
      <c r="O106" s="1447"/>
      <c r="P106" s="1389"/>
      <c r="Q106" s="1390"/>
      <c r="R106" s="1454"/>
    </row>
    <row r="107" spans="1:18" ht="24">
      <c r="A107" s="1443">
        <v>4210</v>
      </c>
      <c r="B107" s="1444" t="s">
        <v>690</v>
      </c>
      <c r="C107" s="1389">
        <v>66000</v>
      </c>
      <c r="D107" s="830">
        <f t="shared" si="8"/>
        <v>95000</v>
      </c>
      <c r="E107" s="1390">
        <f t="shared" si="13"/>
        <v>82744</v>
      </c>
      <c r="F107" s="1366">
        <f t="shared" si="10"/>
        <v>87.09894736842105</v>
      </c>
      <c r="G107" s="1389">
        <f>66000+14000+15000</f>
        <v>95000</v>
      </c>
      <c r="H107" s="1390">
        <v>82744</v>
      </c>
      <c r="I107" s="1369">
        <f t="shared" si="11"/>
        <v>87.09894736842105</v>
      </c>
      <c r="J107" s="1445"/>
      <c r="K107" s="1390"/>
      <c r="L107" s="1446"/>
      <c r="M107" s="1390"/>
      <c r="N107" s="1390"/>
      <c r="O107" s="1447"/>
      <c r="P107" s="1389"/>
      <c r="Q107" s="1390"/>
      <c r="R107" s="1454"/>
    </row>
    <row r="108" spans="1:18" ht="12.75">
      <c r="A108" s="1443">
        <v>4260</v>
      </c>
      <c r="B108" s="1444" t="s">
        <v>694</v>
      </c>
      <c r="C108" s="1389">
        <v>30000</v>
      </c>
      <c r="D108" s="830">
        <f t="shared" si="8"/>
        <v>30000</v>
      </c>
      <c r="E108" s="1390">
        <f t="shared" si="13"/>
        <v>18841</v>
      </c>
      <c r="F108" s="1366">
        <f t="shared" si="10"/>
        <v>62.803333333333335</v>
      </c>
      <c r="G108" s="1389">
        <v>30000</v>
      </c>
      <c r="H108" s="1390">
        <v>18841</v>
      </c>
      <c r="I108" s="1369">
        <f t="shared" si="11"/>
        <v>62.803333333333335</v>
      </c>
      <c r="J108" s="1445"/>
      <c r="K108" s="1390"/>
      <c r="L108" s="1446"/>
      <c r="M108" s="1390"/>
      <c r="N108" s="1390"/>
      <c r="O108" s="1447"/>
      <c r="P108" s="1389"/>
      <c r="Q108" s="1390"/>
      <c r="R108" s="1454"/>
    </row>
    <row r="109" spans="1:18" ht="12.75">
      <c r="A109" s="1443">
        <v>4270</v>
      </c>
      <c r="B109" s="1451" t="s">
        <v>696</v>
      </c>
      <c r="C109" s="1389">
        <v>5000</v>
      </c>
      <c r="D109" s="830">
        <f t="shared" si="8"/>
        <v>5000</v>
      </c>
      <c r="E109" s="1390">
        <f t="shared" si="13"/>
        <v>1934</v>
      </c>
      <c r="F109" s="1366">
        <f t="shared" si="10"/>
        <v>38.68</v>
      </c>
      <c r="G109" s="1389">
        <v>5000</v>
      </c>
      <c r="H109" s="1390">
        <v>1934</v>
      </c>
      <c r="I109" s="1369">
        <f t="shared" si="11"/>
        <v>38.68</v>
      </c>
      <c r="J109" s="1445"/>
      <c r="K109" s="1390"/>
      <c r="L109" s="1446"/>
      <c r="M109" s="1390"/>
      <c r="N109" s="1390"/>
      <c r="O109" s="1447"/>
      <c r="P109" s="1389"/>
      <c r="Q109" s="1390"/>
      <c r="R109" s="1454"/>
    </row>
    <row r="110" spans="1:18" ht="12.75">
      <c r="A110" s="1443">
        <v>4280</v>
      </c>
      <c r="B110" s="1451" t="s">
        <v>745</v>
      </c>
      <c r="C110" s="1389">
        <v>1500</v>
      </c>
      <c r="D110" s="830">
        <f t="shared" si="8"/>
        <v>1500</v>
      </c>
      <c r="E110" s="1390">
        <f t="shared" si="13"/>
        <v>325</v>
      </c>
      <c r="F110" s="1366">
        <f t="shared" si="10"/>
        <v>21.666666666666668</v>
      </c>
      <c r="G110" s="1389">
        <v>1500</v>
      </c>
      <c r="H110" s="1390">
        <v>325</v>
      </c>
      <c r="I110" s="1369">
        <f t="shared" si="11"/>
        <v>21.666666666666668</v>
      </c>
      <c r="J110" s="1445"/>
      <c r="K110" s="1390"/>
      <c r="L110" s="1446"/>
      <c r="M110" s="1390"/>
      <c r="N110" s="1390"/>
      <c r="O110" s="1447"/>
      <c r="P110" s="1389"/>
      <c r="Q110" s="1390"/>
      <c r="R110" s="1454"/>
    </row>
    <row r="111" spans="1:18" ht="12.75">
      <c r="A111" s="1443">
        <v>4300</v>
      </c>
      <c r="B111" s="1451" t="s">
        <v>746</v>
      </c>
      <c r="C111" s="1389">
        <v>445000</v>
      </c>
      <c r="D111" s="830">
        <f t="shared" si="8"/>
        <v>448410</v>
      </c>
      <c r="E111" s="1390">
        <f t="shared" si="13"/>
        <v>204481</v>
      </c>
      <c r="F111" s="1366">
        <f t="shared" si="10"/>
        <v>45.60134698155706</v>
      </c>
      <c r="G111" s="1389">
        <f>445000+3410</f>
        <v>448410</v>
      </c>
      <c r="H111" s="1390">
        <f>204482-1</f>
        <v>204481</v>
      </c>
      <c r="I111" s="1369">
        <f t="shared" si="11"/>
        <v>45.60134698155706</v>
      </c>
      <c r="J111" s="1445"/>
      <c r="K111" s="1390"/>
      <c r="L111" s="1446"/>
      <c r="M111" s="1390"/>
      <c r="N111" s="1390"/>
      <c r="O111" s="1447"/>
      <c r="P111" s="1389"/>
      <c r="Q111" s="1390"/>
      <c r="R111" s="1454"/>
    </row>
    <row r="112" spans="1:18" ht="24">
      <c r="A112" s="1443">
        <v>4350</v>
      </c>
      <c r="B112" s="1451" t="s">
        <v>869</v>
      </c>
      <c r="C112" s="1389">
        <v>4000</v>
      </c>
      <c r="D112" s="830">
        <f t="shared" si="8"/>
        <v>4000</v>
      </c>
      <c r="E112" s="1390">
        <f t="shared" si="13"/>
        <v>2231</v>
      </c>
      <c r="F112" s="1366">
        <f t="shared" si="10"/>
        <v>55.775</v>
      </c>
      <c r="G112" s="1389">
        <v>4000</v>
      </c>
      <c r="H112" s="1390">
        <v>2231</v>
      </c>
      <c r="I112" s="1369">
        <f t="shared" si="11"/>
        <v>55.775</v>
      </c>
      <c r="J112" s="1445"/>
      <c r="K112" s="1390"/>
      <c r="L112" s="1446"/>
      <c r="M112" s="1390"/>
      <c r="N112" s="1390"/>
      <c r="O112" s="1447"/>
      <c r="P112" s="1389"/>
      <c r="Q112" s="1390"/>
      <c r="R112" s="1454"/>
    </row>
    <row r="113" spans="1:18" ht="12.75">
      <c r="A113" s="1443">
        <v>4410</v>
      </c>
      <c r="B113" s="1451" t="s">
        <v>672</v>
      </c>
      <c r="C113" s="1389">
        <v>10000</v>
      </c>
      <c r="D113" s="830">
        <f t="shared" si="8"/>
        <v>18000</v>
      </c>
      <c r="E113" s="1390">
        <f t="shared" si="13"/>
        <v>7114</v>
      </c>
      <c r="F113" s="1366">
        <f t="shared" si="10"/>
        <v>39.52222222222222</v>
      </c>
      <c r="G113" s="1389">
        <f>10000+8000</f>
        <v>18000</v>
      </c>
      <c r="H113" s="1390">
        <v>7114</v>
      </c>
      <c r="I113" s="1369">
        <f t="shared" si="11"/>
        <v>39.52222222222222</v>
      </c>
      <c r="J113" s="1445"/>
      <c r="K113" s="1390"/>
      <c r="L113" s="1446"/>
      <c r="M113" s="1390"/>
      <c r="N113" s="1390"/>
      <c r="O113" s="1447"/>
      <c r="P113" s="1389"/>
      <c r="Q113" s="1390"/>
      <c r="R113" s="1454"/>
    </row>
    <row r="114" spans="1:18" ht="24">
      <c r="A114" s="1443">
        <v>4420</v>
      </c>
      <c r="B114" s="1451" t="s">
        <v>747</v>
      </c>
      <c r="C114" s="1389">
        <v>1000</v>
      </c>
      <c r="D114" s="830">
        <f t="shared" si="8"/>
        <v>1000</v>
      </c>
      <c r="E114" s="1390">
        <f>SUM(H114+K114+N114+Q114)</f>
        <v>0</v>
      </c>
      <c r="F114" s="1366">
        <f>E114/D114*100</f>
        <v>0</v>
      </c>
      <c r="G114" s="1389">
        <v>1000</v>
      </c>
      <c r="H114" s="1390"/>
      <c r="I114" s="1369">
        <f t="shared" si="11"/>
        <v>0</v>
      </c>
      <c r="J114" s="1445"/>
      <c r="K114" s="1390"/>
      <c r="L114" s="1446"/>
      <c r="M114" s="1390"/>
      <c r="N114" s="1390"/>
      <c r="O114" s="1447"/>
      <c r="P114" s="1389"/>
      <c r="Q114" s="1390"/>
      <c r="R114" s="1454"/>
    </row>
    <row r="115" spans="1:18" ht="12.75">
      <c r="A115" s="1443">
        <v>4430</v>
      </c>
      <c r="B115" s="1451" t="s">
        <v>700</v>
      </c>
      <c r="C115" s="1389">
        <v>9095</v>
      </c>
      <c r="D115" s="830">
        <f t="shared" si="8"/>
        <v>16636</v>
      </c>
      <c r="E115" s="1390">
        <f t="shared" si="13"/>
        <v>8268</v>
      </c>
      <c r="F115" s="1366">
        <f t="shared" si="10"/>
        <v>49.699446982447704</v>
      </c>
      <c r="G115" s="1389">
        <f>9095+1241+6300</f>
        <v>16636</v>
      </c>
      <c r="H115" s="1390">
        <v>8268</v>
      </c>
      <c r="I115" s="1369">
        <f t="shared" si="11"/>
        <v>49.699446982447704</v>
      </c>
      <c r="J115" s="1445"/>
      <c r="K115" s="1390"/>
      <c r="L115" s="1446"/>
      <c r="M115" s="1390"/>
      <c r="N115" s="1390"/>
      <c r="O115" s="1447"/>
      <c r="P115" s="1389"/>
      <c r="Q115" s="1390"/>
      <c r="R115" s="1454"/>
    </row>
    <row r="116" spans="1:18" ht="12.75">
      <c r="A116" s="1443">
        <v>4440</v>
      </c>
      <c r="B116" s="1451" t="s">
        <v>702</v>
      </c>
      <c r="C116" s="1389">
        <v>24200</v>
      </c>
      <c r="D116" s="830">
        <f t="shared" si="8"/>
        <v>24200</v>
      </c>
      <c r="E116" s="1390">
        <f t="shared" si="13"/>
        <v>24200</v>
      </c>
      <c r="F116" s="1366">
        <f t="shared" si="10"/>
        <v>100</v>
      </c>
      <c r="G116" s="1389">
        <v>24200</v>
      </c>
      <c r="H116" s="1390">
        <v>24200</v>
      </c>
      <c r="I116" s="1369">
        <f t="shared" si="11"/>
        <v>100</v>
      </c>
      <c r="J116" s="1445"/>
      <c r="K116" s="1390"/>
      <c r="L116" s="1446"/>
      <c r="M116" s="1390"/>
      <c r="N116" s="1390"/>
      <c r="O116" s="1447"/>
      <c r="P116" s="1389"/>
      <c r="Q116" s="1390"/>
      <c r="R116" s="1454"/>
    </row>
    <row r="117" spans="1:18" ht="12.75">
      <c r="A117" s="1443">
        <v>4480</v>
      </c>
      <c r="B117" s="1451" t="s">
        <v>748</v>
      </c>
      <c r="C117" s="1389">
        <v>4100</v>
      </c>
      <c r="D117" s="830">
        <f t="shared" si="8"/>
        <v>4210</v>
      </c>
      <c r="E117" s="1390">
        <f t="shared" si="13"/>
        <v>4207</v>
      </c>
      <c r="F117" s="1366">
        <f t="shared" si="10"/>
        <v>99.92874109263657</v>
      </c>
      <c r="G117" s="1389">
        <f>4100+110</f>
        <v>4210</v>
      </c>
      <c r="H117" s="1390">
        <v>4207</v>
      </c>
      <c r="I117" s="1369">
        <f t="shared" si="11"/>
        <v>99.92874109263657</v>
      </c>
      <c r="J117" s="1445"/>
      <c r="K117" s="1390"/>
      <c r="L117" s="1446"/>
      <c r="M117" s="1390"/>
      <c r="N117" s="1390"/>
      <c r="O117" s="1447"/>
      <c r="P117" s="1389"/>
      <c r="Q117" s="1390"/>
      <c r="R117" s="1454"/>
    </row>
    <row r="118" spans="1:18" ht="72" hidden="1">
      <c r="A118" s="1443">
        <v>4560</v>
      </c>
      <c r="B118" s="1451" t="s">
        <v>749</v>
      </c>
      <c r="C118" s="1389"/>
      <c r="D118" s="830">
        <f t="shared" si="8"/>
        <v>0</v>
      </c>
      <c r="E118" s="1390">
        <f t="shared" si="13"/>
        <v>0</v>
      </c>
      <c r="F118" s="1366" t="e">
        <f t="shared" si="10"/>
        <v>#DIV/0!</v>
      </c>
      <c r="G118" s="1389"/>
      <c r="H118" s="1390"/>
      <c r="I118" s="1369" t="e">
        <f t="shared" si="11"/>
        <v>#DIV/0!</v>
      </c>
      <c r="J118" s="1445"/>
      <c r="K118" s="1390"/>
      <c r="L118" s="1446"/>
      <c r="M118" s="1390"/>
      <c r="N118" s="1390"/>
      <c r="O118" s="1447"/>
      <c r="P118" s="1389"/>
      <c r="Q118" s="1390"/>
      <c r="R118" s="1454"/>
    </row>
    <row r="119" spans="1:18" ht="15" customHeight="1" hidden="1">
      <c r="A119" s="1443">
        <v>4580</v>
      </c>
      <c r="B119" s="1451" t="s">
        <v>750</v>
      </c>
      <c r="C119" s="1389"/>
      <c r="D119" s="830">
        <f t="shared" si="8"/>
        <v>0</v>
      </c>
      <c r="E119" s="1390">
        <f t="shared" si="13"/>
        <v>0</v>
      </c>
      <c r="F119" s="1366" t="e">
        <f t="shared" si="10"/>
        <v>#DIV/0!</v>
      </c>
      <c r="G119" s="1389"/>
      <c r="H119" s="1390"/>
      <c r="I119" s="1369" t="e">
        <f t="shared" si="11"/>
        <v>#DIV/0!</v>
      </c>
      <c r="J119" s="1445"/>
      <c r="K119" s="1390"/>
      <c r="L119" s="1446"/>
      <c r="M119" s="1390"/>
      <c r="N119" s="1390"/>
      <c r="O119" s="1447"/>
      <c r="P119" s="1389"/>
      <c r="Q119" s="1390"/>
      <c r="R119" s="1454"/>
    </row>
    <row r="120" spans="1:18" ht="35.25" customHeight="1" hidden="1">
      <c r="A120" s="1443">
        <v>4600</v>
      </c>
      <c r="B120" s="1451" t="s">
        <v>751</v>
      </c>
      <c r="C120" s="1389"/>
      <c r="D120" s="830">
        <f t="shared" si="8"/>
        <v>0</v>
      </c>
      <c r="E120" s="1390">
        <f t="shared" si="13"/>
        <v>0</v>
      </c>
      <c r="F120" s="1366" t="e">
        <f t="shared" si="10"/>
        <v>#DIV/0!</v>
      </c>
      <c r="G120" s="1389"/>
      <c r="H120" s="1390"/>
      <c r="I120" s="1369" t="e">
        <f t="shared" si="11"/>
        <v>#DIV/0!</v>
      </c>
      <c r="J120" s="1445"/>
      <c r="K120" s="1390"/>
      <c r="L120" s="1446"/>
      <c r="M120" s="1390"/>
      <c r="N120" s="1390"/>
      <c r="O120" s="1447"/>
      <c r="P120" s="1389"/>
      <c r="Q120" s="1390"/>
      <c r="R120" s="1454"/>
    </row>
    <row r="121" spans="1:18" ht="35.25" customHeight="1" hidden="1">
      <c r="A121" s="1443">
        <v>4610</v>
      </c>
      <c r="B121" s="1451" t="s">
        <v>752</v>
      </c>
      <c r="C121" s="1389"/>
      <c r="D121" s="830">
        <f t="shared" si="8"/>
        <v>0</v>
      </c>
      <c r="E121" s="1390">
        <f t="shared" si="13"/>
        <v>0</v>
      </c>
      <c r="F121" s="1366" t="e">
        <f t="shared" si="10"/>
        <v>#DIV/0!</v>
      </c>
      <c r="G121" s="1389"/>
      <c r="H121" s="1390"/>
      <c r="I121" s="1369" t="e">
        <f t="shared" si="11"/>
        <v>#DIV/0!</v>
      </c>
      <c r="J121" s="1445"/>
      <c r="K121" s="1390"/>
      <c r="L121" s="1446"/>
      <c r="M121" s="1390"/>
      <c r="N121" s="1390"/>
      <c r="O121" s="1447"/>
      <c r="P121" s="1389"/>
      <c r="Q121" s="1390"/>
      <c r="R121" s="1454"/>
    </row>
    <row r="122" spans="1:18" ht="24">
      <c r="A122" s="1443">
        <v>6050</v>
      </c>
      <c r="B122" s="1451" t="s">
        <v>719</v>
      </c>
      <c r="C122" s="1389">
        <v>1000</v>
      </c>
      <c r="D122" s="830">
        <f t="shared" si="8"/>
        <v>22550</v>
      </c>
      <c r="E122" s="1390">
        <f t="shared" si="13"/>
        <v>22545</v>
      </c>
      <c r="F122" s="1366">
        <f t="shared" si="10"/>
        <v>99.97782705099777</v>
      </c>
      <c r="G122" s="1389">
        <f>1000+21550</f>
        <v>22550</v>
      </c>
      <c r="H122" s="1390">
        <v>22545</v>
      </c>
      <c r="I122" s="1369">
        <f t="shared" si="11"/>
        <v>99.97782705099777</v>
      </c>
      <c r="J122" s="1445"/>
      <c r="K122" s="1390"/>
      <c r="L122" s="1446"/>
      <c r="M122" s="1390"/>
      <c r="N122" s="1390"/>
      <c r="O122" s="1447"/>
      <c r="P122" s="1389"/>
      <c r="Q122" s="1390"/>
      <c r="R122" s="1454"/>
    </row>
    <row r="123" spans="1:18" ht="36.75" thickBot="1">
      <c r="A123" s="1443">
        <v>6060</v>
      </c>
      <c r="B123" s="1451" t="s">
        <v>753</v>
      </c>
      <c r="C123" s="1389">
        <v>23000</v>
      </c>
      <c r="D123" s="830">
        <f aca="true" t="shared" si="14" ref="D123:E205">G123+J123+P123+M123</f>
        <v>23000</v>
      </c>
      <c r="E123" s="1390">
        <f t="shared" si="13"/>
        <v>15796</v>
      </c>
      <c r="F123" s="1366">
        <f t="shared" si="10"/>
        <v>68.67826086956522</v>
      </c>
      <c r="G123" s="1389">
        <v>23000</v>
      </c>
      <c r="H123" s="1390">
        <v>15796</v>
      </c>
      <c r="I123" s="1366">
        <f t="shared" si="11"/>
        <v>68.67826086956522</v>
      </c>
      <c r="J123" s="1445"/>
      <c r="K123" s="1390"/>
      <c r="L123" s="1446"/>
      <c r="M123" s="1390"/>
      <c r="N123" s="1390"/>
      <c r="O123" s="1447"/>
      <c r="P123" s="1389"/>
      <c r="Q123" s="1390"/>
      <c r="R123" s="1454"/>
    </row>
    <row r="124" spans="1:18" ht="9.75" customHeight="1" hidden="1">
      <c r="A124" s="1443">
        <v>6050</v>
      </c>
      <c r="B124" s="1451" t="s">
        <v>754</v>
      </c>
      <c r="C124" s="1389">
        <v>0</v>
      </c>
      <c r="D124" s="830">
        <f t="shared" si="14"/>
        <v>0</v>
      </c>
      <c r="E124" s="1390">
        <f t="shared" si="13"/>
        <v>0</v>
      </c>
      <c r="F124" s="1366">
        <v>0</v>
      </c>
      <c r="G124" s="1389">
        <v>0</v>
      </c>
      <c r="H124" s="1390">
        <v>0</v>
      </c>
      <c r="I124" s="1366">
        <v>0</v>
      </c>
      <c r="J124" s="1445"/>
      <c r="K124" s="1390"/>
      <c r="L124" s="1446"/>
      <c r="M124" s="1390"/>
      <c r="N124" s="1390"/>
      <c r="O124" s="1447"/>
      <c r="P124" s="1389"/>
      <c r="Q124" s="1390"/>
      <c r="R124" s="1454"/>
    </row>
    <row r="125" spans="1:18" s="1435" customFormat="1" ht="19.5" customHeight="1" thickBot="1" thickTop="1">
      <c r="A125" s="1429">
        <v>630</v>
      </c>
      <c r="B125" s="1430" t="s">
        <v>123</v>
      </c>
      <c r="C125" s="1431">
        <f>C126++C130</f>
        <v>455353</v>
      </c>
      <c r="D125" s="813">
        <f t="shared" si="14"/>
        <v>420305</v>
      </c>
      <c r="E125" s="1416">
        <f>H125+K125+Q125+N125</f>
        <v>227506</v>
      </c>
      <c r="F125" s="1342">
        <f t="shared" si="10"/>
        <v>54.12878742817716</v>
      </c>
      <c r="G125" s="1431">
        <f>SUM(G126)+G130</f>
        <v>420305</v>
      </c>
      <c r="H125" s="1416">
        <f>SUM(H126)+H130</f>
        <v>227506</v>
      </c>
      <c r="I125" s="1342">
        <f t="shared" si="11"/>
        <v>54.12878742817716</v>
      </c>
      <c r="J125" s="1432"/>
      <c r="K125" s="1416"/>
      <c r="L125" s="1433"/>
      <c r="M125" s="1416"/>
      <c r="N125" s="1416"/>
      <c r="O125" s="1434"/>
      <c r="P125" s="1431"/>
      <c r="Q125" s="1416"/>
      <c r="R125" s="1528"/>
    </row>
    <row r="126" spans="1:18" ht="34.5" customHeight="1" thickTop="1">
      <c r="A126" s="1436">
        <v>63003</v>
      </c>
      <c r="B126" s="1529" t="s">
        <v>295</v>
      </c>
      <c r="C126" s="1438">
        <f>SUM(C127:C129)</f>
        <v>128000</v>
      </c>
      <c r="D126" s="821">
        <f t="shared" si="14"/>
        <v>128000</v>
      </c>
      <c r="E126" s="1530">
        <f>H126+K126+Q126+N126</f>
        <v>64417</v>
      </c>
      <c r="F126" s="1419">
        <f t="shared" si="10"/>
        <v>50.32578125</v>
      </c>
      <c r="G126" s="1438">
        <f>SUM(G127:G129)</f>
        <v>128000</v>
      </c>
      <c r="H126" s="1380">
        <f>SUM(H127:H129)</f>
        <v>64417</v>
      </c>
      <c r="I126" s="1354">
        <f t="shared" si="11"/>
        <v>50.32578125</v>
      </c>
      <c r="J126" s="1440"/>
      <c r="K126" s="1380"/>
      <c r="L126" s="1441"/>
      <c r="M126" s="1380"/>
      <c r="N126" s="1380"/>
      <c r="O126" s="1442"/>
      <c r="P126" s="1438"/>
      <c r="Q126" s="1380"/>
      <c r="R126" s="1478"/>
    </row>
    <row r="127" spans="1:18" ht="60">
      <c r="A127" s="1443">
        <v>2820</v>
      </c>
      <c r="B127" s="1451" t="s">
        <v>314</v>
      </c>
      <c r="C127" s="1389">
        <v>14000</v>
      </c>
      <c r="D127" s="830">
        <f t="shared" si="14"/>
        <v>14000</v>
      </c>
      <c r="E127" s="1390">
        <f aca="true" t="shared" si="15" ref="E127:E147">SUM(H127+K127+N127+Q127)</f>
        <v>5000</v>
      </c>
      <c r="F127" s="1366">
        <f t="shared" si="10"/>
        <v>35.714285714285715</v>
      </c>
      <c r="G127" s="1389">
        <v>14000</v>
      </c>
      <c r="H127" s="1390">
        <v>5000</v>
      </c>
      <c r="I127" s="1366">
        <f t="shared" si="11"/>
        <v>35.714285714285715</v>
      </c>
      <c r="J127" s="1390"/>
      <c r="K127" s="1390"/>
      <c r="L127" s="1446"/>
      <c r="M127" s="1390"/>
      <c r="N127" s="1390"/>
      <c r="O127" s="1447"/>
      <c r="P127" s="1389"/>
      <c r="Q127" s="1390"/>
      <c r="R127" s="1454"/>
    </row>
    <row r="128" spans="1:18" ht="25.5" customHeight="1">
      <c r="A128" s="1443">
        <v>4210</v>
      </c>
      <c r="B128" s="1444" t="s">
        <v>690</v>
      </c>
      <c r="C128" s="1389">
        <v>9000</v>
      </c>
      <c r="D128" s="830">
        <f t="shared" si="14"/>
        <v>9000</v>
      </c>
      <c r="E128" s="1390">
        <f t="shared" si="15"/>
        <v>864</v>
      </c>
      <c r="F128" s="1366">
        <f>E128/D128*100</f>
        <v>9.6</v>
      </c>
      <c r="G128" s="1389">
        <v>9000</v>
      </c>
      <c r="H128" s="1390">
        <v>864</v>
      </c>
      <c r="I128" s="1366">
        <f t="shared" si="11"/>
        <v>9.6</v>
      </c>
      <c r="J128" s="1445"/>
      <c r="K128" s="1390"/>
      <c r="L128" s="1446"/>
      <c r="M128" s="1390"/>
      <c r="N128" s="1390"/>
      <c r="O128" s="1447"/>
      <c r="P128" s="1389"/>
      <c r="Q128" s="1390"/>
      <c r="R128" s="1454"/>
    </row>
    <row r="129" spans="1:18" ht="16.5" customHeight="1">
      <c r="A129" s="1443">
        <v>4300</v>
      </c>
      <c r="B129" s="1451" t="s">
        <v>712</v>
      </c>
      <c r="C129" s="1389">
        <v>105000</v>
      </c>
      <c r="D129" s="830">
        <f t="shared" si="14"/>
        <v>105000</v>
      </c>
      <c r="E129" s="1390">
        <f t="shared" si="15"/>
        <v>58553</v>
      </c>
      <c r="F129" s="1366">
        <f t="shared" si="10"/>
        <v>55.764761904761905</v>
      </c>
      <c r="G129" s="1389">
        <v>105000</v>
      </c>
      <c r="H129" s="1390">
        <v>58553</v>
      </c>
      <c r="I129" s="1366">
        <f t="shared" si="11"/>
        <v>55.764761904761905</v>
      </c>
      <c r="J129" s="1445"/>
      <c r="K129" s="1390"/>
      <c r="L129" s="1446"/>
      <c r="M129" s="1390"/>
      <c r="N129" s="1390"/>
      <c r="O129" s="1447"/>
      <c r="P129" s="1389"/>
      <c r="Q129" s="1390"/>
      <c r="R129" s="1454"/>
    </row>
    <row r="130" spans="1:18" s="1471" customFormat="1" ht="16.5" customHeight="1">
      <c r="A130" s="1479">
        <v>63095</v>
      </c>
      <c r="B130" s="1576" t="s">
        <v>299</v>
      </c>
      <c r="C130" s="823">
        <f>C131+C138</f>
        <v>327353</v>
      </c>
      <c r="D130" s="845">
        <f>G130+J130+P130+M130</f>
        <v>292305</v>
      </c>
      <c r="E130" s="845">
        <f t="shared" si="15"/>
        <v>163089</v>
      </c>
      <c r="F130" s="1398">
        <f t="shared" si="10"/>
        <v>55.79411915636066</v>
      </c>
      <c r="G130" s="823">
        <f>G131+G138</f>
        <v>292305</v>
      </c>
      <c r="H130" s="845">
        <f>H131+H138</f>
        <v>163089</v>
      </c>
      <c r="I130" s="1398">
        <f t="shared" si="11"/>
        <v>55.79411915636066</v>
      </c>
      <c r="J130" s="1510"/>
      <c r="K130" s="845"/>
      <c r="L130" s="1441"/>
      <c r="M130" s="845"/>
      <c r="N130" s="845"/>
      <c r="O130" s="1511"/>
      <c r="P130" s="823"/>
      <c r="Q130" s="845"/>
      <c r="R130" s="826"/>
    </row>
    <row r="131" spans="1:18" s="1672" customFormat="1" ht="24">
      <c r="A131" s="1585"/>
      <c r="B131" s="1586" t="s">
        <v>1227</v>
      </c>
      <c r="C131" s="1587">
        <f>SUM(C132:C137)</f>
        <v>30351</v>
      </c>
      <c r="D131" s="1588">
        <f t="shared" si="14"/>
        <v>37939</v>
      </c>
      <c r="E131" s="1588">
        <f t="shared" si="15"/>
        <v>10278</v>
      </c>
      <c r="F131" s="1729">
        <f t="shared" si="10"/>
        <v>27.090856374706767</v>
      </c>
      <c r="G131" s="1587">
        <f>SUM(G132:G137)</f>
        <v>37939</v>
      </c>
      <c r="H131" s="1588">
        <f>SUM(H132:H137)</f>
        <v>10278</v>
      </c>
      <c r="I131" s="1729">
        <f t="shared" si="11"/>
        <v>27.090856374706767</v>
      </c>
      <c r="J131" s="1589"/>
      <c r="K131" s="1588"/>
      <c r="L131" s="1590"/>
      <c r="M131" s="1588"/>
      <c r="N131" s="1588"/>
      <c r="O131" s="2919"/>
      <c r="P131" s="1587"/>
      <c r="Q131" s="1588"/>
      <c r="R131" s="2920"/>
    </row>
    <row r="132" spans="1:18" s="1286" customFormat="1" ht="16.5" customHeight="1">
      <c r="A132" s="1512">
        <v>4301</v>
      </c>
      <c r="B132" s="1574" t="s">
        <v>712</v>
      </c>
      <c r="C132" s="832">
        <v>22763</v>
      </c>
      <c r="D132" s="830">
        <f t="shared" si="14"/>
        <v>0</v>
      </c>
      <c r="E132" s="830">
        <f t="shared" si="15"/>
        <v>0</v>
      </c>
      <c r="F132" s="2921"/>
      <c r="G132" s="832">
        <f>22763-22763</f>
        <v>0</v>
      </c>
      <c r="H132" s="830"/>
      <c r="I132" s="2921"/>
      <c r="J132" s="1514"/>
      <c r="K132" s="830"/>
      <c r="L132" s="1446"/>
      <c r="M132" s="830"/>
      <c r="N132" s="830"/>
      <c r="O132" s="1515"/>
      <c r="P132" s="832"/>
      <c r="Q132" s="830"/>
      <c r="R132" s="834"/>
    </row>
    <row r="133" spans="1:18" s="1286" customFormat="1" ht="16.5" customHeight="1">
      <c r="A133" s="1512">
        <v>4302</v>
      </c>
      <c r="B133" s="1574" t="s">
        <v>712</v>
      </c>
      <c r="C133" s="832">
        <v>7588</v>
      </c>
      <c r="D133" s="830">
        <f>G133+J133+P133+M133</f>
        <v>0</v>
      </c>
      <c r="E133" s="830">
        <f t="shared" si="15"/>
        <v>0</v>
      </c>
      <c r="F133" s="2921"/>
      <c r="G133" s="832">
        <f>7588-7588</f>
        <v>0</v>
      </c>
      <c r="H133" s="830"/>
      <c r="I133" s="2921"/>
      <c r="J133" s="1514"/>
      <c r="K133" s="830"/>
      <c r="L133" s="1446"/>
      <c r="M133" s="830"/>
      <c r="N133" s="830"/>
      <c r="O133" s="1515"/>
      <c r="P133" s="832"/>
      <c r="Q133" s="830"/>
      <c r="R133" s="834"/>
    </row>
    <row r="134" spans="1:18" s="1286" customFormat="1" ht="16.5" customHeight="1">
      <c r="A134" s="1512">
        <v>4308</v>
      </c>
      <c r="B134" s="1574" t="s">
        <v>712</v>
      </c>
      <c r="C134" s="832"/>
      <c r="D134" s="830">
        <f>G134+J134+P134+M134</f>
        <v>22763</v>
      </c>
      <c r="E134" s="830">
        <f t="shared" si="15"/>
        <v>682</v>
      </c>
      <c r="F134" s="2921">
        <f>E134/D134*100</f>
        <v>2.9960901462900322</v>
      </c>
      <c r="G134" s="832">
        <v>22763</v>
      </c>
      <c r="H134" s="830">
        <v>682</v>
      </c>
      <c r="I134" s="2921">
        <f t="shared" si="11"/>
        <v>2.9960901462900322</v>
      </c>
      <c r="J134" s="1514"/>
      <c r="K134" s="830"/>
      <c r="L134" s="1446"/>
      <c r="M134" s="830"/>
      <c r="N134" s="830"/>
      <c r="O134" s="1515"/>
      <c r="P134" s="832"/>
      <c r="Q134" s="830"/>
      <c r="R134" s="834"/>
    </row>
    <row r="135" spans="1:18" s="1286" customFormat="1" ht="16.5" customHeight="1">
      <c r="A135" s="1512">
        <v>4309</v>
      </c>
      <c r="B135" s="1574" t="s">
        <v>712</v>
      </c>
      <c r="C135" s="832"/>
      <c r="D135" s="830">
        <f>G135+J135+P135+M135</f>
        <v>10000</v>
      </c>
      <c r="E135" s="830">
        <f t="shared" si="15"/>
        <v>9574</v>
      </c>
      <c r="F135" s="2921">
        <f>E135/D135*100</f>
        <v>95.74000000000001</v>
      </c>
      <c r="G135" s="832">
        <f>7588+2412</f>
        <v>10000</v>
      </c>
      <c r="H135" s="830">
        <v>9574</v>
      </c>
      <c r="I135" s="2921">
        <f t="shared" si="11"/>
        <v>95.74000000000001</v>
      </c>
      <c r="J135" s="1514"/>
      <c r="K135" s="830"/>
      <c r="L135" s="1446"/>
      <c r="M135" s="830"/>
      <c r="N135" s="830"/>
      <c r="O135" s="1515"/>
      <c r="P135" s="832"/>
      <c r="Q135" s="830"/>
      <c r="R135" s="834"/>
    </row>
    <row r="136" spans="1:18" s="1286" customFormat="1" ht="16.5" customHeight="1">
      <c r="A136" s="1512">
        <v>4419</v>
      </c>
      <c r="B136" s="1574" t="s">
        <v>672</v>
      </c>
      <c r="C136" s="832"/>
      <c r="D136" s="830">
        <f>G136+J136+P136+M136</f>
        <v>2000</v>
      </c>
      <c r="E136" s="830">
        <f t="shared" si="15"/>
        <v>22</v>
      </c>
      <c r="F136" s="2921">
        <f>E136/D136*100</f>
        <v>1.0999999999999999</v>
      </c>
      <c r="G136" s="832">
        <v>2000</v>
      </c>
      <c r="H136" s="830">
        <v>22</v>
      </c>
      <c r="I136" s="2921">
        <f t="shared" si="11"/>
        <v>1.0999999999999999</v>
      </c>
      <c r="J136" s="1514"/>
      <c r="K136" s="830"/>
      <c r="L136" s="1446"/>
      <c r="M136" s="830"/>
      <c r="N136" s="830"/>
      <c r="O136" s="1515"/>
      <c r="P136" s="832"/>
      <c r="Q136" s="830"/>
      <c r="R136" s="834"/>
    </row>
    <row r="137" spans="1:18" s="1286" customFormat="1" ht="24">
      <c r="A137" s="1512">
        <v>4429</v>
      </c>
      <c r="B137" s="1574" t="s">
        <v>785</v>
      </c>
      <c r="C137" s="832"/>
      <c r="D137" s="830">
        <f t="shared" si="14"/>
        <v>3176</v>
      </c>
      <c r="E137" s="830">
        <f t="shared" si="15"/>
        <v>0</v>
      </c>
      <c r="F137" s="2921">
        <f t="shared" si="10"/>
        <v>0</v>
      </c>
      <c r="G137" s="832">
        <v>3176</v>
      </c>
      <c r="H137" s="830"/>
      <c r="I137" s="2921">
        <f t="shared" si="11"/>
        <v>0</v>
      </c>
      <c r="J137" s="1514"/>
      <c r="K137" s="830"/>
      <c r="L137" s="1446"/>
      <c r="M137" s="830"/>
      <c r="N137" s="830"/>
      <c r="O137" s="1515"/>
      <c r="P137" s="832"/>
      <c r="Q137" s="830"/>
      <c r="R137" s="834"/>
    </row>
    <row r="138" spans="1:18" s="1672" customFormat="1" ht="16.5" customHeight="1">
      <c r="A138" s="1585"/>
      <c r="B138" s="1586" t="s">
        <v>1228</v>
      </c>
      <c r="C138" s="1587">
        <f>SUM(C139:C147)</f>
        <v>297002</v>
      </c>
      <c r="D138" s="1588">
        <f t="shared" si="14"/>
        <v>254366</v>
      </c>
      <c r="E138" s="1588">
        <f t="shared" si="15"/>
        <v>152811</v>
      </c>
      <c r="F138" s="1366">
        <f t="shared" si="10"/>
        <v>60.075245905506236</v>
      </c>
      <c r="G138" s="1587">
        <f>SUM(G139:G147)</f>
        <v>254366</v>
      </c>
      <c r="H138" s="1588">
        <f>SUM(H139:H147)</f>
        <v>152811</v>
      </c>
      <c r="I138" s="1366">
        <f t="shared" si="11"/>
        <v>60.075245905506236</v>
      </c>
      <c r="J138" s="1589"/>
      <c r="K138" s="1588"/>
      <c r="L138" s="1590"/>
      <c r="M138" s="1588"/>
      <c r="N138" s="1588"/>
      <c r="O138" s="2919"/>
      <c r="P138" s="1587"/>
      <c r="Q138" s="1588"/>
      <c r="R138" s="2920"/>
    </row>
    <row r="139" spans="1:18" s="1286" customFormat="1" ht="24" hidden="1">
      <c r="A139" s="1512">
        <v>4112</v>
      </c>
      <c r="B139" s="1451" t="s">
        <v>741</v>
      </c>
      <c r="C139" s="832"/>
      <c r="D139" s="830">
        <f t="shared" si="14"/>
        <v>0</v>
      </c>
      <c r="E139" s="830">
        <f t="shared" si="15"/>
        <v>0</v>
      </c>
      <c r="F139" s="2921" t="e">
        <f t="shared" si="10"/>
        <v>#DIV/0!</v>
      </c>
      <c r="G139" s="832">
        <f>500-500</f>
        <v>0</v>
      </c>
      <c r="H139" s="830"/>
      <c r="I139" s="2921"/>
      <c r="J139" s="1514"/>
      <c r="K139" s="830"/>
      <c r="L139" s="1446"/>
      <c r="M139" s="830"/>
      <c r="N139" s="830"/>
      <c r="O139" s="1515"/>
      <c r="P139" s="832"/>
      <c r="Q139" s="830"/>
      <c r="R139" s="834"/>
    </row>
    <row r="140" spans="1:18" s="1286" customFormat="1" ht="16.5" customHeight="1" hidden="1">
      <c r="A140" s="1512">
        <v>4122</v>
      </c>
      <c r="B140" s="1451" t="s">
        <v>742</v>
      </c>
      <c r="C140" s="832"/>
      <c r="D140" s="830">
        <f t="shared" si="14"/>
        <v>0</v>
      </c>
      <c r="E140" s="830">
        <f t="shared" si="15"/>
        <v>0</v>
      </c>
      <c r="F140" s="2921" t="e">
        <f t="shared" si="10"/>
        <v>#DIV/0!</v>
      </c>
      <c r="G140" s="832">
        <f>500-500</f>
        <v>0</v>
      </c>
      <c r="H140" s="830"/>
      <c r="I140" s="2921"/>
      <c r="J140" s="1514"/>
      <c r="K140" s="830"/>
      <c r="L140" s="1446"/>
      <c r="M140" s="830"/>
      <c r="N140" s="830"/>
      <c r="O140" s="1515"/>
      <c r="P140" s="832"/>
      <c r="Q140" s="830"/>
      <c r="R140" s="834"/>
    </row>
    <row r="141" spans="1:18" s="1286" customFormat="1" ht="24">
      <c r="A141" s="1512">
        <v>4171</v>
      </c>
      <c r="B141" s="1451" t="s">
        <v>744</v>
      </c>
      <c r="C141" s="832"/>
      <c r="D141" s="830">
        <f t="shared" si="14"/>
        <v>12000</v>
      </c>
      <c r="E141" s="830">
        <f t="shared" si="15"/>
        <v>4059</v>
      </c>
      <c r="F141" s="2921">
        <f t="shared" si="10"/>
        <v>33.825</v>
      </c>
      <c r="G141" s="832">
        <v>12000</v>
      </c>
      <c r="H141" s="830">
        <f>4058+1</f>
        <v>4059</v>
      </c>
      <c r="I141" s="2921">
        <f t="shared" si="11"/>
        <v>33.825</v>
      </c>
      <c r="J141" s="1514"/>
      <c r="K141" s="830"/>
      <c r="L141" s="1446"/>
      <c r="M141" s="830"/>
      <c r="N141" s="830"/>
      <c r="O141" s="1515"/>
      <c r="P141" s="832"/>
      <c r="Q141" s="830"/>
      <c r="R141" s="834"/>
    </row>
    <row r="142" spans="1:18" s="1286" customFormat="1" ht="24">
      <c r="A142" s="1512">
        <v>4172</v>
      </c>
      <c r="B142" s="1451" t="s">
        <v>744</v>
      </c>
      <c r="C142" s="832"/>
      <c r="D142" s="830">
        <f t="shared" si="14"/>
        <v>15500</v>
      </c>
      <c r="E142" s="830">
        <f t="shared" si="15"/>
        <v>7441</v>
      </c>
      <c r="F142" s="2921">
        <f t="shared" si="10"/>
        <v>48.00645161290323</v>
      </c>
      <c r="G142" s="832">
        <f>5000+10500</f>
        <v>15500</v>
      </c>
      <c r="H142" s="830">
        <v>7441</v>
      </c>
      <c r="I142" s="2921">
        <f t="shared" si="11"/>
        <v>48.00645161290323</v>
      </c>
      <c r="J142" s="1514"/>
      <c r="K142" s="830"/>
      <c r="L142" s="1446"/>
      <c r="M142" s="830"/>
      <c r="N142" s="830"/>
      <c r="O142" s="1515"/>
      <c r="P142" s="832"/>
      <c r="Q142" s="830"/>
      <c r="R142" s="834"/>
    </row>
    <row r="143" spans="1:18" s="1286" customFormat="1" ht="24">
      <c r="A143" s="1512">
        <v>4211</v>
      </c>
      <c r="B143" s="1444" t="s">
        <v>690</v>
      </c>
      <c r="C143" s="832"/>
      <c r="D143" s="830">
        <f t="shared" si="14"/>
        <v>4500</v>
      </c>
      <c r="E143" s="830">
        <f t="shared" si="15"/>
        <v>1566</v>
      </c>
      <c r="F143" s="2921">
        <f t="shared" si="10"/>
        <v>34.8</v>
      </c>
      <c r="G143" s="832">
        <v>4500</v>
      </c>
      <c r="H143" s="830">
        <v>1566</v>
      </c>
      <c r="I143" s="2921">
        <f t="shared" si="11"/>
        <v>34.8</v>
      </c>
      <c r="J143" s="1514"/>
      <c r="K143" s="830"/>
      <c r="L143" s="1446"/>
      <c r="M143" s="830"/>
      <c r="N143" s="830"/>
      <c r="O143" s="1515"/>
      <c r="P143" s="832"/>
      <c r="Q143" s="830"/>
      <c r="R143" s="834"/>
    </row>
    <row r="144" spans="1:18" s="1286" customFormat="1" ht="24">
      <c r="A144" s="1512">
        <v>4212</v>
      </c>
      <c r="B144" s="1444" t="s">
        <v>690</v>
      </c>
      <c r="C144" s="832"/>
      <c r="D144" s="830">
        <f t="shared" si="14"/>
        <v>3500</v>
      </c>
      <c r="E144" s="830">
        <f t="shared" si="15"/>
        <v>3132</v>
      </c>
      <c r="F144" s="2921">
        <f t="shared" si="10"/>
        <v>89.4857142857143</v>
      </c>
      <c r="G144" s="832">
        <f>2500+1000</f>
        <v>3500</v>
      </c>
      <c r="H144" s="830">
        <f>3131+1</f>
        <v>3132</v>
      </c>
      <c r="I144" s="2921">
        <f t="shared" si="11"/>
        <v>89.4857142857143</v>
      </c>
      <c r="J144" s="1514"/>
      <c r="K144" s="830"/>
      <c r="L144" s="1446"/>
      <c r="M144" s="830"/>
      <c r="N144" s="830"/>
      <c r="O144" s="1515"/>
      <c r="P144" s="832"/>
      <c r="Q144" s="830"/>
      <c r="R144" s="834"/>
    </row>
    <row r="145" spans="1:18" s="1286" customFormat="1" ht="16.5" customHeight="1">
      <c r="A145" s="1512">
        <v>4300</v>
      </c>
      <c r="B145" s="1574" t="s">
        <v>712</v>
      </c>
      <c r="C145" s="832"/>
      <c r="D145" s="830">
        <f t="shared" si="14"/>
        <v>69410</v>
      </c>
      <c r="E145" s="830">
        <f t="shared" si="15"/>
        <v>31220</v>
      </c>
      <c r="F145" s="2921">
        <f t="shared" si="10"/>
        <v>44.979109638380635</v>
      </c>
      <c r="G145" s="832">
        <f>30000+39410</f>
        <v>69410</v>
      </c>
      <c r="H145" s="830">
        <v>31220</v>
      </c>
      <c r="I145" s="2921">
        <f t="shared" si="11"/>
        <v>44.979109638380635</v>
      </c>
      <c r="J145" s="1514"/>
      <c r="K145" s="830"/>
      <c r="L145" s="1446"/>
      <c r="M145" s="830"/>
      <c r="N145" s="830"/>
      <c r="O145" s="1515"/>
      <c r="P145" s="832"/>
      <c r="Q145" s="830"/>
      <c r="R145" s="834"/>
    </row>
    <row r="146" spans="1:18" s="1286" customFormat="1" ht="16.5" customHeight="1">
      <c r="A146" s="1512">
        <v>4301</v>
      </c>
      <c r="B146" s="1574" t="s">
        <v>712</v>
      </c>
      <c r="C146" s="832">
        <v>182582</v>
      </c>
      <c r="D146" s="830">
        <f t="shared" si="14"/>
        <v>54036</v>
      </c>
      <c r="E146" s="830">
        <f t="shared" si="15"/>
        <v>35543</v>
      </c>
      <c r="F146" s="2921">
        <f t="shared" si="10"/>
        <v>65.77651935746539</v>
      </c>
      <c r="G146" s="832">
        <f>182582-16500-112046</f>
        <v>54036</v>
      </c>
      <c r="H146" s="830">
        <v>35543</v>
      </c>
      <c r="I146" s="2921">
        <f t="shared" si="11"/>
        <v>65.77651935746539</v>
      </c>
      <c r="J146" s="1514"/>
      <c r="K146" s="830"/>
      <c r="L146" s="1446"/>
      <c r="M146" s="830"/>
      <c r="N146" s="830"/>
      <c r="O146" s="1515"/>
      <c r="P146" s="832"/>
      <c r="Q146" s="830"/>
      <c r="R146" s="834"/>
    </row>
    <row r="147" spans="1:18" s="1286" customFormat="1" ht="13.5" thickBot="1">
      <c r="A147" s="1512">
        <v>4302</v>
      </c>
      <c r="B147" s="1574" t="s">
        <v>712</v>
      </c>
      <c r="C147" s="832">
        <v>114420</v>
      </c>
      <c r="D147" s="830">
        <f t="shared" si="14"/>
        <v>95420</v>
      </c>
      <c r="E147" s="830">
        <f t="shared" si="15"/>
        <v>69850</v>
      </c>
      <c r="F147" s="2921">
        <f aca="true" t="shared" si="16" ref="F147:F163">E147/D147*100</f>
        <v>73.20268287570741</v>
      </c>
      <c r="G147" s="832">
        <f>114420-8500-10500</f>
        <v>95420</v>
      </c>
      <c r="H147" s="830">
        <v>69850</v>
      </c>
      <c r="I147" s="2921">
        <f t="shared" si="11"/>
        <v>73.20268287570741</v>
      </c>
      <c r="J147" s="1514"/>
      <c r="K147" s="830"/>
      <c r="L147" s="1446"/>
      <c r="M147" s="830"/>
      <c r="N147" s="830"/>
      <c r="O147" s="1515"/>
      <c r="P147" s="832"/>
      <c r="Q147" s="830"/>
      <c r="R147" s="834"/>
    </row>
    <row r="148" spans="1:18" ht="24.75" customHeight="1" thickBot="1" thickTop="1">
      <c r="A148" s="1429">
        <v>700</v>
      </c>
      <c r="B148" s="1430" t="s">
        <v>125</v>
      </c>
      <c r="C148" s="1431">
        <f>C149+C152+C169+C167</f>
        <v>15226400</v>
      </c>
      <c r="D148" s="813">
        <f t="shared" si="14"/>
        <v>19930400</v>
      </c>
      <c r="E148" s="1416">
        <f>H148+K148+Q148+N148</f>
        <v>3255881</v>
      </c>
      <c r="F148" s="1342">
        <f t="shared" si="16"/>
        <v>16.336255167984586</v>
      </c>
      <c r="G148" s="1431">
        <f>G149+G152+G169+G167</f>
        <v>19890400</v>
      </c>
      <c r="H148" s="1416">
        <f>H149+H152+H169+H167</f>
        <v>3250020</v>
      </c>
      <c r="I148" s="1344">
        <f t="shared" si="11"/>
        <v>16.339641233962112</v>
      </c>
      <c r="J148" s="1416"/>
      <c r="K148" s="1416"/>
      <c r="L148" s="1433"/>
      <c r="M148" s="1416"/>
      <c r="N148" s="1416"/>
      <c r="O148" s="1434"/>
      <c r="P148" s="1431">
        <f>P149+P152+P169</f>
        <v>40000</v>
      </c>
      <c r="Q148" s="1416">
        <f>Q149+Q152+Q169</f>
        <v>5861</v>
      </c>
      <c r="R148" s="1349">
        <f>Q148/P148*100</f>
        <v>14.652499999999998</v>
      </c>
    </row>
    <row r="149" spans="1:18" s="1435" customFormat="1" ht="24.75" thickTop="1">
      <c r="A149" s="1531">
        <v>70001</v>
      </c>
      <c r="B149" s="1532" t="s">
        <v>296</v>
      </c>
      <c r="C149" s="1533">
        <f>SUM(C150:C151)</f>
        <v>6500000</v>
      </c>
      <c r="D149" s="821">
        <f t="shared" si="14"/>
        <v>9009000</v>
      </c>
      <c r="E149" s="843">
        <f aca="true" t="shared" si="17" ref="E149:E179">SUM(H149+K149+N149+Q149)</f>
        <v>2511660</v>
      </c>
      <c r="F149" s="1419">
        <f t="shared" si="16"/>
        <v>27.87945387945388</v>
      </c>
      <c r="G149" s="1535">
        <f>SUM(G150:G151)</f>
        <v>9009000</v>
      </c>
      <c r="H149" s="1530">
        <f>SUM(H150:H151)</f>
        <v>2511660</v>
      </c>
      <c r="I149" s="1439">
        <f t="shared" si="11"/>
        <v>27.87945387945388</v>
      </c>
      <c r="J149" s="1536"/>
      <c r="K149" s="1537"/>
      <c r="L149" s="1538"/>
      <c r="M149" s="1536"/>
      <c r="N149" s="1536"/>
      <c r="O149" s="1498"/>
      <c r="P149" s="1533"/>
      <c r="Q149" s="1536"/>
      <c r="R149" s="1539"/>
    </row>
    <row r="150" spans="1:18" s="1286" customFormat="1" ht="36" hidden="1">
      <c r="A150" s="1540">
        <v>2510</v>
      </c>
      <c r="B150" s="1541" t="s">
        <v>297</v>
      </c>
      <c r="C150" s="864"/>
      <c r="D150" s="869">
        <f t="shared" si="14"/>
        <v>0</v>
      </c>
      <c r="E150" s="1407">
        <f t="shared" si="17"/>
        <v>0</v>
      </c>
      <c r="F150" s="1391" t="e">
        <f t="shared" si="16"/>
        <v>#DIV/0!</v>
      </c>
      <c r="G150" s="864"/>
      <c r="H150" s="869"/>
      <c r="I150" s="1410" t="e">
        <f t="shared" si="11"/>
        <v>#DIV/0!</v>
      </c>
      <c r="J150" s="1542"/>
      <c r="K150" s="1542"/>
      <c r="L150" s="1543"/>
      <c r="M150" s="869"/>
      <c r="N150" s="869"/>
      <c r="O150" s="1544"/>
      <c r="P150" s="864"/>
      <c r="Q150" s="869"/>
      <c r="R150" s="884"/>
    </row>
    <row r="151" spans="1:18" ht="72">
      <c r="A151" s="1545">
        <v>6210</v>
      </c>
      <c r="B151" s="1546" t="s">
        <v>755</v>
      </c>
      <c r="C151" s="1389">
        <v>6500000</v>
      </c>
      <c r="D151" s="830">
        <f t="shared" si="14"/>
        <v>9009000</v>
      </c>
      <c r="E151" s="1390">
        <f t="shared" si="17"/>
        <v>2511660</v>
      </c>
      <c r="F151" s="1366">
        <f t="shared" si="16"/>
        <v>27.87945387945388</v>
      </c>
      <c r="G151" s="1389">
        <f>6500000+2509000</f>
        <v>9009000</v>
      </c>
      <c r="H151" s="1390">
        <v>2511660</v>
      </c>
      <c r="I151" s="1369">
        <f t="shared" si="11"/>
        <v>27.87945387945388</v>
      </c>
      <c r="J151" s="1445"/>
      <c r="K151" s="1390"/>
      <c r="L151" s="1446"/>
      <c r="M151" s="1390"/>
      <c r="N151" s="1390"/>
      <c r="O151" s="1447"/>
      <c r="P151" s="1389"/>
      <c r="Q151" s="1390"/>
      <c r="R151" s="1454"/>
    </row>
    <row r="152" spans="1:18" s="1435" customFormat="1" ht="24.75" customHeight="1">
      <c r="A152" s="1436">
        <v>70005</v>
      </c>
      <c r="B152" s="1529" t="s">
        <v>252</v>
      </c>
      <c r="C152" s="1438">
        <f>SUM(C153:C166)</f>
        <v>1567000</v>
      </c>
      <c r="D152" s="845">
        <f t="shared" si="14"/>
        <v>2337000</v>
      </c>
      <c r="E152" s="1380">
        <f>H152+K152+Q152+N152</f>
        <v>369063</v>
      </c>
      <c r="F152" s="1381">
        <f t="shared" si="16"/>
        <v>15.79216944801027</v>
      </c>
      <c r="G152" s="1438">
        <f>SUM(G153:G166)</f>
        <v>2297000</v>
      </c>
      <c r="H152" s="1380">
        <f>SUM(H153:H166)</f>
        <v>363202</v>
      </c>
      <c r="I152" s="1475">
        <f t="shared" si="11"/>
        <v>15.812015672616456</v>
      </c>
      <c r="J152" s="1440"/>
      <c r="K152" s="1380"/>
      <c r="L152" s="1441"/>
      <c r="M152" s="1380"/>
      <c r="N152" s="1380"/>
      <c r="O152" s="1442"/>
      <c r="P152" s="1438">
        <f>SUM(P153:P166)</f>
        <v>40000</v>
      </c>
      <c r="Q152" s="1380">
        <f>SUM(Q153:Q166)</f>
        <v>5861</v>
      </c>
      <c r="R152" s="1388">
        <f>Q152/P152*100</f>
        <v>14.652499999999998</v>
      </c>
    </row>
    <row r="153" spans="1:18" ht="39" customHeight="1">
      <c r="A153" s="1422">
        <v>3020</v>
      </c>
      <c r="B153" s="1547" t="s">
        <v>756</v>
      </c>
      <c r="C153" s="1393">
        <v>5000</v>
      </c>
      <c r="D153" s="869">
        <f t="shared" si="14"/>
        <v>5000</v>
      </c>
      <c r="E153" s="1407">
        <f t="shared" si="17"/>
        <v>0</v>
      </c>
      <c r="F153" s="1391">
        <f t="shared" si="16"/>
        <v>0</v>
      </c>
      <c r="G153" s="1393">
        <v>5000</v>
      </c>
      <c r="H153" s="1407"/>
      <c r="I153" s="1410">
        <f t="shared" si="11"/>
        <v>0</v>
      </c>
      <c r="J153" s="1548"/>
      <c r="K153" s="1407"/>
      <c r="L153" s="1543"/>
      <c r="M153" s="1407"/>
      <c r="N153" s="1407"/>
      <c r="O153" s="1549"/>
      <c r="P153" s="1393"/>
      <c r="Q153" s="1407"/>
      <c r="R153" s="1550"/>
    </row>
    <row r="154" spans="1:18" ht="29.25" customHeight="1" hidden="1">
      <c r="A154" s="1443">
        <v>3030</v>
      </c>
      <c r="B154" s="1451" t="s">
        <v>757</v>
      </c>
      <c r="C154" s="1389"/>
      <c r="D154" s="830">
        <f t="shared" si="14"/>
        <v>0</v>
      </c>
      <c r="E154" s="1390">
        <f t="shared" si="17"/>
        <v>0</v>
      </c>
      <c r="F154" s="1366"/>
      <c r="G154" s="1389"/>
      <c r="H154" s="1390"/>
      <c r="I154" s="1369"/>
      <c r="J154" s="1445"/>
      <c r="K154" s="1390"/>
      <c r="L154" s="1446"/>
      <c r="M154" s="1390"/>
      <c r="N154" s="1390"/>
      <c r="O154" s="1447"/>
      <c r="P154" s="1389"/>
      <c r="Q154" s="1390"/>
      <c r="R154" s="1454"/>
    </row>
    <row r="155" spans="1:18" ht="24.75" customHeight="1">
      <c r="A155" s="1443">
        <v>4210</v>
      </c>
      <c r="B155" s="1444" t="s">
        <v>690</v>
      </c>
      <c r="C155" s="1389">
        <v>500</v>
      </c>
      <c r="D155" s="830">
        <f t="shared" si="14"/>
        <v>500</v>
      </c>
      <c r="E155" s="1390">
        <f t="shared" si="17"/>
        <v>0</v>
      </c>
      <c r="F155" s="1366">
        <f>E155/D155*100</f>
        <v>0</v>
      </c>
      <c r="G155" s="1389"/>
      <c r="H155" s="1390"/>
      <c r="I155" s="1369"/>
      <c r="J155" s="1445"/>
      <c r="K155" s="1390"/>
      <c r="L155" s="1446"/>
      <c r="M155" s="1390"/>
      <c r="N155" s="1390"/>
      <c r="O155" s="1447"/>
      <c r="P155" s="1389">
        <v>500</v>
      </c>
      <c r="Q155" s="1390"/>
      <c r="R155" s="1395">
        <f>Q155/P155*100</f>
        <v>0</v>
      </c>
    </row>
    <row r="156" spans="1:18" ht="24.75" customHeight="1">
      <c r="A156" s="1443">
        <v>4170</v>
      </c>
      <c r="B156" s="1444" t="s">
        <v>744</v>
      </c>
      <c r="C156" s="1389">
        <v>3000</v>
      </c>
      <c r="D156" s="830">
        <f t="shared" si="14"/>
        <v>3000</v>
      </c>
      <c r="E156" s="1390">
        <f t="shared" si="17"/>
        <v>1222</v>
      </c>
      <c r="F156" s="1366">
        <f t="shared" si="16"/>
        <v>40.733333333333334</v>
      </c>
      <c r="G156" s="1389"/>
      <c r="H156" s="1390"/>
      <c r="I156" s="1369"/>
      <c r="J156" s="1445"/>
      <c r="K156" s="1390"/>
      <c r="L156" s="1446"/>
      <c r="M156" s="1390"/>
      <c r="N156" s="1390"/>
      <c r="O156" s="1447"/>
      <c r="P156" s="1389">
        <v>3000</v>
      </c>
      <c r="Q156" s="1390">
        <v>1222</v>
      </c>
      <c r="R156" s="1395">
        <f>Q156/P156*100</f>
        <v>40.733333333333334</v>
      </c>
    </row>
    <row r="157" spans="1:18" ht="37.5" customHeight="1">
      <c r="A157" s="1443">
        <v>4240</v>
      </c>
      <c r="B157" s="1451" t="s">
        <v>758</v>
      </c>
      <c r="C157" s="1389">
        <v>1500</v>
      </c>
      <c r="D157" s="830">
        <f t="shared" si="14"/>
        <v>1500</v>
      </c>
      <c r="E157" s="1390">
        <f t="shared" si="17"/>
        <v>690</v>
      </c>
      <c r="F157" s="1366">
        <f t="shared" si="16"/>
        <v>46</v>
      </c>
      <c r="G157" s="1389"/>
      <c r="H157" s="1390"/>
      <c r="I157" s="1369"/>
      <c r="J157" s="1445"/>
      <c r="K157" s="1390"/>
      <c r="L157" s="1446"/>
      <c r="M157" s="1390"/>
      <c r="N157" s="1390"/>
      <c r="O157" s="1447"/>
      <c r="P157" s="1389">
        <v>1500</v>
      </c>
      <c r="Q157" s="1390">
        <v>690</v>
      </c>
      <c r="R157" s="1395">
        <f>Q157/P157*100</f>
        <v>46</v>
      </c>
    </row>
    <row r="158" spans="1:18" ht="12.75" hidden="1">
      <c r="A158" s="1443">
        <v>4260</v>
      </c>
      <c r="B158" s="1451" t="s">
        <v>694</v>
      </c>
      <c r="C158" s="1389"/>
      <c r="D158" s="830">
        <f t="shared" si="14"/>
        <v>0</v>
      </c>
      <c r="E158" s="1390">
        <f t="shared" si="17"/>
        <v>0</v>
      </c>
      <c r="F158" s="1366" t="e">
        <f t="shared" si="16"/>
        <v>#DIV/0!</v>
      </c>
      <c r="G158" s="1389"/>
      <c r="H158" s="1390"/>
      <c r="I158" s="1369" t="e">
        <f aca="true" t="shared" si="18" ref="I158:I185">H158/G158*100</f>
        <v>#DIV/0!</v>
      </c>
      <c r="J158" s="1445"/>
      <c r="K158" s="1390"/>
      <c r="L158" s="1446"/>
      <c r="M158" s="1390"/>
      <c r="N158" s="1390"/>
      <c r="O158" s="1447"/>
      <c r="P158" s="1389"/>
      <c r="Q158" s="1390"/>
      <c r="R158" s="1395"/>
    </row>
    <row r="159" spans="1:18" ht="48" customHeight="1">
      <c r="A159" s="1443">
        <v>4300</v>
      </c>
      <c r="B159" s="1451" t="s">
        <v>759</v>
      </c>
      <c r="C159" s="1389">
        <v>617000</v>
      </c>
      <c r="D159" s="830">
        <f t="shared" si="14"/>
        <v>836500</v>
      </c>
      <c r="E159" s="1390">
        <f t="shared" si="17"/>
        <v>272340</v>
      </c>
      <c r="F159" s="1366">
        <f t="shared" si="16"/>
        <v>32.55708308427974</v>
      </c>
      <c r="G159" s="1389">
        <f>600000-500+220000</f>
        <v>819500</v>
      </c>
      <c r="H159" s="830">
        <v>272069</v>
      </c>
      <c r="I159" s="1369">
        <f t="shared" si="18"/>
        <v>33.199389871873095</v>
      </c>
      <c r="J159" s="1445"/>
      <c r="K159" s="1390"/>
      <c r="L159" s="1446"/>
      <c r="M159" s="1390"/>
      <c r="N159" s="1390"/>
      <c r="O159" s="1447"/>
      <c r="P159" s="1389">
        <v>17000</v>
      </c>
      <c r="Q159" s="1390">
        <v>271</v>
      </c>
      <c r="R159" s="1395">
        <f>Q159/P159*100</f>
        <v>1.5941176470588236</v>
      </c>
    </row>
    <row r="160" spans="1:18" ht="14.25" customHeight="1">
      <c r="A160" s="1443">
        <v>4430</v>
      </c>
      <c r="B160" s="1451" t="s">
        <v>700</v>
      </c>
      <c r="C160" s="1389">
        <v>53700</v>
      </c>
      <c r="D160" s="830">
        <f t="shared" si="14"/>
        <v>53700</v>
      </c>
      <c r="E160" s="1390">
        <f t="shared" si="17"/>
        <v>19019</v>
      </c>
      <c r="F160" s="1366">
        <f t="shared" si="16"/>
        <v>35.4171322160149</v>
      </c>
      <c r="G160" s="1389">
        <v>50000</v>
      </c>
      <c r="H160" s="1390">
        <v>19019</v>
      </c>
      <c r="I160" s="1369">
        <f t="shared" si="18"/>
        <v>38.038</v>
      </c>
      <c r="J160" s="1445"/>
      <c r="K160" s="1390"/>
      <c r="L160" s="1446"/>
      <c r="M160" s="1390"/>
      <c r="N160" s="1390"/>
      <c r="O160" s="1447"/>
      <c r="P160" s="1389">
        <v>3700</v>
      </c>
      <c r="Q160" s="1390"/>
      <c r="R160" s="1395">
        <f>Q160/P160*100</f>
        <v>0</v>
      </c>
    </row>
    <row r="161" spans="1:18" ht="14.25" customHeight="1">
      <c r="A161" s="1443">
        <v>4480</v>
      </c>
      <c r="B161" s="1451" t="s">
        <v>198</v>
      </c>
      <c r="C161" s="1389">
        <v>7000</v>
      </c>
      <c r="D161" s="830">
        <f t="shared" si="14"/>
        <v>7500</v>
      </c>
      <c r="E161" s="1390">
        <f>SUM(H161+K161+N161+Q161)</f>
        <v>4094</v>
      </c>
      <c r="F161" s="1366">
        <f>E161/D161*100</f>
        <v>54.58666666666666</v>
      </c>
      <c r="G161" s="1389">
        <f>2000+500</f>
        <v>2500</v>
      </c>
      <c r="H161" s="1390">
        <v>1212</v>
      </c>
      <c r="I161" s="1369">
        <f t="shared" si="18"/>
        <v>48.480000000000004</v>
      </c>
      <c r="J161" s="1445"/>
      <c r="K161" s="1390"/>
      <c r="L161" s="1446"/>
      <c r="M161" s="1390"/>
      <c r="N161" s="1390"/>
      <c r="O161" s="1447"/>
      <c r="P161" s="1389">
        <v>5000</v>
      </c>
      <c r="Q161" s="1390">
        <v>2882</v>
      </c>
      <c r="R161" s="1395">
        <f>Q161/P161*100</f>
        <v>57.64</v>
      </c>
    </row>
    <row r="162" spans="1:18" ht="12.75" customHeight="1">
      <c r="A162" s="1443">
        <v>4580</v>
      </c>
      <c r="B162" s="1451" t="s">
        <v>750</v>
      </c>
      <c r="C162" s="1389">
        <v>300</v>
      </c>
      <c r="D162" s="830">
        <f t="shared" si="14"/>
        <v>300</v>
      </c>
      <c r="E162" s="1390">
        <f>SUM(H162+K162+N162+Q162)</f>
        <v>0</v>
      </c>
      <c r="F162" s="1366">
        <f>E162/D162*100</f>
        <v>0</v>
      </c>
      <c r="G162" s="1389"/>
      <c r="H162" s="1390"/>
      <c r="I162" s="1369"/>
      <c r="J162" s="1445"/>
      <c r="K162" s="1390"/>
      <c r="L162" s="1446"/>
      <c r="M162" s="1390"/>
      <c r="N162" s="1390"/>
      <c r="O162" s="1447"/>
      <c r="P162" s="1389">
        <v>300</v>
      </c>
      <c r="Q162" s="1390"/>
      <c r="R162" s="1395">
        <f>Q162/P162*100</f>
        <v>0</v>
      </c>
    </row>
    <row r="163" spans="1:18" ht="35.25" customHeight="1">
      <c r="A163" s="1443">
        <v>4590</v>
      </c>
      <c r="B163" s="1451" t="s">
        <v>751</v>
      </c>
      <c r="C163" s="1389">
        <v>177000</v>
      </c>
      <c r="D163" s="830">
        <f>G163+J163+P163+M163</f>
        <v>173500</v>
      </c>
      <c r="E163" s="1390">
        <f t="shared" si="17"/>
        <v>0</v>
      </c>
      <c r="F163" s="1366">
        <f t="shared" si="16"/>
        <v>0</v>
      </c>
      <c r="G163" s="1389">
        <f>170000-1000-2500-160000+160000</f>
        <v>166500</v>
      </c>
      <c r="H163" s="1390"/>
      <c r="I163" s="1369">
        <f t="shared" si="18"/>
        <v>0</v>
      </c>
      <c r="J163" s="1445"/>
      <c r="K163" s="1390"/>
      <c r="L163" s="1446"/>
      <c r="M163" s="1390"/>
      <c r="N163" s="1390"/>
      <c r="O163" s="1447"/>
      <c r="P163" s="1389">
        <v>7000</v>
      </c>
      <c r="Q163" s="1390"/>
      <c r="R163" s="1395">
        <f>Q163/P163*100</f>
        <v>0</v>
      </c>
    </row>
    <row r="164" spans="1:18" ht="49.5" customHeight="1">
      <c r="A164" s="1443">
        <v>4600</v>
      </c>
      <c r="B164" s="1451" t="s">
        <v>760</v>
      </c>
      <c r="C164" s="1389">
        <v>200000</v>
      </c>
      <c r="D164" s="830">
        <f t="shared" si="14"/>
        <v>550000</v>
      </c>
      <c r="E164" s="1390">
        <f>SUM(H164+K164+N164+Q164)</f>
        <v>0</v>
      </c>
      <c r="F164" s="1366">
        <f>E164/D164*100</f>
        <v>0</v>
      </c>
      <c r="G164" s="1389">
        <f>200000+350000-190000+190000</f>
        <v>550000</v>
      </c>
      <c r="H164" s="1390"/>
      <c r="I164" s="1369">
        <f t="shared" si="18"/>
        <v>0</v>
      </c>
      <c r="J164" s="1445"/>
      <c r="K164" s="1390"/>
      <c r="L164" s="1446"/>
      <c r="M164" s="1390"/>
      <c r="N164" s="1390"/>
      <c r="O164" s="1447"/>
      <c r="P164" s="1389"/>
      <c r="Q164" s="1390"/>
      <c r="R164" s="1454"/>
    </row>
    <row r="165" spans="1:18" ht="37.5" customHeight="1">
      <c r="A165" s="1443">
        <v>4610</v>
      </c>
      <c r="B165" s="1451" t="s">
        <v>752</v>
      </c>
      <c r="C165" s="1389">
        <v>2000</v>
      </c>
      <c r="D165" s="830">
        <f t="shared" si="14"/>
        <v>5500</v>
      </c>
      <c r="E165" s="830">
        <f>H165+K165+Q165+N165</f>
        <v>3355</v>
      </c>
      <c r="F165" s="1366">
        <f aca="true" t="shared" si="19" ref="F165:F228">E165/D165*100</f>
        <v>61</v>
      </c>
      <c r="G165" s="1389">
        <f>1000+2500</f>
        <v>3500</v>
      </c>
      <c r="H165" s="1390">
        <v>2559</v>
      </c>
      <c r="I165" s="1369">
        <f t="shared" si="18"/>
        <v>73.11428571428571</v>
      </c>
      <c r="J165" s="1445"/>
      <c r="K165" s="1390"/>
      <c r="L165" s="1446"/>
      <c r="M165" s="1390"/>
      <c r="N165" s="1390"/>
      <c r="O165" s="1447"/>
      <c r="P165" s="1389">
        <v>2000</v>
      </c>
      <c r="Q165" s="1390">
        <v>796</v>
      </c>
      <c r="R165" s="1395">
        <f>Q165/P165*100</f>
        <v>39.800000000000004</v>
      </c>
    </row>
    <row r="166" spans="1:18" ht="71.25" customHeight="1">
      <c r="A166" s="1492">
        <v>6060</v>
      </c>
      <c r="B166" s="1493" t="s">
        <v>761</v>
      </c>
      <c r="C166" s="1494">
        <v>500000</v>
      </c>
      <c r="D166" s="862">
        <f t="shared" si="14"/>
        <v>700000</v>
      </c>
      <c r="E166" s="1487">
        <f t="shared" si="17"/>
        <v>68343</v>
      </c>
      <c r="F166" s="1419">
        <f t="shared" si="19"/>
        <v>9.763285714285715</v>
      </c>
      <c r="G166" s="1494">
        <f>500000+200000-450000+450000</f>
        <v>700000</v>
      </c>
      <c r="H166" s="1487">
        <v>68343</v>
      </c>
      <c r="I166" s="1439">
        <f t="shared" si="18"/>
        <v>9.763285714285715</v>
      </c>
      <c r="J166" s="1495"/>
      <c r="K166" s="1487"/>
      <c r="L166" s="1551"/>
      <c r="M166" s="1487"/>
      <c r="N166" s="1487"/>
      <c r="O166" s="1498"/>
      <c r="P166" s="1494"/>
      <c r="Q166" s="1487"/>
      <c r="R166" s="1539"/>
    </row>
    <row r="167" spans="1:18" s="1471" customFormat="1" ht="30" customHeight="1">
      <c r="A167" s="1552">
        <v>70021</v>
      </c>
      <c r="B167" s="1553" t="s">
        <v>762</v>
      </c>
      <c r="C167" s="820">
        <f>C168</f>
        <v>5570000</v>
      </c>
      <c r="D167" s="821">
        <f t="shared" si="14"/>
        <v>5570000</v>
      </c>
      <c r="E167" s="821">
        <f t="shared" si="17"/>
        <v>0</v>
      </c>
      <c r="F167" s="1419">
        <f t="shared" si="19"/>
        <v>0</v>
      </c>
      <c r="G167" s="820">
        <f>G168</f>
        <v>5570000</v>
      </c>
      <c r="H167" s="821">
        <f>H168</f>
        <v>0</v>
      </c>
      <c r="I167" s="1439">
        <f t="shared" si="18"/>
        <v>0</v>
      </c>
      <c r="J167" s="1554"/>
      <c r="K167" s="821"/>
      <c r="L167" s="1538"/>
      <c r="M167" s="821"/>
      <c r="N167" s="821"/>
      <c r="O167" s="1555"/>
      <c r="P167" s="820"/>
      <c r="Q167" s="821"/>
      <c r="R167" s="1556"/>
    </row>
    <row r="168" spans="1:18" ht="48">
      <c r="A168" s="1492">
        <v>6010</v>
      </c>
      <c r="B168" s="1451" t="s">
        <v>763</v>
      </c>
      <c r="C168" s="1494">
        <v>5570000</v>
      </c>
      <c r="D168" s="862">
        <f t="shared" si="14"/>
        <v>5570000</v>
      </c>
      <c r="E168" s="1487">
        <f t="shared" si="17"/>
        <v>0</v>
      </c>
      <c r="F168" s="1419">
        <f t="shared" si="19"/>
        <v>0</v>
      </c>
      <c r="G168" s="1494">
        <v>5570000</v>
      </c>
      <c r="H168" s="1487"/>
      <c r="I168" s="1439">
        <f t="shared" si="18"/>
        <v>0</v>
      </c>
      <c r="J168" s="1495"/>
      <c r="K168" s="1487"/>
      <c r="L168" s="1551"/>
      <c r="M168" s="1487"/>
      <c r="N168" s="1487"/>
      <c r="O168" s="1498"/>
      <c r="P168" s="1494"/>
      <c r="Q168" s="1487"/>
      <c r="R168" s="1539"/>
    </row>
    <row r="169" spans="1:18" s="1435" customFormat="1" ht="15" customHeight="1">
      <c r="A169" s="1436">
        <v>70095</v>
      </c>
      <c r="B169" s="1529" t="s">
        <v>299</v>
      </c>
      <c r="C169" s="1438">
        <f>SUM(C170:C179)</f>
        <v>1589400</v>
      </c>
      <c r="D169" s="845">
        <f t="shared" si="14"/>
        <v>3014400</v>
      </c>
      <c r="E169" s="1380">
        <f>H169+K169+Q169+N169</f>
        <v>375158</v>
      </c>
      <c r="F169" s="1381">
        <f t="shared" si="19"/>
        <v>12.44552813163482</v>
      </c>
      <c r="G169" s="1438">
        <f>SUM(G170:G179)</f>
        <v>3014400</v>
      </c>
      <c r="H169" s="845">
        <f>SUM(H170:H179)</f>
        <v>375158</v>
      </c>
      <c r="I169" s="1475">
        <f t="shared" si="18"/>
        <v>12.44552813163482</v>
      </c>
      <c r="J169" s="1438"/>
      <c r="K169" s="1380"/>
      <c r="L169" s="1441"/>
      <c r="M169" s="1380"/>
      <c r="N169" s="1380"/>
      <c r="O169" s="1442"/>
      <c r="P169" s="1438"/>
      <c r="Q169" s="1380"/>
      <c r="R169" s="1478"/>
    </row>
    <row r="170" spans="1:18" ht="23.25" customHeight="1">
      <c r="A170" s="1422">
        <v>4210</v>
      </c>
      <c r="B170" s="1547" t="s">
        <v>764</v>
      </c>
      <c r="C170" s="1393">
        <v>13200</v>
      </c>
      <c r="D170" s="869">
        <f t="shared" si="14"/>
        <v>13200</v>
      </c>
      <c r="E170" s="1407">
        <f t="shared" si="17"/>
        <v>0</v>
      </c>
      <c r="F170" s="1410">
        <f t="shared" si="19"/>
        <v>0</v>
      </c>
      <c r="G170" s="1393">
        <v>13200</v>
      </c>
      <c r="H170" s="1407"/>
      <c r="I170" s="1410">
        <f t="shared" si="18"/>
        <v>0</v>
      </c>
      <c r="J170" s="1548"/>
      <c r="K170" s="1407"/>
      <c r="L170" s="1543"/>
      <c r="M170" s="1407"/>
      <c r="N170" s="1407"/>
      <c r="O170" s="1549"/>
      <c r="P170" s="1393"/>
      <c r="Q170" s="1407"/>
      <c r="R170" s="1550"/>
    </row>
    <row r="171" spans="1:18" ht="24">
      <c r="A171" s="1443">
        <v>4300</v>
      </c>
      <c r="B171" s="1451" t="s">
        <v>1229</v>
      </c>
      <c r="C171" s="1389">
        <v>700</v>
      </c>
      <c r="D171" s="830">
        <f t="shared" si="14"/>
        <v>700</v>
      </c>
      <c r="E171" s="1390">
        <f t="shared" si="17"/>
        <v>0</v>
      </c>
      <c r="F171" s="1369">
        <f t="shared" si="19"/>
        <v>0</v>
      </c>
      <c r="G171" s="1389">
        <v>700</v>
      </c>
      <c r="H171" s="1390"/>
      <c r="I171" s="1369">
        <f t="shared" si="18"/>
        <v>0</v>
      </c>
      <c r="J171" s="1445"/>
      <c r="K171" s="1390"/>
      <c r="L171" s="1446"/>
      <c r="M171" s="1390"/>
      <c r="N171" s="1390"/>
      <c r="O171" s="1447"/>
      <c r="P171" s="1389"/>
      <c r="Q171" s="1390"/>
      <c r="R171" s="1454"/>
    </row>
    <row r="172" spans="1:18" ht="23.25" customHeight="1">
      <c r="A172" s="1443">
        <v>4110</v>
      </c>
      <c r="B172" s="1571" t="s">
        <v>686</v>
      </c>
      <c r="C172" s="1389">
        <v>450</v>
      </c>
      <c r="D172" s="830">
        <f t="shared" si="14"/>
        <v>450</v>
      </c>
      <c r="E172" s="1390">
        <f t="shared" si="17"/>
        <v>234</v>
      </c>
      <c r="F172" s="1369">
        <f t="shared" si="19"/>
        <v>52</v>
      </c>
      <c r="G172" s="1389">
        <v>450</v>
      </c>
      <c r="H172" s="1390">
        <v>234</v>
      </c>
      <c r="I172" s="1369">
        <f t="shared" si="18"/>
        <v>52</v>
      </c>
      <c r="J172" s="1445"/>
      <c r="K172" s="1390"/>
      <c r="L172" s="1446"/>
      <c r="M172" s="1390"/>
      <c r="N172" s="1390"/>
      <c r="O172" s="1447"/>
      <c r="P172" s="1389"/>
      <c r="Q172" s="1390"/>
      <c r="R172" s="1454"/>
    </row>
    <row r="173" spans="1:18" ht="12.75">
      <c r="A173" s="1443">
        <v>4120</v>
      </c>
      <c r="B173" s="1571" t="s">
        <v>781</v>
      </c>
      <c r="C173" s="1389">
        <v>50</v>
      </c>
      <c r="D173" s="830">
        <f t="shared" si="14"/>
        <v>50</v>
      </c>
      <c r="E173" s="1390">
        <f t="shared" si="17"/>
        <v>35</v>
      </c>
      <c r="F173" s="1369">
        <f t="shared" si="19"/>
        <v>70</v>
      </c>
      <c r="G173" s="1389">
        <v>50</v>
      </c>
      <c r="H173" s="1390">
        <v>35</v>
      </c>
      <c r="I173" s="1369">
        <f t="shared" si="18"/>
        <v>70</v>
      </c>
      <c r="J173" s="1445"/>
      <c r="K173" s="1390"/>
      <c r="L173" s="1446"/>
      <c r="M173" s="1390"/>
      <c r="N173" s="1390"/>
      <c r="O173" s="1447"/>
      <c r="P173" s="1389"/>
      <c r="Q173" s="1390"/>
      <c r="R173" s="1454"/>
    </row>
    <row r="174" spans="1:18" ht="24">
      <c r="A174" s="1512">
        <v>4170</v>
      </c>
      <c r="B174" s="1574" t="s">
        <v>744</v>
      </c>
      <c r="C174" s="1389">
        <v>5000</v>
      </c>
      <c r="D174" s="830">
        <f t="shared" si="14"/>
        <v>5000</v>
      </c>
      <c r="E174" s="1390">
        <f t="shared" si="17"/>
        <v>3596</v>
      </c>
      <c r="F174" s="1369">
        <f t="shared" si="19"/>
        <v>71.92</v>
      </c>
      <c r="G174" s="1389">
        <v>5000</v>
      </c>
      <c r="H174" s="1390">
        <v>3596</v>
      </c>
      <c r="I174" s="1369">
        <f t="shared" si="18"/>
        <v>71.92</v>
      </c>
      <c r="J174" s="1445"/>
      <c r="K174" s="1390"/>
      <c r="L174" s="1446"/>
      <c r="M174" s="1390"/>
      <c r="N174" s="1390"/>
      <c r="O174" s="1447"/>
      <c r="P174" s="1389"/>
      <c r="Q174" s="1390"/>
      <c r="R174" s="1454"/>
    </row>
    <row r="175" spans="1:18" ht="14.25" customHeight="1" hidden="1">
      <c r="A175" s="1443">
        <v>4580</v>
      </c>
      <c r="B175" s="1451" t="s">
        <v>750</v>
      </c>
      <c r="C175" s="1389"/>
      <c r="D175" s="830">
        <f t="shared" si="14"/>
        <v>0</v>
      </c>
      <c r="E175" s="1390">
        <f t="shared" si="17"/>
        <v>0</v>
      </c>
      <c r="F175" s="1369" t="e">
        <f t="shared" si="19"/>
        <v>#DIV/0!</v>
      </c>
      <c r="G175" s="1389"/>
      <c r="H175" s="1390"/>
      <c r="I175" s="1369" t="e">
        <f t="shared" si="18"/>
        <v>#DIV/0!</v>
      </c>
      <c r="J175" s="1445"/>
      <c r="K175" s="1390"/>
      <c r="L175" s="1446"/>
      <c r="M175" s="1390"/>
      <c r="N175" s="1390"/>
      <c r="O175" s="1447"/>
      <c r="P175" s="1389"/>
      <c r="Q175" s="1390"/>
      <c r="R175" s="1454"/>
    </row>
    <row r="176" spans="1:18" ht="48" hidden="1">
      <c r="A176" s="1443">
        <v>4600</v>
      </c>
      <c r="B176" s="1451" t="s">
        <v>765</v>
      </c>
      <c r="C176" s="1389"/>
      <c r="D176" s="830">
        <f t="shared" si="14"/>
        <v>0</v>
      </c>
      <c r="E176" s="1390">
        <f t="shared" si="17"/>
        <v>0</v>
      </c>
      <c r="F176" s="1369" t="e">
        <f t="shared" si="19"/>
        <v>#DIV/0!</v>
      </c>
      <c r="G176" s="1389"/>
      <c r="H176" s="1390"/>
      <c r="I176" s="1369" t="e">
        <f t="shared" si="18"/>
        <v>#DIV/0!</v>
      </c>
      <c r="J176" s="1445"/>
      <c r="K176" s="1390"/>
      <c r="L176" s="1446"/>
      <c r="M176" s="1390"/>
      <c r="N176" s="1390"/>
      <c r="O176" s="1447"/>
      <c r="P176" s="1389"/>
      <c r="Q176" s="1390"/>
      <c r="R176" s="1454"/>
    </row>
    <row r="177" spans="1:18" ht="36" hidden="1">
      <c r="A177" s="1443">
        <v>4610</v>
      </c>
      <c r="B177" s="1451" t="s">
        <v>766</v>
      </c>
      <c r="C177" s="1389"/>
      <c r="D177" s="830">
        <f t="shared" si="14"/>
        <v>0</v>
      </c>
      <c r="E177" s="1390">
        <f t="shared" si="17"/>
        <v>0</v>
      </c>
      <c r="F177" s="1369" t="e">
        <f t="shared" si="19"/>
        <v>#DIV/0!</v>
      </c>
      <c r="G177" s="1389"/>
      <c r="H177" s="1390"/>
      <c r="I177" s="1369" t="e">
        <f t="shared" si="18"/>
        <v>#DIV/0!</v>
      </c>
      <c r="J177" s="1445"/>
      <c r="K177" s="1390"/>
      <c r="L177" s="1446"/>
      <c r="M177" s="1390"/>
      <c r="N177" s="1390"/>
      <c r="O177" s="1447"/>
      <c r="P177" s="1389"/>
      <c r="Q177" s="1390"/>
      <c r="R177" s="1454"/>
    </row>
    <row r="178" spans="1:18" ht="48" hidden="1">
      <c r="A178" s="1443">
        <v>6010</v>
      </c>
      <c r="B178" s="1451" t="s">
        <v>763</v>
      </c>
      <c r="C178" s="1389"/>
      <c r="D178" s="830">
        <f t="shared" si="14"/>
        <v>0</v>
      </c>
      <c r="E178" s="1390">
        <f t="shared" si="17"/>
        <v>0</v>
      </c>
      <c r="F178" s="1366" t="e">
        <f t="shared" si="19"/>
        <v>#DIV/0!</v>
      </c>
      <c r="G178" s="1389"/>
      <c r="H178" s="1390"/>
      <c r="I178" s="1369" t="e">
        <f t="shared" si="18"/>
        <v>#DIV/0!</v>
      </c>
      <c r="J178" s="1445"/>
      <c r="K178" s="1390"/>
      <c r="L178" s="1446"/>
      <c r="M178" s="1390"/>
      <c r="N178" s="1390"/>
      <c r="O178" s="1447"/>
      <c r="P178" s="1389"/>
      <c r="Q178" s="1390"/>
      <c r="R178" s="1454"/>
    </row>
    <row r="179" spans="1:18" ht="24.75" thickBot="1">
      <c r="A179" s="1443">
        <v>6050</v>
      </c>
      <c r="B179" s="1451" t="s">
        <v>767</v>
      </c>
      <c r="C179" s="1389">
        <v>1570000</v>
      </c>
      <c r="D179" s="830">
        <f t="shared" si="14"/>
        <v>2995000</v>
      </c>
      <c r="E179" s="1390">
        <f t="shared" si="17"/>
        <v>371293</v>
      </c>
      <c r="F179" s="1366">
        <f t="shared" si="19"/>
        <v>12.397095158597663</v>
      </c>
      <c r="G179" s="1389">
        <f>1570000+800000+625000</f>
        <v>2995000</v>
      </c>
      <c r="H179" s="1390">
        <v>371293</v>
      </c>
      <c r="I179" s="1369">
        <f t="shared" si="18"/>
        <v>12.397095158597663</v>
      </c>
      <c r="J179" s="1445"/>
      <c r="K179" s="1390"/>
      <c r="L179" s="1446"/>
      <c r="M179" s="1390"/>
      <c r="N179" s="1390"/>
      <c r="O179" s="1447"/>
      <c r="P179" s="1389"/>
      <c r="Q179" s="1390"/>
      <c r="R179" s="1454"/>
    </row>
    <row r="180" spans="1:18" s="1564" customFormat="1" ht="24" customHeight="1" hidden="1">
      <c r="A180" s="1557"/>
      <c r="B180" s="1558" t="s">
        <v>768</v>
      </c>
      <c r="C180" s="1559"/>
      <c r="D180" s="1502">
        <f t="shared" si="14"/>
        <v>0</v>
      </c>
      <c r="E180" s="1560">
        <f>SUM(H180+K180+N180+Q180)</f>
        <v>0</v>
      </c>
      <c r="F180" s="1366" t="e">
        <f t="shared" si="19"/>
        <v>#DIV/0!</v>
      </c>
      <c r="G180" s="1559"/>
      <c r="H180" s="1502"/>
      <c r="I180" s="1369" t="e">
        <f t="shared" si="18"/>
        <v>#DIV/0!</v>
      </c>
      <c r="J180" s="1561"/>
      <c r="K180" s="1560"/>
      <c r="L180" s="1503"/>
      <c r="M180" s="1560"/>
      <c r="N180" s="1560"/>
      <c r="O180" s="1562"/>
      <c r="P180" s="1559"/>
      <c r="Q180" s="1560"/>
      <c r="R180" s="1563"/>
    </row>
    <row r="181" spans="1:18" s="1471" customFormat="1" ht="25.5" thickBot="1" thickTop="1">
      <c r="A181" s="1455">
        <v>710</v>
      </c>
      <c r="B181" s="1456" t="s">
        <v>127</v>
      </c>
      <c r="C181" s="812">
        <f>C188+C190+C192+C202+C182</f>
        <v>2909300</v>
      </c>
      <c r="D181" s="813">
        <f t="shared" si="14"/>
        <v>3151300</v>
      </c>
      <c r="E181" s="813">
        <f>H181+K181+Q181+N181</f>
        <v>741492</v>
      </c>
      <c r="F181" s="1342">
        <f t="shared" si="19"/>
        <v>23.529717894202392</v>
      </c>
      <c r="G181" s="812">
        <f>G202+G182+G207</f>
        <v>2717200</v>
      </c>
      <c r="H181" s="813">
        <f>H202+H182+H207</f>
        <v>579933</v>
      </c>
      <c r="I181" s="1344">
        <f t="shared" si="18"/>
        <v>21.343036949801267</v>
      </c>
      <c r="J181" s="813"/>
      <c r="K181" s="813"/>
      <c r="L181" s="886"/>
      <c r="M181" s="1459">
        <f>M188+M190+M192</f>
        <v>144000</v>
      </c>
      <c r="N181" s="813">
        <f>N188+N190+N192</f>
        <v>64313</v>
      </c>
      <c r="O181" s="1349">
        <f>N181/M181*100</f>
        <v>44.66180555555555</v>
      </c>
      <c r="P181" s="812">
        <f>P182+P188+P190+P192</f>
        <v>290100</v>
      </c>
      <c r="Q181" s="813">
        <f>Q188+Q190+Q192+Q182</f>
        <v>97246</v>
      </c>
      <c r="R181" s="1349">
        <f aca="true" t="shared" si="20" ref="R181:R201">Q181/P181*100</f>
        <v>33.52154429507067</v>
      </c>
    </row>
    <row r="182" spans="1:18" s="1471" customFormat="1" ht="24.75" thickTop="1">
      <c r="A182" s="1565">
        <v>71004</v>
      </c>
      <c r="B182" s="1566" t="s">
        <v>769</v>
      </c>
      <c r="C182" s="838">
        <f>SUM(C183:C185)</f>
        <v>1507200</v>
      </c>
      <c r="D182" s="843">
        <f t="shared" si="14"/>
        <v>1507200</v>
      </c>
      <c r="E182" s="843">
        <f t="shared" si="14"/>
        <v>335340</v>
      </c>
      <c r="F182" s="1354">
        <f t="shared" si="19"/>
        <v>22.249203821656053</v>
      </c>
      <c r="G182" s="879">
        <f>SUM(G183:G185)</f>
        <v>1507200</v>
      </c>
      <c r="H182" s="843">
        <f>SUM(H183:H185)</f>
        <v>335340</v>
      </c>
      <c r="I182" s="1567">
        <f t="shared" si="18"/>
        <v>22.249203821656053</v>
      </c>
      <c r="J182" s="1568"/>
      <c r="K182" s="843"/>
      <c r="L182" s="1569"/>
      <c r="M182" s="843"/>
      <c r="N182" s="843"/>
      <c r="O182" s="1570"/>
      <c r="P182" s="838"/>
      <c r="Q182" s="843"/>
      <c r="R182" s="1362"/>
    </row>
    <row r="183" spans="1:18" s="1286" customFormat="1" ht="24">
      <c r="A183" s="1443">
        <v>4110</v>
      </c>
      <c r="B183" s="1571" t="s">
        <v>686</v>
      </c>
      <c r="C183" s="832">
        <v>200</v>
      </c>
      <c r="D183" s="830">
        <f t="shared" si="14"/>
        <v>200</v>
      </c>
      <c r="E183" s="830">
        <f t="shared" si="14"/>
        <v>0</v>
      </c>
      <c r="F183" s="1366">
        <f t="shared" si="19"/>
        <v>0</v>
      </c>
      <c r="G183" s="1572">
        <v>200</v>
      </c>
      <c r="H183" s="830"/>
      <c r="I183" s="1369">
        <f t="shared" si="18"/>
        <v>0</v>
      </c>
      <c r="J183" s="1514"/>
      <c r="K183" s="830"/>
      <c r="L183" s="1446"/>
      <c r="M183" s="830"/>
      <c r="N183" s="830"/>
      <c r="O183" s="1573"/>
      <c r="P183" s="832"/>
      <c r="Q183" s="830"/>
      <c r="R183" s="1573"/>
    </row>
    <row r="184" spans="1:18" s="1286" customFormat="1" ht="24">
      <c r="A184" s="1512">
        <v>4170</v>
      </c>
      <c r="B184" s="1574" t="s">
        <v>744</v>
      </c>
      <c r="C184" s="832">
        <v>7000</v>
      </c>
      <c r="D184" s="830">
        <f t="shared" si="14"/>
        <v>15000</v>
      </c>
      <c r="E184" s="830">
        <f t="shared" si="14"/>
        <v>12740</v>
      </c>
      <c r="F184" s="1366">
        <f t="shared" si="19"/>
        <v>84.93333333333334</v>
      </c>
      <c r="G184" s="1572">
        <f>7000+8000</f>
        <v>15000</v>
      </c>
      <c r="H184" s="830">
        <v>12740</v>
      </c>
      <c r="I184" s="1369">
        <f t="shared" si="18"/>
        <v>84.93333333333334</v>
      </c>
      <c r="J184" s="1514"/>
      <c r="K184" s="830"/>
      <c r="L184" s="1446"/>
      <c r="M184" s="830"/>
      <c r="N184" s="830"/>
      <c r="O184" s="1573"/>
      <c r="P184" s="832"/>
      <c r="Q184" s="830"/>
      <c r="R184" s="1573"/>
    </row>
    <row r="185" spans="1:18" s="1286" customFormat="1" ht="24">
      <c r="A185" s="1512">
        <v>4300</v>
      </c>
      <c r="B185" s="1574" t="s">
        <v>770</v>
      </c>
      <c r="C185" s="832">
        <v>1500000</v>
      </c>
      <c r="D185" s="830">
        <f t="shared" si="14"/>
        <v>1492000</v>
      </c>
      <c r="E185" s="830">
        <f t="shared" si="14"/>
        <v>322600</v>
      </c>
      <c r="F185" s="1366">
        <f t="shared" si="19"/>
        <v>21.621983914209114</v>
      </c>
      <c r="G185" s="832">
        <f>1500000-8000</f>
        <v>1492000</v>
      </c>
      <c r="H185" s="830">
        <v>322600</v>
      </c>
      <c r="I185" s="1369">
        <f t="shared" si="18"/>
        <v>21.621983914209114</v>
      </c>
      <c r="J185" s="1514"/>
      <c r="K185" s="830"/>
      <c r="L185" s="1446"/>
      <c r="M185" s="830"/>
      <c r="N185" s="830"/>
      <c r="O185" s="1573"/>
      <c r="P185" s="832"/>
      <c r="Q185" s="830"/>
      <c r="R185" s="1395"/>
    </row>
    <row r="186" spans="1:18" s="1286" customFormat="1" ht="24" hidden="1">
      <c r="A186" s="1512">
        <v>4110</v>
      </c>
      <c r="B186" s="1574" t="s">
        <v>686</v>
      </c>
      <c r="C186" s="832"/>
      <c r="D186" s="830">
        <f t="shared" si="14"/>
        <v>0</v>
      </c>
      <c r="E186" s="830">
        <f t="shared" si="14"/>
        <v>0</v>
      </c>
      <c r="F186" s="1366" t="e">
        <f t="shared" si="19"/>
        <v>#DIV/0!</v>
      </c>
      <c r="G186" s="832"/>
      <c r="H186" s="830"/>
      <c r="I186" s="1369"/>
      <c r="J186" s="1514"/>
      <c r="K186" s="830"/>
      <c r="L186" s="1446"/>
      <c r="M186" s="830"/>
      <c r="N186" s="830"/>
      <c r="O186" s="1573"/>
      <c r="P186" s="832"/>
      <c r="Q186" s="830"/>
      <c r="R186" s="1395" t="e">
        <f t="shared" si="20"/>
        <v>#DIV/0!</v>
      </c>
    </row>
    <row r="187" spans="1:18" s="1286" customFormat="1" ht="12.75" hidden="1">
      <c r="A187" s="1512">
        <v>4120</v>
      </c>
      <c r="B187" s="1574" t="s">
        <v>771</v>
      </c>
      <c r="C187" s="832"/>
      <c r="D187" s="830">
        <f t="shared" si="14"/>
        <v>0</v>
      </c>
      <c r="E187" s="830">
        <f t="shared" si="14"/>
        <v>0</v>
      </c>
      <c r="F187" s="1366" t="e">
        <f t="shared" si="19"/>
        <v>#DIV/0!</v>
      </c>
      <c r="G187" s="832"/>
      <c r="H187" s="830"/>
      <c r="I187" s="1369"/>
      <c r="J187" s="1514"/>
      <c r="K187" s="830"/>
      <c r="L187" s="1446"/>
      <c r="M187" s="830"/>
      <c r="N187" s="830"/>
      <c r="O187" s="1573"/>
      <c r="P187" s="832"/>
      <c r="Q187" s="830"/>
      <c r="R187" s="1395" t="e">
        <f t="shared" si="20"/>
        <v>#DIV/0!</v>
      </c>
    </row>
    <row r="188" spans="1:18" s="1435" customFormat="1" ht="36">
      <c r="A188" s="1436">
        <v>71013</v>
      </c>
      <c r="B188" s="1529" t="s">
        <v>772</v>
      </c>
      <c r="C188" s="1438">
        <f>C189</f>
        <v>47000</v>
      </c>
      <c r="D188" s="845">
        <f t="shared" si="14"/>
        <v>47000</v>
      </c>
      <c r="E188" s="1380">
        <f>E189</f>
        <v>0</v>
      </c>
      <c r="F188" s="1381">
        <f t="shared" si="19"/>
        <v>0</v>
      </c>
      <c r="G188" s="1438"/>
      <c r="H188" s="1380"/>
      <c r="I188" s="1575"/>
      <c r="J188" s="1440"/>
      <c r="K188" s="1380"/>
      <c r="L188" s="1441"/>
      <c r="M188" s="1380"/>
      <c r="N188" s="1380"/>
      <c r="O188" s="1442"/>
      <c r="P188" s="1438">
        <f>P189</f>
        <v>47000</v>
      </c>
      <c r="Q188" s="1380">
        <f>Q189</f>
        <v>0</v>
      </c>
      <c r="R188" s="1475">
        <f t="shared" si="20"/>
        <v>0</v>
      </c>
    </row>
    <row r="189" spans="1:18" s="2922" customFormat="1" ht="12.75">
      <c r="A189" s="1492">
        <v>4300</v>
      </c>
      <c r="B189" s="1493" t="s">
        <v>698</v>
      </c>
      <c r="C189" s="1494">
        <v>47000</v>
      </c>
      <c r="D189" s="862">
        <f t="shared" si="14"/>
        <v>47000</v>
      </c>
      <c r="E189" s="1487">
        <f>SUM(H189+K189+N189+Q189)</f>
        <v>0</v>
      </c>
      <c r="F189" s="1381">
        <f t="shared" si="19"/>
        <v>0</v>
      </c>
      <c r="G189" s="1494"/>
      <c r="H189" s="1487"/>
      <c r="I189" s="1551"/>
      <c r="J189" s="1495"/>
      <c r="K189" s="1487"/>
      <c r="L189" s="1551"/>
      <c r="M189" s="1487"/>
      <c r="N189" s="1487"/>
      <c r="O189" s="1498"/>
      <c r="P189" s="1494">
        <v>47000</v>
      </c>
      <c r="Q189" s="1487"/>
      <c r="R189" s="1439">
        <f t="shared" si="20"/>
        <v>0</v>
      </c>
    </row>
    <row r="190" spans="1:18" s="1435" customFormat="1" ht="24">
      <c r="A190" s="1531">
        <v>71014</v>
      </c>
      <c r="B190" s="1532" t="s">
        <v>256</v>
      </c>
      <c r="C190" s="1533">
        <f>C191</f>
        <v>17000</v>
      </c>
      <c r="D190" s="821">
        <f t="shared" si="14"/>
        <v>17000</v>
      </c>
      <c r="E190" s="1536">
        <f>E191</f>
        <v>0</v>
      </c>
      <c r="F190" s="1419">
        <f t="shared" si="19"/>
        <v>0</v>
      </c>
      <c r="G190" s="1533"/>
      <c r="H190" s="1536"/>
      <c r="I190" s="1551"/>
      <c r="J190" s="1537"/>
      <c r="K190" s="1536"/>
      <c r="L190" s="1538"/>
      <c r="M190" s="1536"/>
      <c r="N190" s="1536"/>
      <c r="O190" s="1498"/>
      <c r="P190" s="1533">
        <f>P191</f>
        <v>17000</v>
      </c>
      <c r="Q190" s="1536">
        <f>Q191</f>
        <v>0</v>
      </c>
      <c r="R190" s="1439">
        <f t="shared" si="20"/>
        <v>0</v>
      </c>
    </row>
    <row r="191" spans="1:18" ht="12.75">
      <c r="A191" s="1492">
        <v>4300</v>
      </c>
      <c r="B191" s="1493" t="s">
        <v>698</v>
      </c>
      <c r="C191" s="1389">
        <v>17000</v>
      </c>
      <c r="D191" s="862">
        <f t="shared" si="14"/>
        <v>17000</v>
      </c>
      <c r="E191" s="1390">
        <f>SUM(H191+K191+N191+Q191)</f>
        <v>0</v>
      </c>
      <c r="F191" s="1381">
        <f t="shared" si="19"/>
        <v>0</v>
      </c>
      <c r="G191" s="1494"/>
      <c r="H191" s="1487"/>
      <c r="I191" s="1551"/>
      <c r="J191" s="1495"/>
      <c r="K191" s="1487"/>
      <c r="L191" s="1551"/>
      <c r="M191" s="1487"/>
      <c r="N191" s="1487"/>
      <c r="O191" s="1498"/>
      <c r="P191" s="1494">
        <v>17000</v>
      </c>
      <c r="Q191" s="1487"/>
      <c r="R191" s="1439">
        <f t="shared" si="20"/>
        <v>0</v>
      </c>
    </row>
    <row r="192" spans="1:18" ht="12.75">
      <c r="A192" s="1436">
        <v>71015</v>
      </c>
      <c r="B192" s="1529" t="s">
        <v>258</v>
      </c>
      <c r="C192" s="1438">
        <f>SUM(C193:C201)</f>
        <v>328100</v>
      </c>
      <c r="D192" s="821">
        <f t="shared" si="14"/>
        <v>370100</v>
      </c>
      <c r="E192" s="845">
        <f t="shared" si="14"/>
        <v>161559</v>
      </c>
      <c r="F192" s="1381">
        <f t="shared" si="19"/>
        <v>43.652796541475276</v>
      </c>
      <c r="G192" s="1438"/>
      <c r="H192" s="1380"/>
      <c r="I192" s="1575"/>
      <c r="J192" s="1440"/>
      <c r="K192" s="1380"/>
      <c r="L192" s="1441"/>
      <c r="M192" s="1380">
        <f>SUM(M193:M201)</f>
        <v>144000</v>
      </c>
      <c r="N192" s="1380">
        <f>SUM(N193:N201)</f>
        <v>64313</v>
      </c>
      <c r="O192" s="1420">
        <f>N192/M192*100</f>
        <v>44.66180555555555</v>
      </c>
      <c r="P192" s="1438">
        <f>SUM(P193:P201)</f>
        <v>226100</v>
      </c>
      <c r="Q192" s="1380">
        <f>SUM(Q193:Q201)</f>
        <v>97246</v>
      </c>
      <c r="R192" s="1420">
        <f t="shared" si="20"/>
        <v>43.01017249004865</v>
      </c>
    </row>
    <row r="193" spans="1:18" ht="24">
      <c r="A193" s="1443">
        <v>4010</v>
      </c>
      <c r="B193" s="1451" t="s">
        <v>680</v>
      </c>
      <c r="C193" s="1389">
        <v>224650</v>
      </c>
      <c r="D193" s="830">
        <f t="shared" si="14"/>
        <v>251850</v>
      </c>
      <c r="E193" s="1390">
        <f aca="true" t="shared" si="21" ref="E193:E202">SUM(H193+K193+N193+Q193)</f>
        <v>101200</v>
      </c>
      <c r="F193" s="1366">
        <f t="shared" si="19"/>
        <v>40.182648401826484</v>
      </c>
      <c r="G193" s="1389"/>
      <c r="H193" s="1390"/>
      <c r="I193" s="1446"/>
      <c r="J193" s="1445"/>
      <c r="K193" s="1390"/>
      <c r="L193" s="1446"/>
      <c r="M193" s="1390">
        <f>91300+2000</f>
        <v>93300</v>
      </c>
      <c r="N193" s="1390">
        <v>39563</v>
      </c>
      <c r="O193" s="1395">
        <f>N193/M193*100</f>
        <v>42.40407288317256</v>
      </c>
      <c r="P193" s="1389">
        <f>133350+25200</f>
        <v>158550</v>
      </c>
      <c r="Q193" s="1390">
        <v>61637</v>
      </c>
      <c r="R193" s="1395">
        <f t="shared" si="20"/>
        <v>38.87543361715547</v>
      </c>
    </row>
    <row r="194" spans="1:18" ht="24">
      <c r="A194" s="1443">
        <v>4040</v>
      </c>
      <c r="B194" s="1451" t="s">
        <v>740</v>
      </c>
      <c r="C194" s="1389">
        <v>17500</v>
      </c>
      <c r="D194" s="830">
        <f t="shared" si="14"/>
        <v>17500</v>
      </c>
      <c r="E194" s="1390">
        <f t="shared" si="21"/>
        <v>17472</v>
      </c>
      <c r="F194" s="1366">
        <f t="shared" si="19"/>
        <v>99.83999999999999</v>
      </c>
      <c r="G194" s="1389"/>
      <c r="H194" s="1390"/>
      <c r="I194" s="1446"/>
      <c r="J194" s="1445"/>
      <c r="K194" s="1390"/>
      <c r="L194" s="1446"/>
      <c r="M194" s="1390">
        <v>6400</v>
      </c>
      <c r="N194" s="1390">
        <v>6372</v>
      </c>
      <c r="O194" s="1369">
        <f>N194/M194*100</f>
        <v>99.5625</v>
      </c>
      <c r="P194" s="1389">
        <v>11100</v>
      </c>
      <c r="Q194" s="1390">
        <v>11100</v>
      </c>
      <c r="R194" s="1369">
        <f t="shared" si="20"/>
        <v>100</v>
      </c>
    </row>
    <row r="195" spans="1:18" ht="24">
      <c r="A195" s="1443">
        <v>4110</v>
      </c>
      <c r="B195" s="1571" t="s">
        <v>686</v>
      </c>
      <c r="C195" s="1389">
        <v>23280</v>
      </c>
      <c r="D195" s="830">
        <f t="shared" si="14"/>
        <v>47670</v>
      </c>
      <c r="E195" s="1390">
        <f t="shared" si="21"/>
        <v>19217</v>
      </c>
      <c r="F195" s="1366">
        <f t="shared" si="19"/>
        <v>40.312565554856306</v>
      </c>
      <c r="G195" s="1389"/>
      <c r="H195" s="1390"/>
      <c r="I195" s="1446"/>
      <c r="J195" s="1445"/>
      <c r="K195" s="1390"/>
      <c r="L195" s="1446"/>
      <c r="M195" s="1390">
        <v>16800</v>
      </c>
      <c r="N195" s="1390">
        <v>7206</v>
      </c>
      <c r="O195" s="1395">
        <f aca="true" t="shared" si="22" ref="O195:O201">N195/M195*100</f>
        <v>42.892857142857146</v>
      </c>
      <c r="P195" s="1389">
        <f>6480+19800+4590</f>
        <v>30870</v>
      </c>
      <c r="Q195" s="1390">
        <v>12011</v>
      </c>
      <c r="R195" s="1395">
        <f t="shared" si="20"/>
        <v>38.908325234855845</v>
      </c>
    </row>
    <row r="196" spans="1:18" ht="12.75">
      <c r="A196" s="1443">
        <v>4120</v>
      </c>
      <c r="B196" s="1451" t="s">
        <v>771</v>
      </c>
      <c r="C196" s="1389">
        <v>3400</v>
      </c>
      <c r="D196" s="830">
        <f t="shared" si="14"/>
        <v>6570</v>
      </c>
      <c r="E196" s="1390">
        <f t="shared" si="21"/>
        <v>2591</v>
      </c>
      <c r="F196" s="1366">
        <f t="shared" si="19"/>
        <v>39.436834094368336</v>
      </c>
      <c r="G196" s="1389"/>
      <c r="H196" s="1390"/>
      <c r="I196" s="1446"/>
      <c r="J196" s="1445"/>
      <c r="K196" s="1390"/>
      <c r="L196" s="1446"/>
      <c r="M196" s="1390">
        <v>2400</v>
      </c>
      <c r="N196" s="1390">
        <v>971</v>
      </c>
      <c r="O196" s="1395">
        <f t="shared" si="22"/>
        <v>40.458333333333336</v>
      </c>
      <c r="P196" s="1389">
        <f>1000+2550+620</f>
        <v>4170</v>
      </c>
      <c r="Q196" s="1390">
        <v>1620</v>
      </c>
      <c r="R196" s="1395">
        <f t="shared" si="20"/>
        <v>38.84892086330935</v>
      </c>
    </row>
    <row r="197" spans="1:18" ht="24">
      <c r="A197" s="1443">
        <v>4210</v>
      </c>
      <c r="B197" s="1451" t="s">
        <v>690</v>
      </c>
      <c r="C197" s="1389">
        <v>8775</v>
      </c>
      <c r="D197" s="830">
        <f t="shared" si="14"/>
        <v>16945</v>
      </c>
      <c r="E197" s="1390">
        <f t="shared" si="21"/>
        <v>6014</v>
      </c>
      <c r="F197" s="1366">
        <f t="shared" si="19"/>
        <v>35.491295367365005</v>
      </c>
      <c r="G197" s="1389"/>
      <c r="H197" s="1390"/>
      <c r="I197" s="1446"/>
      <c r="J197" s="1445"/>
      <c r="K197" s="1390"/>
      <c r="L197" s="1446"/>
      <c r="M197" s="1445">
        <v>7200</v>
      </c>
      <c r="N197" s="1445">
        <v>94</v>
      </c>
      <c r="O197" s="1395">
        <f t="shared" si="22"/>
        <v>1.3055555555555556</v>
      </c>
      <c r="P197" s="1389">
        <f>1575+8170</f>
        <v>9745</v>
      </c>
      <c r="Q197" s="1390">
        <v>5920</v>
      </c>
      <c r="R197" s="1395">
        <f t="shared" si="20"/>
        <v>60.74910210364289</v>
      </c>
    </row>
    <row r="198" spans="1:18" ht="12.75">
      <c r="A198" s="1443">
        <v>4300</v>
      </c>
      <c r="B198" s="1451" t="s">
        <v>698</v>
      </c>
      <c r="C198" s="1389">
        <v>30425</v>
      </c>
      <c r="D198" s="830">
        <f t="shared" si="14"/>
        <v>8075</v>
      </c>
      <c r="E198" s="1390">
        <f t="shared" si="21"/>
        <v>3687</v>
      </c>
      <c r="F198" s="1366">
        <f t="shared" si="19"/>
        <v>45.6594427244582</v>
      </c>
      <c r="G198" s="1389"/>
      <c r="H198" s="1390"/>
      <c r="I198" s="1446"/>
      <c r="J198" s="1445"/>
      <c r="K198" s="1390"/>
      <c r="L198" s="1446"/>
      <c r="M198" s="1445">
        <v>4370</v>
      </c>
      <c r="N198" s="1445">
        <f>2474-1</f>
        <v>2473</v>
      </c>
      <c r="O198" s="1395">
        <f t="shared" si="22"/>
        <v>56.59038901601831</v>
      </c>
      <c r="P198" s="1389">
        <f>26055-22350</f>
        <v>3705</v>
      </c>
      <c r="Q198" s="1390">
        <v>1214</v>
      </c>
      <c r="R198" s="1369">
        <f t="shared" si="20"/>
        <v>32.76653171390013</v>
      </c>
    </row>
    <row r="199" spans="1:18" ht="24">
      <c r="A199" s="1443">
        <v>4410</v>
      </c>
      <c r="B199" s="1451" t="s">
        <v>773</v>
      </c>
      <c r="C199" s="1389">
        <v>14575</v>
      </c>
      <c r="D199" s="830">
        <f t="shared" si="14"/>
        <v>15995</v>
      </c>
      <c r="E199" s="1390">
        <f t="shared" si="21"/>
        <v>5883</v>
      </c>
      <c r="F199" s="1366">
        <f t="shared" si="19"/>
        <v>36.78024382619569</v>
      </c>
      <c r="G199" s="1389"/>
      <c r="H199" s="1390"/>
      <c r="I199" s="1446"/>
      <c r="J199" s="1445"/>
      <c r="K199" s="1390"/>
      <c r="L199" s="1446"/>
      <c r="M199" s="1445">
        <v>10600</v>
      </c>
      <c r="N199" s="1445">
        <f>4705-1</f>
        <v>4704</v>
      </c>
      <c r="O199" s="1395">
        <f t="shared" si="22"/>
        <v>44.37735849056604</v>
      </c>
      <c r="P199" s="1389">
        <f>3975+1420</f>
        <v>5395</v>
      </c>
      <c r="Q199" s="1390">
        <v>1179</v>
      </c>
      <c r="R199" s="1369">
        <f t="shared" si="20"/>
        <v>21.85356811862836</v>
      </c>
    </row>
    <row r="200" spans="1:18" ht="36" hidden="1">
      <c r="A200" s="1443">
        <v>6060</v>
      </c>
      <c r="B200" s="1451" t="s">
        <v>753</v>
      </c>
      <c r="C200" s="1389"/>
      <c r="D200" s="830">
        <f t="shared" si="14"/>
        <v>0</v>
      </c>
      <c r="E200" s="1390">
        <f t="shared" si="21"/>
        <v>0</v>
      </c>
      <c r="F200" s="1366"/>
      <c r="G200" s="1389"/>
      <c r="H200" s="1390"/>
      <c r="I200" s="1446"/>
      <c r="J200" s="1445"/>
      <c r="K200" s="1390"/>
      <c r="L200" s="1446"/>
      <c r="M200" s="1445"/>
      <c r="N200" s="1445"/>
      <c r="O200" s="1395"/>
      <c r="P200" s="1389"/>
      <c r="Q200" s="1390"/>
      <c r="R200" s="1369" t="e">
        <f t="shared" si="20"/>
        <v>#DIV/0!</v>
      </c>
    </row>
    <row r="201" spans="1:18" ht="12.75">
      <c r="A201" s="1492">
        <v>4440</v>
      </c>
      <c r="B201" s="1493" t="s">
        <v>702</v>
      </c>
      <c r="C201" s="1494">
        <v>5495</v>
      </c>
      <c r="D201" s="862">
        <f t="shared" si="14"/>
        <v>5495</v>
      </c>
      <c r="E201" s="1487">
        <f t="shared" si="21"/>
        <v>5495</v>
      </c>
      <c r="F201" s="1419">
        <f t="shared" si="19"/>
        <v>100</v>
      </c>
      <c r="G201" s="1494"/>
      <c r="H201" s="1487"/>
      <c r="I201" s="1551"/>
      <c r="J201" s="1495"/>
      <c r="K201" s="1487"/>
      <c r="L201" s="1551"/>
      <c r="M201" s="1495">
        <v>2930</v>
      </c>
      <c r="N201" s="1495">
        <v>2930</v>
      </c>
      <c r="O201" s="1369">
        <f t="shared" si="22"/>
        <v>100</v>
      </c>
      <c r="P201" s="1494">
        <v>2565</v>
      </c>
      <c r="Q201" s="1487">
        <v>2565</v>
      </c>
      <c r="R201" s="1439">
        <f t="shared" si="20"/>
        <v>100</v>
      </c>
    </row>
    <row r="202" spans="1:18" s="1471" customFormat="1" ht="13.5">
      <c r="A202" s="1479">
        <v>71035</v>
      </c>
      <c r="B202" s="1576" t="s">
        <v>774</v>
      </c>
      <c r="C202" s="823">
        <f>SUM(C203:C205)</f>
        <v>1010000</v>
      </c>
      <c r="D202" s="845">
        <f t="shared" si="14"/>
        <v>1210000</v>
      </c>
      <c r="E202" s="845">
        <f t="shared" si="21"/>
        <v>244593</v>
      </c>
      <c r="F202" s="1398">
        <f t="shared" si="19"/>
        <v>20.214297520661155</v>
      </c>
      <c r="G202" s="823">
        <f>SUM(G203:G206)</f>
        <v>1210000</v>
      </c>
      <c r="H202" s="845">
        <f>SUM(H203:H206)</f>
        <v>244593</v>
      </c>
      <c r="I202" s="1400">
        <f aca="true" t="shared" si="23" ref="I202:I214">H202/G202*100</f>
        <v>20.214297520661155</v>
      </c>
      <c r="J202" s="1510"/>
      <c r="K202" s="845"/>
      <c r="L202" s="1441"/>
      <c r="M202" s="1510"/>
      <c r="N202" s="1510"/>
      <c r="O202" s="1511"/>
      <c r="P202" s="823"/>
      <c r="Q202" s="845"/>
      <c r="R202" s="1483"/>
    </row>
    <row r="203" spans="1:18" s="1286" customFormat="1" ht="12.75" hidden="1">
      <c r="A203" s="1512">
        <v>4270</v>
      </c>
      <c r="B203" s="1574" t="s">
        <v>696</v>
      </c>
      <c r="C203" s="832"/>
      <c r="D203" s="830">
        <f t="shared" si="14"/>
        <v>0</v>
      </c>
      <c r="E203" s="830">
        <f t="shared" si="14"/>
        <v>0</v>
      </c>
      <c r="F203" s="1366"/>
      <c r="G203" s="832"/>
      <c r="H203" s="830"/>
      <c r="I203" s="1369"/>
      <c r="J203" s="1514"/>
      <c r="K203" s="830"/>
      <c r="L203" s="1446"/>
      <c r="M203" s="1514"/>
      <c r="N203" s="1514"/>
      <c r="O203" s="1515"/>
      <c r="P203" s="832"/>
      <c r="Q203" s="830"/>
      <c r="R203" s="1573"/>
    </row>
    <row r="204" spans="1:18" ht="24" hidden="1">
      <c r="A204" s="1443">
        <v>4300</v>
      </c>
      <c r="B204" s="1451" t="s">
        <v>775</v>
      </c>
      <c r="C204" s="1389"/>
      <c r="D204" s="830">
        <f t="shared" si="14"/>
        <v>0</v>
      </c>
      <c r="E204" s="830">
        <f t="shared" si="14"/>
        <v>0</v>
      </c>
      <c r="F204" s="1366" t="e">
        <f t="shared" si="19"/>
        <v>#DIV/0!</v>
      </c>
      <c r="G204" s="1389"/>
      <c r="H204" s="1390"/>
      <c r="I204" s="1369" t="e">
        <f t="shared" si="23"/>
        <v>#DIV/0!</v>
      </c>
      <c r="J204" s="1445"/>
      <c r="K204" s="1390"/>
      <c r="L204" s="1446"/>
      <c r="M204" s="1445"/>
      <c r="N204" s="1445"/>
      <c r="O204" s="1447"/>
      <c r="P204" s="1389"/>
      <c r="Q204" s="1390"/>
      <c r="R204" s="1395"/>
    </row>
    <row r="205" spans="1:18" ht="24">
      <c r="A205" s="1443">
        <v>4300</v>
      </c>
      <c r="B205" s="1451" t="s">
        <v>776</v>
      </c>
      <c r="C205" s="1389">
        <v>1010000</v>
      </c>
      <c r="D205" s="830">
        <f t="shared" si="14"/>
        <v>1010000</v>
      </c>
      <c r="E205" s="830">
        <f t="shared" si="14"/>
        <v>244593</v>
      </c>
      <c r="F205" s="1366">
        <f t="shared" si="19"/>
        <v>24.217128712871286</v>
      </c>
      <c r="G205" s="832">
        <f>1010000</f>
        <v>1010000</v>
      </c>
      <c r="H205" s="830">
        <v>244593</v>
      </c>
      <c r="I205" s="1369">
        <f t="shared" si="23"/>
        <v>24.217128712871286</v>
      </c>
      <c r="J205" s="1445"/>
      <c r="K205" s="1390"/>
      <c r="L205" s="1446"/>
      <c r="M205" s="1445"/>
      <c r="N205" s="1445"/>
      <c r="O205" s="1447"/>
      <c r="P205" s="1389"/>
      <c r="Q205" s="1390"/>
      <c r="R205" s="1395"/>
    </row>
    <row r="206" spans="1:18" ht="24.75" thickBot="1">
      <c r="A206" s="1443">
        <v>6050</v>
      </c>
      <c r="B206" s="1451" t="s">
        <v>767</v>
      </c>
      <c r="C206" s="1389"/>
      <c r="D206" s="830">
        <f>G206+J206+P206+M206</f>
        <v>200000</v>
      </c>
      <c r="E206" s="830">
        <f>H206+K206+Q206+N206</f>
        <v>0</v>
      </c>
      <c r="F206" s="1366">
        <f>E206/D206*100</f>
        <v>0</v>
      </c>
      <c r="G206" s="832">
        <v>200000</v>
      </c>
      <c r="H206" s="830"/>
      <c r="I206" s="1369">
        <f t="shared" si="23"/>
        <v>0</v>
      </c>
      <c r="J206" s="1445"/>
      <c r="K206" s="1390"/>
      <c r="L206" s="1446"/>
      <c r="M206" s="1578"/>
      <c r="N206" s="1487"/>
      <c r="O206" s="1447"/>
      <c r="P206" s="1389"/>
      <c r="Q206" s="1390"/>
      <c r="R206" s="1395"/>
    </row>
    <row r="207" spans="1:18" ht="14.25" hidden="1" thickBot="1">
      <c r="A207" s="1479">
        <v>71095</v>
      </c>
      <c r="B207" s="1576" t="s">
        <v>299</v>
      </c>
      <c r="C207" s="823"/>
      <c r="D207" s="845">
        <f aca="true" t="shared" si="24" ref="D207:E223">G207+J207+P207+M207</f>
        <v>0</v>
      </c>
      <c r="E207" s="845">
        <f t="shared" si="24"/>
        <v>0</v>
      </c>
      <c r="F207" s="1381" t="e">
        <f t="shared" si="19"/>
        <v>#DIV/0!</v>
      </c>
      <c r="G207" s="823">
        <f>G208</f>
        <v>0</v>
      </c>
      <c r="H207" s="845">
        <f>H208</f>
        <v>0</v>
      </c>
      <c r="I207" s="1439" t="e">
        <f t="shared" si="23"/>
        <v>#DIV/0!</v>
      </c>
      <c r="J207" s="1510"/>
      <c r="K207" s="845"/>
      <c r="L207" s="1441"/>
      <c r="M207" s="1577"/>
      <c r="N207" s="845"/>
      <c r="O207" s="1511"/>
      <c r="P207" s="823"/>
      <c r="Q207" s="845"/>
      <c r="R207" s="1483"/>
    </row>
    <row r="208" spans="1:18" ht="13.5" hidden="1" thickBot="1">
      <c r="A208" s="1443">
        <v>4300</v>
      </c>
      <c r="B208" s="1451" t="s">
        <v>698</v>
      </c>
      <c r="C208" s="1389"/>
      <c r="D208" s="830">
        <f t="shared" si="24"/>
        <v>0</v>
      </c>
      <c r="E208" s="830">
        <f t="shared" si="24"/>
        <v>0</v>
      </c>
      <c r="F208" s="1366" t="e">
        <f t="shared" si="19"/>
        <v>#DIV/0!</v>
      </c>
      <c r="G208" s="832"/>
      <c r="H208" s="830"/>
      <c r="I208" s="1369" t="e">
        <f t="shared" si="23"/>
        <v>#DIV/0!</v>
      </c>
      <c r="J208" s="1445"/>
      <c r="K208" s="1390"/>
      <c r="L208" s="1446"/>
      <c r="M208" s="1578"/>
      <c r="N208" s="1579"/>
      <c r="O208" s="1447"/>
      <c r="P208" s="1389"/>
      <c r="Q208" s="1390"/>
      <c r="R208" s="1395"/>
    </row>
    <row r="209" spans="1:18" s="1435" customFormat="1" ht="25.5" thickBot="1" thickTop="1">
      <c r="A209" s="1429">
        <v>750</v>
      </c>
      <c r="B209" s="1430" t="s">
        <v>130</v>
      </c>
      <c r="C209" s="1431">
        <f>C210+C218+C230+C244+C335+C345+C296+C307</f>
        <v>26569737</v>
      </c>
      <c r="D209" s="813">
        <f t="shared" si="24"/>
        <v>26878097</v>
      </c>
      <c r="E209" s="1416">
        <f t="shared" si="24"/>
        <v>13247794</v>
      </c>
      <c r="F209" s="1342">
        <f t="shared" si="19"/>
        <v>49.28843734733155</v>
      </c>
      <c r="G209" s="1431">
        <f>G210+G230+G244+G296+G335+G345+G218+G307</f>
        <v>22155605</v>
      </c>
      <c r="H209" s="1416">
        <f>H210+H230+H244+H296+H335+H345+H218+H307</f>
        <v>10789991</v>
      </c>
      <c r="I209" s="1344">
        <f t="shared" si="23"/>
        <v>48.7009540023845</v>
      </c>
      <c r="J209" s="1416">
        <f>J210+J230+J244+J296+J335+J345+J218+J307</f>
        <v>727000</v>
      </c>
      <c r="K209" s="1416">
        <f>K210+K230+K244+K296+K335+K345+K218+K307</f>
        <v>387000</v>
      </c>
      <c r="L209" s="1458">
        <f aca="true" t="shared" si="25" ref="L209:L214">K209/J209*100</f>
        <v>53.232462173315</v>
      </c>
      <c r="M209" s="1580">
        <f>M210+M230+M244+M296+M335+M345+M218</f>
        <v>3727492</v>
      </c>
      <c r="N209" s="1416">
        <f>N210+N230+N244+N296+N335+N345+N218</f>
        <v>1918155</v>
      </c>
      <c r="O209" s="1349">
        <f>N209/M209*100</f>
        <v>51.45966778734871</v>
      </c>
      <c r="P209" s="1431">
        <f>P210+P230+P244+P296+P335+P345+P218</f>
        <v>268000</v>
      </c>
      <c r="Q209" s="1416">
        <f>Q210+Q230+Q244+Q296+Q335+Q345+Q218</f>
        <v>152648</v>
      </c>
      <c r="R209" s="1349">
        <f aca="true" t="shared" si="26" ref="R209:R214">Q209/P209*100</f>
        <v>56.958208955223874</v>
      </c>
    </row>
    <row r="210" spans="1:18" ht="13.5" thickTop="1">
      <c r="A210" s="1436">
        <v>75011</v>
      </c>
      <c r="B210" s="1529" t="s">
        <v>777</v>
      </c>
      <c r="C210" s="1438">
        <f>SUM(C211:C217)</f>
        <v>1478340</v>
      </c>
      <c r="D210" s="821">
        <f t="shared" si="24"/>
        <v>1478340</v>
      </c>
      <c r="E210" s="1536">
        <f t="shared" si="24"/>
        <v>744567</v>
      </c>
      <c r="F210" s="1419">
        <f t="shared" si="19"/>
        <v>50.36507163440075</v>
      </c>
      <c r="G210" s="1438">
        <f>SUM(G211:G217)</f>
        <v>519340</v>
      </c>
      <c r="H210" s="1380">
        <f>SUM(H211:H217)</f>
        <v>234067</v>
      </c>
      <c r="I210" s="1439">
        <f t="shared" si="23"/>
        <v>45.070088959063426</v>
      </c>
      <c r="J210" s="1440">
        <f>SUM(J211:J217)</f>
        <v>727000</v>
      </c>
      <c r="K210" s="1380">
        <f>SUM(K211:K217)</f>
        <v>387000</v>
      </c>
      <c r="L210" s="1581">
        <f t="shared" si="25"/>
        <v>53.232462173315</v>
      </c>
      <c r="M210" s="1380"/>
      <c r="N210" s="1380"/>
      <c r="O210" s="1442"/>
      <c r="P210" s="1438">
        <f>SUM(P211:P217)</f>
        <v>232000</v>
      </c>
      <c r="Q210" s="1380">
        <f>SUM(Q211:Q217)</f>
        <v>123500</v>
      </c>
      <c r="R210" s="1420">
        <f t="shared" si="26"/>
        <v>53.23275862068966</v>
      </c>
    </row>
    <row r="211" spans="1:18" ht="24">
      <c r="A211" s="1422">
        <v>4010</v>
      </c>
      <c r="B211" s="1547" t="s">
        <v>680</v>
      </c>
      <c r="C211" s="1393">
        <v>892500</v>
      </c>
      <c r="D211" s="869">
        <f t="shared" si="24"/>
        <v>892500</v>
      </c>
      <c r="E211" s="1407">
        <f aca="true" t="shared" si="27" ref="E211:E217">SUM(H211+K211+N211+Q211)</f>
        <v>446250</v>
      </c>
      <c r="F211" s="1391">
        <f t="shared" si="19"/>
        <v>50</v>
      </c>
      <c r="G211" s="1393">
        <v>152300</v>
      </c>
      <c r="H211" s="1407">
        <v>76150</v>
      </c>
      <c r="I211" s="1369">
        <f t="shared" si="23"/>
        <v>50</v>
      </c>
      <c r="J211" s="1548">
        <v>561300</v>
      </c>
      <c r="K211" s="1407">
        <v>280650</v>
      </c>
      <c r="L211" s="1410">
        <f t="shared" si="25"/>
        <v>50</v>
      </c>
      <c r="M211" s="1407"/>
      <c r="N211" s="1407"/>
      <c r="O211" s="1549"/>
      <c r="P211" s="1393">
        <v>178900</v>
      </c>
      <c r="Q211" s="1407">
        <v>89450</v>
      </c>
      <c r="R211" s="1374">
        <f t="shared" si="26"/>
        <v>50</v>
      </c>
    </row>
    <row r="212" spans="1:18" ht="24">
      <c r="A212" s="1443">
        <v>4040</v>
      </c>
      <c r="B212" s="1451" t="s">
        <v>740</v>
      </c>
      <c r="C212" s="1389">
        <v>62000</v>
      </c>
      <c r="D212" s="830">
        <f t="shared" si="24"/>
        <v>62000</v>
      </c>
      <c r="E212" s="1390">
        <f t="shared" si="27"/>
        <v>62000</v>
      </c>
      <c r="F212" s="1366">
        <f t="shared" si="19"/>
        <v>100</v>
      </c>
      <c r="G212" s="1389"/>
      <c r="H212" s="1390"/>
      <c r="I212" s="1369"/>
      <c r="J212" s="1445">
        <v>47000</v>
      </c>
      <c r="K212" s="1390">
        <v>47000</v>
      </c>
      <c r="L212" s="1369">
        <f t="shared" si="25"/>
        <v>100</v>
      </c>
      <c r="M212" s="1390"/>
      <c r="N212" s="1390"/>
      <c r="O212" s="1447"/>
      <c r="P212" s="1389">
        <v>15000</v>
      </c>
      <c r="Q212" s="1390">
        <v>15000</v>
      </c>
      <c r="R212" s="1369">
        <f t="shared" si="26"/>
        <v>100</v>
      </c>
    </row>
    <row r="213" spans="1:18" ht="24">
      <c r="A213" s="1443">
        <v>4110</v>
      </c>
      <c r="B213" s="1571" t="s">
        <v>686</v>
      </c>
      <c r="C213" s="1389">
        <v>164400</v>
      </c>
      <c r="D213" s="830">
        <f t="shared" si="24"/>
        <v>164400</v>
      </c>
      <c r="E213" s="1390">
        <f t="shared" si="27"/>
        <v>82200</v>
      </c>
      <c r="F213" s="1366">
        <f t="shared" si="19"/>
        <v>50</v>
      </c>
      <c r="G213" s="1389">
        <v>26200</v>
      </c>
      <c r="H213" s="1390">
        <v>13100</v>
      </c>
      <c r="I213" s="1369">
        <f t="shared" si="23"/>
        <v>50</v>
      </c>
      <c r="J213" s="1445">
        <v>104800</v>
      </c>
      <c r="K213" s="1390">
        <v>52400</v>
      </c>
      <c r="L213" s="1369">
        <f t="shared" si="25"/>
        <v>50</v>
      </c>
      <c r="M213" s="1390"/>
      <c r="N213" s="1390"/>
      <c r="O213" s="1447"/>
      <c r="P213" s="1389">
        <v>33400</v>
      </c>
      <c r="Q213" s="1390">
        <v>16700</v>
      </c>
      <c r="R213" s="1395">
        <f t="shared" si="26"/>
        <v>50</v>
      </c>
    </row>
    <row r="214" spans="1:18" ht="12.75">
      <c r="A214" s="1443">
        <v>4120</v>
      </c>
      <c r="B214" s="1451" t="s">
        <v>771</v>
      </c>
      <c r="C214" s="1389">
        <v>22600</v>
      </c>
      <c r="D214" s="830">
        <f t="shared" si="24"/>
        <v>22600</v>
      </c>
      <c r="E214" s="1390">
        <f t="shared" si="27"/>
        <v>11300</v>
      </c>
      <c r="F214" s="1366">
        <f t="shared" si="19"/>
        <v>50</v>
      </c>
      <c r="G214" s="1389">
        <v>4000</v>
      </c>
      <c r="H214" s="1390">
        <v>2000</v>
      </c>
      <c r="I214" s="1369">
        <f t="shared" si="23"/>
        <v>50</v>
      </c>
      <c r="J214" s="1445">
        <v>13900</v>
      </c>
      <c r="K214" s="1390">
        <v>6950</v>
      </c>
      <c r="L214" s="1369">
        <f t="shared" si="25"/>
        <v>50</v>
      </c>
      <c r="M214" s="1390"/>
      <c r="N214" s="1390"/>
      <c r="O214" s="1447"/>
      <c r="P214" s="1389">
        <v>4700</v>
      </c>
      <c r="Q214" s="1390">
        <v>2350</v>
      </c>
      <c r="R214" s="1395">
        <f t="shared" si="26"/>
        <v>50</v>
      </c>
    </row>
    <row r="215" spans="1:18" ht="24">
      <c r="A215" s="1443">
        <v>4210</v>
      </c>
      <c r="B215" s="1451" t="s">
        <v>690</v>
      </c>
      <c r="C215" s="1389">
        <v>177630</v>
      </c>
      <c r="D215" s="830">
        <f t="shared" si="24"/>
        <v>177630</v>
      </c>
      <c r="E215" s="1390">
        <f t="shared" si="27"/>
        <v>85636</v>
      </c>
      <c r="F215" s="1366">
        <f t="shared" si="19"/>
        <v>48.21032483251703</v>
      </c>
      <c r="G215" s="1389">
        <v>177630</v>
      </c>
      <c r="H215" s="1390">
        <v>85636</v>
      </c>
      <c r="I215" s="1369">
        <f>H215/G215*100</f>
        <v>48.21032483251703</v>
      </c>
      <c r="J215" s="1445"/>
      <c r="K215" s="1390"/>
      <c r="L215" s="1446"/>
      <c r="M215" s="1390"/>
      <c r="N215" s="1390"/>
      <c r="O215" s="1447"/>
      <c r="P215" s="1389"/>
      <c r="Q215" s="1390"/>
      <c r="R215" s="1395"/>
    </row>
    <row r="216" spans="1:18" ht="12.75">
      <c r="A216" s="1443">
        <v>4260</v>
      </c>
      <c r="B216" s="1451" t="s">
        <v>694</v>
      </c>
      <c r="C216" s="1389">
        <v>14210</v>
      </c>
      <c r="D216" s="830">
        <f t="shared" si="24"/>
        <v>14210</v>
      </c>
      <c r="E216" s="1390">
        <f t="shared" si="27"/>
        <v>9116</v>
      </c>
      <c r="F216" s="1366">
        <f t="shared" si="19"/>
        <v>64.15200562983814</v>
      </c>
      <c r="G216" s="1389">
        <v>14210</v>
      </c>
      <c r="H216" s="1390">
        <f>9115+1</f>
        <v>9116</v>
      </c>
      <c r="I216" s="1369">
        <f>H216/G216*100</f>
        <v>64.15200562983814</v>
      </c>
      <c r="J216" s="1445"/>
      <c r="K216" s="1390"/>
      <c r="L216" s="1446"/>
      <c r="M216" s="1390"/>
      <c r="N216" s="1390"/>
      <c r="O216" s="1447"/>
      <c r="P216" s="1389"/>
      <c r="Q216" s="1390"/>
      <c r="R216" s="1582"/>
    </row>
    <row r="217" spans="1:18" ht="12.75">
      <c r="A217" s="1443">
        <v>4300</v>
      </c>
      <c r="B217" s="1451" t="s">
        <v>698</v>
      </c>
      <c r="C217" s="1389">
        <v>145000</v>
      </c>
      <c r="D217" s="830">
        <f t="shared" si="24"/>
        <v>145000</v>
      </c>
      <c r="E217" s="1390">
        <f t="shared" si="27"/>
        <v>48065</v>
      </c>
      <c r="F217" s="1366">
        <f t="shared" si="19"/>
        <v>33.148275862068964</v>
      </c>
      <c r="G217" s="1389">
        <v>145000</v>
      </c>
      <c r="H217" s="1390">
        <v>48065</v>
      </c>
      <c r="I217" s="1369">
        <f>H217/G217*100</f>
        <v>33.148275862068964</v>
      </c>
      <c r="J217" s="1445"/>
      <c r="K217" s="1390"/>
      <c r="L217" s="1369" t="s">
        <v>778</v>
      </c>
      <c r="M217" s="1390"/>
      <c r="N217" s="1390"/>
      <c r="O217" s="1447"/>
      <c r="P217" s="1389"/>
      <c r="Q217" s="1390"/>
      <c r="R217" s="1454"/>
    </row>
    <row r="218" spans="1:18" ht="12.75" customHeight="1">
      <c r="A218" s="1436">
        <v>75020</v>
      </c>
      <c r="B218" s="1529" t="s">
        <v>298</v>
      </c>
      <c r="C218" s="1438">
        <f>SUM(C219:C229)</f>
        <v>3771992</v>
      </c>
      <c r="D218" s="845">
        <f t="shared" si="24"/>
        <v>3715992</v>
      </c>
      <c r="E218" s="1380">
        <f>H218+K218+Q218+N218</f>
        <v>1911749</v>
      </c>
      <c r="F218" s="1381">
        <f t="shared" si="19"/>
        <v>51.44653163946532</v>
      </c>
      <c r="G218" s="1474"/>
      <c r="H218" s="1477"/>
      <c r="I218" s="1575"/>
      <c r="J218" s="1476"/>
      <c r="K218" s="1477"/>
      <c r="L218" s="1575"/>
      <c r="M218" s="1380">
        <f>SUM(M219:M229)</f>
        <v>3715992</v>
      </c>
      <c r="N218" s="1380">
        <f>SUM(N219:N229)</f>
        <v>1911749</v>
      </c>
      <c r="O218" s="1388">
        <f aca="true" t="shared" si="28" ref="O218:O229">N218/M218*100</f>
        <v>51.44653163946532</v>
      </c>
      <c r="P218" s="1438"/>
      <c r="Q218" s="1380"/>
      <c r="R218" s="1478"/>
    </row>
    <row r="219" spans="1:18" s="1286" customFormat="1" ht="60">
      <c r="A219" s="1512">
        <v>2320</v>
      </c>
      <c r="B219" s="1574" t="s">
        <v>779</v>
      </c>
      <c r="C219" s="832">
        <f>15000+1153472</f>
        <v>1168472</v>
      </c>
      <c r="D219" s="830">
        <f t="shared" si="24"/>
        <v>1168472</v>
      </c>
      <c r="E219" s="1390">
        <f aca="true" t="shared" si="29" ref="E219:E229">SUM(H219+K219+N219+Q219)</f>
        <v>584238</v>
      </c>
      <c r="F219" s="1366">
        <f t="shared" si="19"/>
        <v>50.00017116370782</v>
      </c>
      <c r="G219" s="832"/>
      <c r="H219" s="830"/>
      <c r="I219" s="1446"/>
      <c r="J219" s="1514"/>
      <c r="K219" s="830"/>
      <c r="L219" s="1446"/>
      <c r="M219" s="1583">
        <f>15000+1153472</f>
        <v>1168472</v>
      </c>
      <c r="N219" s="869">
        <v>584238</v>
      </c>
      <c r="O219" s="1395">
        <f t="shared" si="28"/>
        <v>50.00017116370782</v>
      </c>
      <c r="P219" s="832"/>
      <c r="Q219" s="830"/>
      <c r="R219" s="834"/>
    </row>
    <row r="220" spans="1:18" ht="12.75">
      <c r="A220" s="1443">
        <v>4010</v>
      </c>
      <c r="B220" s="1451" t="s">
        <v>780</v>
      </c>
      <c r="C220" s="1389">
        <v>870000</v>
      </c>
      <c r="D220" s="830">
        <f t="shared" si="24"/>
        <v>870000</v>
      </c>
      <c r="E220" s="1390">
        <f t="shared" si="29"/>
        <v>435000</v>
      </c>
      <c r="F220" s="1366">
        <f t="shared" si="19"/>
        <v>50</v>
      </c>
      <c r="G220" s="1389"/>
      <c r="H220" s="1390"/>
      <c r="I220" s="1446"/>
      <c r="J220" s="1445"/>
      <c r="K220" s="1390"/>
      <c r="L220" s="1446"/>
      <c r="M220" s="1486">
        <v>870000</v>
      </c>
      <c r="N220" s="1390">
        <v>435000</v>
      </c>
      <c r="O220" s="1395">
        <f t="shared" si="28"/>
        <v>50</v>
      </c>
      <c r="P220" s="1389"/>
      <c r="Q220" s="1390"/>
      <c r="R220" s="1454"/>
    </row>
    <row r="221" spans="1:18" ht="24">
      <c r="A221" s="1443">
        <v>4040</v>
      </c>
      <c r="B221" s="1451" t="s">
        <v>740</v>
      </c>
      <c r="C221" s="1389">
        <v>72800</v>
      </c>
      <c r="D221" s="830">
        <f t="shared" si="24"/>
        <v>72800</v>
      </c>
      <c r="E221" s="1390">
        <f t="shared" si="29"/>
        <v>72800</v>
      </c>
      <c r="F221" s="1366">
        <f t="shared" si="19"/>
        <v>100</v>
      </c>
      <c r="G221" s="1389"/>
      <c r="H221" s="1390"/>
      <c r="I221" s="1446"/>
      <c r="J221" s="1445"/>
      <c r="K221" s="1390"/>
      <c r="L221" s="1446"/>
      <c r="M221" s="1486">
        <v>72800</v>
      </c>
      <c r="N221" s="1390">
        <v>72800</v>
      </c>
      <c r="O221" s="1584">
        <f t="shared" si="28"/>
        <v>100</v>
      </c>
      <c r="P221" s="1389"/>
      <c r="Q221" s="1390"/>
      <c r="R221" s="1454"/>
    </row>
    <row r="222" spans="1:18" ht="24">
      <c r="A222" s="1443">
        <v>4110</v>
      </c>
      <c r="B222" s="1451" t="s">
        <v>686</v>
      </c>
      <c r="C222" s="1389">
        <v>162450</v>
      </c>
      <c r="D222" s="830">
        <f t="shared" si="24"/>
        <v>162450</v>
      </c>
      <c r="E222" s="1390">
        <f t="shared" si="29"/>
        <v>87495</v>
      </c>
      <c r="F222" s="1366">
        <f t="shared" si="19"/>
        <v>53.85964912280702</v>
      </c>
      <c r="G222" s="1389"/>
      <c r="H222" s="1390"/>
      <c r="I222" s="1446"/>
      <c r="J222" s="1445"/>
      <c r="K222" s="1390"/>
      <c r="L222" s="1446"/>
      <c r="M222" s="1486">
        <v>162450</v>
      </c>
      <c r="N222" s="1390">
        <f>87496-1</f>
        <v>87495</v>
      </c>
      <c r="O222" s="1395">
        <f t="shared" si="28"/>
        <v>53.85964912280702</v>
      </c>
      <c r="P222" s="1389"/>
      <c r="Q222" s="1390"/>
      <c r="R222" s="1454"/>
    </row>
    <row r="223" spans="1:18" ht="16.5" customHeight="1">
      <c r="A223" s="1443">
        <v>4120</v>
      </c>
      <c r="B223" s="1451" t="s">
        <v>781</v>
      </c>
      <c r="C223" s="1389">
        <v>23100</v>
      </c>
      <c r="D223" s="830">
        <f t="shared" si="24"/>
        <v>23100</v>
      </c>
      <c r="E223" s="1390">
        <f t="shared" si="29"/>
        <v>12440</v>
      </c>
      <c r="F223" s="1366">
        <f t="shared" si="19"/>
        <v>53.85281385281385</v>
      </c>
      <c r="G223" s="1389"/>
      <c r="H223" s="1390"/>
      <c r="I223" s="1446"/>
      <c r="J223" s="1445"/>
      <c r="K223" s="1390"/>
      <c r="L223" s="1446"/>
      <c r="M223" s="1486">
        <v>23100</v>
      </c>
      <c r="N223" s="1390">
        <v>12440</v>
      </c>
      <c r="O223" s="1395">
        <f t="shared" si="28"/>
        <v>53.85281385281385</v>
      </c>
      <c r="P223" s="1389"/>
      <c r="Q223" s="1390"/>
      <c r="R223" s="1454"/>
    </row>
    <row r="224" spans="1:18" ht="24">
      <c r="A224" s="1443">
        <v>4210</v>
      </c>
      <c r="B224" s="1451" t="s">
        <v>690</v>
      </c>
      <c r="C224" s="1389">
        <v>114000</v>
      </c>
      <c r="D224" s="830">
        <f aca="true" t="shared" si="30" ref="D224:E253">G224+J224+P224+M224</f>
        <v>114000</v>
      </c>
      <c r="E224" s="1390">
        <f t="shared" si="29"/>
        <v>40728</v>
      </c>
      <c r="F224" s="1366">
        <f t="shared" si="19"/>
        <v>35.72631578947368</v>
      </c>
      <c r="G224" s="1389"/>
      <c r="H224" s="1390"/>
      <c r="I224" s="1446"/>
      <c r="J224" s="1445"/>
      <c r="K224" s="1390"/>
      <c r="L224" s="1446"/>
      <c r="M224" s="1486">
        <f>114000</f>
        <v>114000</v>
      </c>
      <c r="N224" s="1390">
        <v>40728</v>
      </c>
      <c r="O224" s="1395">
        <f t="shared" si="28"/>
        <v>35.72631578947368</v>
      </c>
      <c r="P224" s="1389"/>
      <c r="Q224" s="1390"/>
      <c r="R224" s="1454"/>
    </row>
    <row r="225" spans="1:18" ht="24" customHeight="1">
      <c r="A225" s="1443">
        <v>4210</v>
      </c>
      <c r="B225" s="1451" t="s">
        <v>1230</v>
      </c>
      <c r="C225" s="1389">
        <v>100000</v>
      </c>
      <c r="D225" s="830">
        <f t="shared" si="30"/>
        <v>99000</v>
      </c>
      <c r="E225" s="1390">
        <f t="shared" si="29"/>
        <v>10979</v>
      </c>
      <c r="F225" s="1366">
        <f t="shared" si="19"/>
        <v>11.08989898989899</v>
      </c>
      <c r="G225" s="1389"/>
      <c r="H225" s="1390"/>
      <c r="I225" s="1446"/>
      <c r="J225" s="1445"/>
      <c r="K225" s="1390"/>
      <c r="L225" s="1446"/>
      <c r="M225" s="1486">
        <f>100000-1000</f>
        <v>99000</v>
      </c>
      <c r="N225" s="1390">
        <v>10979</v>
      </c>
      <c r="O225" s="1395">
        <f t="shared" si="28"/>
        <v>11.08989898989899</v>
      </c>
      <c r="P225" s="1389"/>
      <c r="Q225" s="1390"/>
      <c r="R225" s="1454"/>
    </row>
    <row r="226" spans="1:18" ht="12.75">
      <c r="A226" s="1443">
        <v>4260</v>
      </c>
      <c r="B226" s="1451" t="s">
        <v>694</v>
      </c>
      <c r="C226" s="1389">
        <v>11170</v>
      </c>
      <c r="D226" s="830">
        <f t="shared" si="30"/>
        <v>11170</v>
      </c>
      <c r="E226" s="1390">
        <f t="shared" si="29"/>
        <v>6289</v>
      </c>
      <c r="F226" s="1366">
        <f t="shared" si="19"/>
        <v>56.302596239928384</v>
      </c>
      <c r="G226" s="1389"/>
      <c r="H226" s="1390"/>
      <c r="I226" s="1446"/>
      <c r="J226" s="1445"/>
      <c r="K226" s="1390"/>
      <c r="L226" s="1446"/>
      <c r="M226" s="1486">
        <v>11170</v>
      </c>
      <c r="N226" s="1390">
        <v>6289</v>
      </c>
      <c r="O226" s="1395">
        <f t="shared" si="28"/>
        <v>56.302596239928384</v>
      </c>
      <c r="P226" s="1389"/>
      <c r="Q226" s="1390"/>
      <c r="R226" s="1454"/>
    </row>
    <row r="227" spans="1:18" ht="12.75">
      <c r="A227" s="1443">
        <v>4300</v>
      </c>
      <c r="B227" s="1451" t="s">
        <v>698</v>
      </c>
      <c r="C227" s="1389">
        <v>350000</v>
      </c>
      <c r="D227" s="830">
        <f>G227+J227+P227+M227</f>
        <v>295000</v>
      </c>
      <c r="E227" s="1390">
        <f>SUM(H227+K227+N227+Q227)</f>
        <v>110980</v>
      </c>
      <c r="F227" s="1366">
        <f>E227/D227*100</f>
        <v>37.62033898305085</v>
      </c>
      <c r="G227" s="1389"/>
      <c r="H227" s="1390"/>
      <c r="I227" s="1446"/>
      <c r="J227" s="1445"/>
      <c r="K227" s="1390"/>
      <c r="L227" s="1446"/>
      <c r="M227" s="1486">
        <f>350000-55000</f>
        <v>295000</v>
      </c>
      <c r="N227" s="1390">
        <v>110980</v>
      </c>
      <c r="O227" s="1395">
        <f t="shared" si="28"/>
        <v>37.62033898305085</v>
      </c>
      <c r="P227" s="1389"/>
      <c r="Q227" s="1390"/>
      <c r="R227" s="1454"/>
    </row>
    <row r="228" spans="1:18" ht="24">
      <c r="A228" s="1443">
        <v>4300</v>
      </c>
      <c r="B228" s="1451" t="s">
        <v>1231</v>
      </c>
      <c r="C228" s="1389">
        <v>900000</v>
      </c>
      <c r="D228" s="830">
        <f t="shared" si="30"/>
        <v>900000</v>
      </c>
      <c r="E228" s="1390">
        <f t="shared" si="29"/>
        <v>550800</v>
      </c>
      <c r="F228" s="1366">
        <f t="shared" si="19"/>
        <v>61.199999999999996</v>
      </c>
      <c r="G228" s="1389"/>
      <c r="H228" s="1390"/>
      <c r="I228" s="1446"/>
      <c r="J228" s="1445"/>
      <c r="K228" s="1390"/>
      <c r="L228" s="1446"/>
      <c r="M228" s="1486">
        <v>900000</v>
      </c>
      <c r="N228" s="1390">
        <v>550800</v>
      </c>
      <c r="O228" s="1395">
        <f t="shared" si="28"/>
        <v>61.199999999999996</v>
      </c>
      <c r="P228" s="1389"/>
      <c r="Q228" s="1390"/>
      <c r="R228" s="1454"/>
    </row>
    <row r="229" spans="1:18" ht="9" customHeight="1" hidden="1">
      <c r="A229" s="1492">
        <v>4440</v>
      </c>
      <c r="B229" s="1493" t="s">
        <v>702</v>
      </c>
      <c r="C229" s="1494">
        <v>0</v>
      </c>
      <c r="D229" s="862">
        <f t="shared" si="30"/>
        <v>0</v>
      </c>
      <c r="E229" s="1487">
        <f t="shared" si="29"/>
        <v>0</v>
      </c>
      <c r="F229" s="1419" t="e">
        <f aca="true" t="shared" si="31" ref="F229:F253">E229/D229*100</f>
        <v>#DIV/0!</v>
      </c>
      <c r="G229" s="1494"/>
      <c r="H229" s="1487"/>
      <c r="I229" s="1551"/>
      <c r="J229" s="1495"/>
      <c r="K229" s="1487"/>
      <c r="L229" s="1551"/>
      <c r="M229" s="1487">
        <v>0</v>
      </c>
      <c r="N229" s="1487">
        <v>0</v>
      </c>
      <c r="O229" s="1420" t="e">
        <f t="shared" si="28"/>
        <v>#DIV/0!</v>
      </c>
      <c r="P229" s="1494"/>
      <c r="Q229" s="1487"/>
      <c r="R229" s="1539"/>
    </row>
    <row r="230" spans="1:18" ht="12.75">
      <c r="A230" s="1436">
        <v>75022</v>
      </c>
      <c r="B230" s="1529" t="s">
        <v>782</v>
      </c>
      <c r="C230" s="1438">
        <f>SUM(C232:C238)</f>
        <v>466200</v>
      </c>
      <c r="D230" s="845">
        <f t="shared" si="30"/>
        <v>466200</v>
      </c>
      <c r="E230" s="1380">
        <f>H230+K230+Q230+N230</f>
        <v>220012</v>
      </c>
      <c r="F230" s="1381">
        <f t="shared" si="31"/>
        <v>47.19262119262119</v>
      </c>
      <c r="G230" s="1438">
        <f>SUM(G232:G238)</f>
        <v>466200</v>
      </c>
      <c r="H230" s="1380">
        <f>SUM(H232:H238)</f>
        <v>220012</v>
      </c>
      <c r="I230" s="1475">
        <f>H230/G230*100</f>
        <v>47.19262119262119</v>
      </c>
      <c r="J230" s="1440"/>
      <c r="K230" s="1380"/>
      <c r="L230" s="1441"/>
      <c r="M230" s="1380"/>
      <c r="N230" s="1380"/>
      <c r="O230" s="1388"/>
      <c r="P230" s="1438"/>
      <c r="Q230" s="1380"/>
      <c r="R230" s="1478"/>
    </row>
    <row r="231" spans="1:18" s="1285" customFormat="1" ht="10.5" customHeight="1">
      <c r="A231" s="1585"/>
      <c r="B231" s="1586" t="s">
        <v>783</v>
      </c>
      <c r="C231" s="1587">
        <f>SUM(C232:C237)</f>
        <v>450000</v>
      </c>
      <c r="D231" s="1588">
        <f t="shared" si="30"/>
        <v>450000</v>
      </c>
      <c r="E231" s="1588">
        <f>H231+K231+Q231+N231</f>
        <v>209700</v>
      </c>
      <c r="F231" s="1391">
        <f t="shared" si="31"/>
        <v>46.6</v>
      </c>
      <c r="G231" s="1587">
        <f>SUM(G232:G237)</f>
        <v>450000</v>
      </c>
      <c r="H231" s="1588">
        <f>SUM(H232:H237)</f>
        <v>209700</v>
      </c>
      <c r="I231" s="1410">
        <f>H231/G231*100</f>
        <v>46.6</v>
      </c>
      <c r="J231" s="1589"/>
      <c r="K231" s="1588"/>
      <c r="L231" s="1590"/>
      <c r="M231" s="1588"/>
      <c r="N231" s="1588"/>
      <c r="O231" s="1506"/>
      <c r="P231" s="1587"/>
      <c r="Q231" s="1588"/>
      <c r="R231" s="1507"/>
    </row>
    <row r="232" spans="1:18" ht="21.75" customHeight="1">
      <c r="A232" s="1443">
        <v>3030</v>
      </c>
      <c r="B232" s="1451" t="s">
        <v>678</v>
      </c>
      <c r="C232" s="1389">
        <v>418000</v>
      </c>
      <c r="D232" s="830">
        <f t="shared" si="30"/>
        <v>418000</v>
      </c>
      <c r="E232" s="1390">
        <f aca="true" t="shared" si="32" ref="E232:E237">SUM(H232+K232+N232+Q232)</f>
        <v>204758</v>
      </c>
      <c r="F232" s="1366">
        <f t="shared" si="31"/>
        <v>48.98516746411483</v>
      </c>
      <c r="G232" s="1389">
        <v>418000</v>
      </c>
      <c r="H232" s="1390">
        <v>204758</v>
      </c>
      <c r="I232" s="1369">
        <f aca="true" t="shared" si="33" ref="I232:I295">H232/G232*100</f>
        <v>48.98516746411483</v>
      </c>
      <c r="J232" s="1445"/>
      <c r="K232" s="1390"/>
      <c r="L232" s="1446"/>
      <c r="M232" s="1390"/>
      <c r="N232" s="1390"/>
      <c r="O232" s="1447"/>
      <c r="P232" s="1389"/>
      <c r="Q232" s="1390"/>
      <c r="R232" s="1454"/>
    </row>
    <row r="233" spans="1:18" ht="36" hidden="1">
      <c r="A233" s="1443">
        <v>3040</v>
      </c>
      <c r="B233" s="1451" t="s">
        <v>784</v>
      </c>
      <c r="C233" s="1389"/>
      <c r="D233" s="830">
        <f t="shared" si="30"/>
        <v>0</v>
      </c>
      <c r="E233" s="1390">
        <f t="shared" si="32"/>
        <v>0</v>
      </c>
      <c r="F233" s="1366" t="e">
        <f t="shared" si="31"/>
        <v>#DIV/0!</v>
      </c>
      <c r="G233" s="1389"/>
      <c r="H233" s="1390"/>
      <c r="I233" s="1369" t="e">
        <f t="shared" si="33"/>
        <v>#DIV/0!</v>
      </c>
      <c r="J233" s="1445"/>
      <c r="K233" s="1390"/>
      <c r="L233" s="1446"/>
      <c r="M233" s="1390"/>
      <c r="N233" s="1390"/>
      <c r="O233" s="1447"/>
      <c r="P233" s="1389"/>
      <c r="Q233" s="1390"/>
      <c r="R233" s="1454"/>
    </row>
    <row r="234" spans="1:18" ht="24.75" customHeight="1">
      <c r="A234" s="1443">
        <v>4210</v>
      </c>
      <c r="B234" s="1451" t="s">
        <v>690</v>
      </c>
      <c r="C234" s="1389">
        <v>11000</v>
      </c>
      <c r="D234" s="830">
        <f t="shared" si="30"/>
        <v>11000</v>
      </c>
      <c r="E234" s="1390">
        <f t="shared" si="32"/>
        <v>1809</v>
      </c>
      <c r="F234" s="1366">
        <f t="shared" si="31"/>
        <v>16.445454545454545</v>
      </c>
      <c r="G234" s="1389">
        <v>11000</v>
      </c>
      <c r="H234" s="1390">
        <v>1809</v>
      </c>
      <c r="I234" s="1369">
        <f t="shared" si="33"/>
        <v>16.445454545454545</v>
      </c>
      <c r="J234" s="1445"/>
      <c r="K234" s="1390"/>
      <c r="L234" s="1446"/>
      <c r="M234" s="1390"/>
      <c r="N234" s="1390"/>
      <c r="O234" s="1447"/>
      <c r="P234" s="1389"/>
      <c r="Q234" s="1390"/>
      <c r="R234" s="1454"/>
    </row>
    <row r="235" spans="1:18" ht="15.75" customHeight="1">
      <c r="A235" s="1443">
        <v>4300</v>
      </c>
      <c r="B235" s="1451" t="s">
        <v>698</v>
      </c>
      <c r="C235" s="1389">
        <v>10000</v>
      </c>
      <c r="D235" s="830">
        <f t="shared" si="30"/>
        <v>10000</v>
      </c>
      <c r="E235" s="1390">
        <f t="shared" si="32"/>
        <v>1606</v>
      </c>
      <c r="F235" s="1366">
        <f t="shared" si="31"/>
        <v>16.06</v>
      </c>
      <c r="G235" s="1389">
        <v>10000</v>
      </c>
      <c r="H235" s="1390">
        <v>1606</v>
      </c>
      <c r="I235" s="1369">
        <f t="shared" si="33"/>
        <v>16.06</v>
      </c>
      <c r="J235" s="1445"/>
      <c r="K235" s="1390"/>
      <c r="L235" s="1446"/>
      <c r="M235" s="1390"/>
      <c r="N235" s="1390"/>
      <c r="O235" s="1447"/>
      <c r="P235" s="1389"/>
      <c r="Q235" s="1390"/>
      <c r="R235" s="1454"/>
    </row>
    <row r="236" spans="1:18" ht="12.75">
      <c r="A236" s="1443">
        <v>4410</v>
      </c>
      <c r="B236" s="1451" t="s">
        <v>672</v>
      </c>
      <c r="C236" s="1389">
        <v>7000</v>
      </c>
      <c r="D236" s="830">
        <f t="shared" si="30"/>
        <v>7000</v>
      </c>
      <c r="E236" s="1390">
        <f t="shared" si="32"/>
        <v>746</v>
      </c>
      <c r="F236" s="1366">
        <f t="shared" si="31"/>
        <v>10.657142857142857</v>
      </c>
      <c r="G236" s="1389">
        <v>7000</v>
      </c>
      <c r="H236" s="1390">
        <v>746</v>
      </c>
      <c r="I236" s="1369">
        <f t="shared" si="33"/>
        <v>10.657142857142857</v>
      </c>
      <c r="J236" s="1445"/>
      <c r="K236" s="1390"/>
      <c r="L236" s="1446"/>
      <c r="M236" s="1390"/>
      <c r="N236" s="1390"/>
      <c r="O236" s="1447"/>
      <c r="P236" s="1389"/>
      <c r="Q236" s="1390"/>
      <c r="R236" s="1454"/>
    </row>
    <row r="237" spans="1:18" ht="21.75" customHeight="1">
      <c r="A237" s="1443">
        <v>4420</v>
      </c>
      <c r="B237" s="1451" t="s">
        <v>785</v>
      </c>
      <c r="C237" s="1389">
        <v>4000</v>
      </c>
      <c r="D237" s="830">
        <f t="shared" si="30"/>
        <v>4000</v>
      </c>
      <c r="E237" s="1390">
        <f t="shared" si="32"/>
        <v>781</v>
      </c>
      <c r="F237" s="1366">
        <f t="shared" si="31"/>
        <v>19.525000000000002</v>
      </c>
      <c r="G237" s="1389">
        <v>4000</v>
      </c>
      <c r="H237" s="1390">
        <v>781</v>
      </c>
      <c r="I237" s="1369">
        <f t="shared" si="33"/>
        <v>19.525000000000002</v>
      </c>
      <c r="J237" s="1445"/>
      <c r="K237" s="1390"/>
      <c r="L237" s="1446"/>
      <c r="M237" s="1390"/>
      <c r="N237" s="1390"/>
      <c r="O237" s="1447"/>
      <c r="P237" s="1389"/>
      <c r="Q237" s="1390"/>
      <c r="R237" s="1454"/>
    </row>
    <row r="238" spans="1:18" s="1285" customFormat="1" ht="16.5" customHeight="1">
      <c r="A238" s="1585"/>
      <c r="B238" s="1586" t="s">
        <v>786</v>
      </c>
      <c r="C238" s="1587">
        <f>SUM(C240:C243)</f>
        <v>16200</v>
      </c>
      <c r="D238" s="1588">
        <f t="shared" si="30"/>
        <v>16200</v>
      </c>
      <c r="E238" s="1588">
        <f t="shared" si="30"/>
        <v>10312</v>
      </c>
      <c r="F238" s="1366">
        <f t="shared" si="31"/>
        <v>63.65432098765432</v>
      </c>
      <c r="G238" s="1587">
        <f>SUM(G239:G243)</f>
        <v>16200</v>
      </c>
      <c r="H238" s="1588">
        <f>SUM(H239:H243)</f>
        <v>10312</v>
      </c>
      <c r="I238" s="1369">
        <f t="shared" si="33"/>
        <v>63.65432098765432</v>
      </c>
      <c r="J238" s="1589"/>
      <c r="K238" s="1589"/>
      <c r="L238" s="1590"/>
      <c r="M238" s="1588"/>
      <c r="N238" s="1588"/>
      <c r="O238" s="1506"/>
      <c r="P238" s="1587"/>
      <c r="Q238" s="1588"/>
      <c r="R238" s="1507"/>
    </row>
    <row r="239" spans="1:18" s="1286" customFormat="1" ht="36" hidden="1">
      <c r="A239" s="1512">
        <v>3040</v>
      </c>
      <c r="B239" s="1574" t="s">
        <v>784</v>
      </c>
      <c r="C239" s="832"/>
      <c r="D239" s="830">
        <f t="shared" si="30"/>
        <v>0</v>
      </c>
      <c r="E239" s="1390">
        <f>SUM(H239+K239+N239+Q239)</f>
        <v>0</v>
      </c>
      <c r="F239" s="1366" t="e">
        <f t="shared" si="31"/>
        <v>#DIV/0!</v>
      </c>
      <c r="G239" s="832"/>
      <c r="H239" s="830"/>
      <c r="I239" s="1369" t="e">
        <f t="shared" si="33"/>
        <v>#DIV/0!</v>
      </c>
      <c r="J239" s="1514"/>
      <c r="K239" s="1514"/>
      <c r="L239" s="1446"/>
      <c r="M239" s="830"/>
      <c r="N239" s="830"/>
      <c r="O239" s="1515"/>
      <c r="P239" s="832"/>
      <c r="Q239" s="830"/>
      <c r="R239" s="834"/>
    </row>
    <row r="240" spans="1:18" ht="23.25" customHeight="1">
      <c r="A240" s="1443">
        <v>4210</v>
      </c>
      <c r="B240" s="1451" t="s">
        <v>690</v>
      </c>
      <c r="C240" s="1389">
        <v>5000</v>
      </c>
      <c r="D240" s="830">
        <f t="shared" si="30"/>
        <v>10100</v>
      </c>
      <c r="E240" s="1390">
        <f>SUM(H240+K240+N240+Q240)</f>
        <v>8757</v>
      </c>
      <c r="F240" s="1366">
        <f t="shared" si="31"/>
        <v>86.70297029702971</v>
      </c>
      <c r="G240" s="1389">
        <f>5000+5100</f>
        <v>10100</v>
      </c>
      <c r="H240" s="1390">
        <v>8757</v>
      </c>
      <c r="I240" s="1369">
        <f t="shared" si="33"/>
        <v>86.70297029702971</v>
      </c>
      <c r="J240" s="1445"/>
      <c r="K240" s="1390"/>
      <c r="L240" s="1446"/>
      <c r="M240" s="1390"/>
      <c r="N240" s="1390"/>
      <c r="O240" s="1447"/>
      <c r="P240" s="1389"/>
      <c r="Q240" s="1390"/>
      <c r="R240" s="1454"/>
    </row>
    <row r="241" spans="1:18" ht="12.75" customHeight="1">
      <c r="A241" s="1443">
        <v>4300</v>
      </c>
      <c r="B241" s="1451" t="s">
        <v>698</v>
      </c>
      <c r="C241" s="1389">
        <v>10000</v>
      </c>
      <c r="D241" s="830">
        <f t="shared" si="30"/>
        <v>5000</v>
      </c>
      <c r="E241" s="1390">
        <f>SUM(H241+K241+N241+Q241)</f>
        <v>455</v>
      </c>
      <c r="F241" s="1366">
        <f t="shared" si="31"/>
        <v>9.1</v>
      </c>
      <c r="G241" s="1389">
        <f>10000-5000</f>
        <v>5000</v>
      </c>
      <c r="H241" s="1390">
        <v>455</v>
      </c>
      <c r="I241" s="1369">
        <f t="shared" si="33"/>
        <v>9.1</v>
      </c>
      <c r="J241" s="1445"/>
      <c r="K241" s="1390"/>
      <c r="L241" s="1446"/>
      <c r="M241" s="1390"/>
      <c r="N241" s="1390"/>
      <c r="O241" s="1447"/>
      <c r="P241" s="1389"/>
      <c r="Q241" s="1390"/>
      <c r="R241" s="1454"/>
    </row>
    <row r="242" spans="1:18" ht="15" customHeight="1" hidden="1">
      <c r="A242" s="1443">
        <v>4410</v>
      </c>
      <c r="B242" s="1451" t="s">
        <v>773</v>
      </c>
      <c r="C242" s="1389"/>
      <c r="D242" s="830">
        <f t="shared" si="30"/>
        <v>0</v>
      </c>
      <c r="E242" s="1390">
        <f>SUM(H242+K242+N242+Q242)</f>
        <v>0</v>
      </c>
      <c r="F242" s="1366" t="e">
        <f t="shared" si="31"/>
        <v>#DIV/0!</v>
      </c>
      <c r="G242" s="1389"/>
      <c r="H242" s="1390"/>
      <c r="I242" s="1369" t="e">
        <f t="shared" si="33"/>
        <v>#DIV/0!</v>
      </c>
      <c r="J242" s="1445"/>
      <c r="K242" s="1390"/>
      <c r="L242" s="1446"/>
      <c r="M242" s="1390"/>
      <c r="N242" s="1390"/>
      <c r="O242" s="1447"/>
      <c r="P242" s="1389"/>
      <c r="Q242" s="1390"/>
      <c r="R242" s="1454"/>
    </row>
    <row r="243" spans="1:18" ht="15" customHeight="1">
      <c r="A243" s="1492">
        <v>4430</v>
      </c>
      <c r="B243" s="1493" t="s">
        <v>700</v>
      </c>
      <c r="C243" s="1494">
        <v>1200</v>
      </c>
      <c r="D243" s="862">
        <f t="shared" si="30"/>
        <v>1100</v>
      </c>
      <c r="E243" s="1487">
        <f>SUM(H243+K243+N243+Q243)</f>
        <v>1100</v>
      </c>
      <c r="F243" s="1419">
        <f t="shared" si="31"/>
        <v>100</v>
      </c>
      <c r="G243" s="1494">
        <f>1200-100</f>
        <v>1100</v>
      </c>
      <c r="H243" s="1591">
        <v>1100</v>
      </c>
      <c r="I243" s="1439">
        <f t="shared" si="33"/>
        <v>100</v>
      </c>
      <c r="J243" s="1592"/>
      <c r="K243" s="1487"/>
      <c r="L243" s="1551"/>
      <c r="M243" s="1591"/>
      <c r="N243" s="1591"/>
      <c r="O243" s="1593"/>
      <c r="P243" s="1594"/>
      <c r="Q243" s="1591"/>
      <c r="R243" s="1595"/>
    </row>
    <row r="244" spans="1:18" ht="12.75">
      <c r="A244" s="1436">
        <v>75023</v>
      </c>
      <c r="B244" s="1596" t="s">
        <v>373</v>
      </c>
      <c r="C244" s="1438">
        <f>SUM(C250:C295)-SUM(C275:C281)+C245-SUM(C263:C267)-SUM(C271:C272)</f>
        <v>18468215</v>
      </c>
      <c r="D244" s="845">
        <f t="shared" si="30"/>
        <v>18400215</v>
      </c>
      <c r="E244" s="1380">
        <f>H244+K244+Q244+N244</f>
        <v>8472183</v>
      </c>
      <c r="F244" s="1381">
        <f t="shared" si="31"/>
        <v>46.04393481271822</v>
      </c>
      <c r="G244" s="1438">
        <f>SUM(G250:G295)-SUM(G275:G281)+G245-SUM(G263:G267)-SUM(G271:G272)</f>
        <v>18400215</v>
      </c>
      <c r="H244" s="1380">
        <f>SUM(H250:H295)-SUM(H275:H281)+H245-SUM(H263:H267)-SUM(H271:H272)</f>
        <v>8472183</v>
      </c>
      <c r="I244" s="1475">
        <f t="shared" si="33"/>
        <v>46.04393481271822</v>
      </c>
      <c r="J244" s="1440"/>
      <c r="K244" s="1380"/>
      <c r="L244" s="1441"/>
      <c r="M244" s="1380"/>
      <c r="N244" s="1380"/>
      <c r="O244" s="1442"/>
      <c r="P244" s="1438"/>
      <c r="Q244" s="1380"/>
      <c r="R244" s="1478"/>
    </row>
    <row r="245" spans="1:18" s="1286" customFormat="1" ht="36">
      <c r="A245" s="1512">
        <v>3020</v>
      </c>
      <c r="B245" s="1574" t="s">
        <v>756</v>
      </c>
      <c r="C245" s="864">
        <f>SUM(C246:C249)</f>
        <v>138000</v>
      </c>
      <c r="D245" s="830">
        <f t="shared" si="30"/>
        <v>131500</v>
      </c>
      <c r="E245" s="830">
        <f aca="true" t="shared" si="34" ref="E245:E273">SUM(H245+K245+N245+Q245)</f>
        <v>95682</v>
      </c>
      <c r="F245" s="1366">
        <f t="shared" si="31"/>
        <v>72.76197718631178</v>
      </c>
      <c r="G245" s="864">
        <f>SUM(G246:G249)</f>
        <v>131500</v>
      </c>
      <c r="H245" s="869">
        <f>SUM(H246:H249)</f>
        <v>95682</v>
      </c>
      <c r="I245" s="1369">
        <f t="shared" si="33"/>
        <v>72.76197718631178</v>
      </c>
      <c r="J245" s="1542"/>
      <c r="K245" s="869"/>
      <c r="L245" s="1543"/>
      <c r="M245" s="869"/>
      <c r="N245" s="869"/>
      <c r="O245" s="1544"/>
      <c r="P245" s="864"/>
      <c r="Q245" s="869"/>
      <c r="R245" s="884"/>
    </row>
    <row r="246" spans="1:18" s="1285" customFormat="1" ht="12.75">
      <c r="A246" s="1499"/>
      <c r="B246" s="1597" t="s">
        <v>787</v>
      </c>
      <c r="C246" s="1501">
        <v>20000</v>
      </c>
      <c r="D246" s="1502">
        <f t="shared" si="30"/>
        <v>20000</v>
      </c>
      <c r="E246" s="1502">
        <f t="shared" si="34"/>
        <v>2455</v>
      </c>
      <c r="F246" s="1366">
        <f t="shared" si="31"/>
        <v>12.275</v>
      </c>
      <c r="G246" s="1501">
        <v>20000</v>
      </c>
      <c r="H246" s="1502">
        <v>2455</v>
      </c>
      <c r="I246" s="1369">
        <f t="shared" si="33"/>
        <v>12.275</v>
      </c>
      <c r="J246" s="1504"/>
      <c r="K246" s="1502"/>
      <c r="L246" s="1503"/>
      <c r="M246" s="1502"/>
      <c r="N246" s="1502"/>
      <c r="O246" s="1506"/>
      <c r="P246" s="1501"/>
      <c r="Q246" s="1502"/>
      <c r="R246" s="1507"/>
    </row>
    <row r="247" spans="1:18" s="1285" customFormat="1" ht="12.75">
      <c r="A247" s="1499"/>
      <c r="B247" s="1597" t="s">
        <v>788</v>
      </c>
      <c r="C247" s="1501">
        <v>65000</v>
      </c>
      <c r="D247" s="1502">
        <f t="shared" si="30"/>
        <v>58500</v>
      </c>
      <c r="E247" s="1502">
        <f t="shared" si="34"/>
        <v>51720</v>
      </c>
      <c r="F247" s="1366">
        <f t="shared" si="31"/>
        <v>88.41025641025641</v>
      </c>
      <c r="G247" s="1501">
        <f>65000-6500</f>
        <v>58500</v>
      </c>
      <c r="H247" s="1502">
        <v>51720</v>
      </c>
      <c r="I247" s="1369">
        <f t="shared" si="33"/>
        <v>88.41025641025641</v>
      </c>
      <c r="J247" s="1504"/>
      <c r="K247" s="1502"/>
      <c r="L247" s="1503"/>
      <c r="M247" s="1502"/>
      <c r="N247" s="1502"/>
      <c r="O247" s="1506"/>
      <c r="P247" s="1501"/>
      <c r="Q247" s="1502"/>
      <c r="R247" s="1507"/>
    </row>
    <row r="248" spans="1:18" s="1285" customFormat="1" ht="12.75">
      <c r="A248" s="1499"/>
      <c r="B248" s="1597" t="s">
        <v>789</v>
      </c>
      <c r="C248" s="1501">
        <v>40000</v>
      </c>
      <c r="D248" s="1502">
        <f t="shared" si="30"/>
        <v>40000</v>
      </c>
      <c r="E248" s="1502">
        <f t="shared" si="34"/>
        <v>36618</v>
      </c>
      <c r="F248" s="1366">
        <f t="shared" si="31"/>
        <v>91.545</v>
      </c>
      <c r="G248" s="1501">
        <f>40000</f>
        <v>40000</v>
      </c>
      <c r="H248" s="1502">
        <v>36618</v>
      </c>
      <c r="I248" s="1369">
        <f t="shared" si="33"/>
        <v>91.545</v>
      </c>
      <c r="J248" s="1504"/>
      <c r="K248" s="1502"/>
      <c r="L248" s="1503"/>
      <c r="M248" s="1502"/>
      <c r="N248" s="1502"/>
      <c r="O248" s="1506"/>
      <c r="P248" s="1501"/>
      <c r="Q248" s="1502"/>
      <c r="R248" s="1507"/>
    </row>
    <row r="249" spans="1:18" s="1285" customFormat="1" ht="12.75">
      <c r="A249" s="1499"/>
      <c r="B249" s="1597" t="s">
        <v>790</v>
      </c>
      <c r="C249" s="1501">
        <v>13000</v>
      </c>
      <c r="D249" s="1502">
        <f t="shared" si="30"/>
        <v>13000</v>
      </c>
      <c r="E249" s="1502">
        <f t="shared" si="34"/>
        <v>4889</v>
      </c>
      <c r="F249" s="1366">
        <f t="shared" si="31"/>
        <v>37.60769230769231</v>
      </c>
      <c r="G249" s="1501">
        <v>13000</v>
      </c>
      <c r="H249" s="1502">
        <v>4889</v>
      </c>
      <c r="I249" s="1369">
        <f t="shared" si="33"/>
        <v>37.60769230769231</v>
      </c>
      <c r="J249" s="1504"/>
      <c r="K249" s="1502"/>
      <c r="L249" s="1503"/>
      <c r="M249" s="1502"/>
      <c r="N249" s="1502"/>
      <c r="O249" s="1506"/>
      <c r="P249" s="1501"/>
      <c r="Q249" s="1502"/>
      <c r="R249" s="1507"/>
    </row>
    <row r="250" spans="1:18" ht="24">
      <c r="A250" s="1443">
        <v>3030</v>
      </c>
      <c r="B250" s="1451" t="s">
        <v>791</v>
      </c>
      <c r="C250" s="1389">
        <v>2000</v>
      </c>
      <c r="D250" s="830">
        <f t="shared" si="30"/>
        <v>2000</v>
      </c>
      <c r="E250" s="1390">
        <f t="shared" si="34"/>
        <v>0</v>
      </c>
      <c r="F250" s="1366">
        <f t="shared" si="31"/>
        <v>0</v>
      </c>
      <c r="G250" s="1389">
        <v>2000</v>
      </c>
      <c r="H250" s="1390"/>
      <c r="I250" s="1369">
        <f t="shared" si="33"/>
        <v>0</v>
      </c>
      <c r="J250" s="1445"/>
      <c r="K250" s="1390"/>
      <c r="L250" s="1446"/>
      <c r="M250" s="1390"/>
      <c r="N250" s="1390"/>
      <c r="O250" s="1447"/>
      <c r="P250" s="1389"/>
      <c r="Q250" s="1390"/>
      <c r="R250" s="1454"/>
    </row>
    <row r="251" spans="1:18" ht="24">
      <c r="A251" s="1443">
        <v>4010</v>
      </c>
      <c r="B251" s="1451" t="s">
        <v>680</v>
      </c>
      <c r="C251" s="1389">
        <v>10467255</v>
      </c>
      <c r="D251" s="830">
        <f t="shared" si="30"/>
        <v>10467255</v>
      </c>
      <c r="E251" s="1390">
        <f t="shared" si="34"/>
        <v>4810538</v>
      </c>
      <c r="F251" s="1366">
        <f t="shared" si="31"/>
        <v>45.95797083380504</v>
      </c>
      <c r="G251" s="1389">
        <v>10467255</v>
      </c>
      <c r="H251" s="1390">
        <v>4810538</v>
      </c>
      <c r="I251" s="1369">
        <f t="shared" si="33"/>
        <v>45.95797083380504</v>
      </c>
      <c r="J251" s="1445"/>
      <c r="K251" s="1390"/>
      <c r="L251" s="1446"/>
      <c r="M251" s="1390"/>
      <c r="N251" s="1390"/>
      <c r="O251" s="1447"/>
      <c r="P251" s="1389"/>
      <c r="Q251" s="1390"/>
      <c r="R251" s="1454"/>
    </row>
    <row r="252" spans="1:18" ht="24">
      <c r="A252" s="1527">
        <v>4040</v>
      </c>
      <c r="B252" s="1451" t="s">
        <v>740</v>
      </c>
      <c r="C252" s="1389">
        <v>833900</v>
      </c>
      <c r="D252" s="830">
        <f t="shared" si="30"/>
        <v>833900</v>
      </c>
      <c r="E252" s="1390">
        <f t="shared" si="34"/>
        <v>782749</v>
      </c>
      <c r="F252" s="1366">
        <f t="shared" si="31"/>
        <v>93.86605108526203</v>
      </c>
      <c r="G252" s="1389">
        <v>833900</v>
      </c>
      <c r="H252" s="1390">
        <v>782749</v>
      </c>
      <c r="I252" s="1369">
        <f t="shared" si="33"/>
        <v>93.86605108526203</v>
      </c>
      <c r="J252" s="1445"/>
      <c r="K252" s="1390"/>
      <c r="L252" s="1446"/>
      <c r="M252" s="1390"/>
      <c r="N252" s="1390"/>
      <c r="O252" s="1447"/>
      <c r="P252" s="1389"/>
      <c r="Q252" s="1390"/>
      <c r="R252" s="1454"/>
    </row>
    <row r="253" spans="1:18" ht="24">
      <c r="A253" s="1527">
        <v>4100</v>
      </c>
      <c r="B253" s="1451" t="s">
        <v>792</v>
      </c>
      <c r="C253" s="1389">
        <v>109000</v>
      </c>
      <c r="D253" s="830">
        <f t="shared" si="30"/>
        <v>52500</v>
      </c>
      <c r="E253" s="1390">
        <f t="shared" si="34"/>
        <v>0</v>
      </c>
      <c r="F253" s="1366">
        <f t="shared" si="31"/>
        <v>0</v>
      </c>
      <c r="G253" s="1389">
        <f>109000-4000-9000-10000-33500</f>
        <v>52500</v>
      </c>
      <c r="H253" s="1390"/>
      <c r="I253" s="1369">
        <f t="shared" si="33"/>
        <v>0</v>
      </c>
      <c r="J253" s="1445"/>
      <c r="K253" s="1390"/>
      <c r="L253" s="1446"/>
      <c r="M253" s="1390"/>
      <c r="N253" s="1390"/>
      <c r="O253" s="1447"/>
      <c r="P253" s="1389"/>
      <c r="Q253" s="1390"/>
      <c r="R253" s="1454"/>
    </row>
    <row r="254" spans="1:18" ht="24" hidden="1">
      <c r="A254" s="1527">
        <v>4100</v>
      </c>
      <c r="B254" s="1451" t="s">
        <v>793</v>
      </c>
      <c r="C254" s="1389"/>
      <c r="D254" s="830">
        <f aca="true" t="shared" si="35" ref="D254:E317">G254+J254+P254+M254</f>
        <v>0</v>
      </c>
      <c r="E254" s="1390">
        <f t="shared" si="34"/>
        <v>0</v>
      </c>
      <c r="F254" s="1366"/>
      <c r="G254" s="1389"/>
      <c r="H254" s="1390"/>
      <c r="I254" s="1369"/>
      <c r="J254" s="1445"/>
      <c r="K254" s="1390"/>
      <c r="L254" s="1446"/>
      <c r="M254" s="1390"/>
      <c r="N254" s="1390"/>
      <c r="O254" s="1447"/>
      <c r="P254" s="1389"/>
      <c r="Q254" s="1390"/>
      <c r="R254" s="1454"/>
    </row>
    <row r="255" spans="1:18" ht="24">
      <c r="A255" s="1443">
        <v>4110</v>
      </c>
      <c r="B255" s="1451" t="s">
        <v>1232</v>
      </c>
      <c r="C255" s="1389">
        <v>1947250</v>
      </c>
      <c r="D255" s="830">
        <f t="shared" si="35"/>
        <v>1867250</v>
      </c>
      <c r="E255" s="1390">
        <f t="shared" si="34"/>
        <v>826231</v>
      </c>
      <c r="F255" s="1366">
        <f aca="true" t="shared" si="36" ref="F255:F274">E255/D255*100</f>
        <v>44.248547328959695</v>
      </c>
      <c r="G255" s="1389">
        <f>1947250-80000</f>
        <v>1867250</v>
      </c>
      <c r="H255" s="1390">
        <v>826231</v>
      </c>
      <c r="I255" s="1369">
        <f t="shared" si="33"/>
        <v>44.248547328959695</v>
      </c>
      <c r="J255" s="1445"/>
      <c r="K255" s="1390"/>
      <c r="L255" s="1446"/>
      <c r="M255" s="1390"/>
      <c r="N255" s="1390"/>
      <c r="O255" s="1447"/>
      <c r="P255" s="1389"/>
      <c r="Q255" s="1390"/>
      <c r="R255" s="1454"/>
    </row>
    <row r="256" spans="1:18" ht="24" hidden="1">
      <c r="A256" s="1443">
        <v>4110</v>
      </c>
      <c r="B256" s="1451" t="s">
        <v>1233</v>
      </c>
      <c r="C256" s="1389"/>
      <c r="D256" s="830">
        <f t="shared" si="35"/>
        <v>0</v>
      </c>
      <c r="E256" s="1390">
        <f t="shared" si="34"/>
        <v>0</v>
      </c>
      <c r="F256" s="1366" t="e">
        <f t="shared" si="36"/>
        <v>#DIV/0!</v>
      </c>
      <c r="G256" s="1389"/>
      <c r="H256" s="1390"/>
      <c r="I256" s="1369" t="e">
        <f t="shared" si="33"/>
        <v>#DIV/0!</v>
      </c>
      <c r="J256" s="1445"/>
      <c r="K256" s="1390"/>
      <c r="L256" s="1446"/>
      <c r="M256" s="1390"/>
      <c r="N256" s="1390"/>
      <c r="O256" s="1447"/>
      <c r="P256" s="1389"/>
      <c r="Q256" s="1390"/>
      <c r="R256" s="1454"/>
    </row>
    <row r="257" spans="1:18" ht="12.75">
      <c r="A257" s="1443">
        <v>4120</v>
      </c>
      <c r="B257" s="1451" t="s">
        <v>1234</v>
      </c>
      <c r="C257" s="1389">
        <v>277600</v>
      </c>
      <c r="D257" s="830">
        <f t="shared" si="35"/>
        <v>277600</v>
      </c>
      <c r="E257" s="1390">
        <f t="shared" si="34"/>
        <v>116271</v>
      </c>
      <c r="F257" s="1366">
        <f t="shared" si="36"/>
        <v>41.88436599423631</v>
      </c>
      <c r="G257" s="1389">
        <v>277600</v>
      </c>
      <c r="H257" s="1390">
        <v>116271</v>
      </c>
      <c r="I257" s="1369">
        <f t="shared" si="33"/>
        <v>41.88436599423631</v>
      </c>
      <c r="J257" s="1445"/>
      <c r="K257" s="1390"/>
      <c r="L257" s="1446"/>
      <c r="M257" s="1390"/>
      <c r="N257" s="1390"/>
      <c r="O257" s="1447"/>
      <c r="P257" s="1389"/>
      <c r="Q257" s="1390"/>
      <c r="R257" s="1454"/>
    </row>
    <row r="258" spans="1:18" ht="12.75" hidden="1">
      <c r="A258" s="1443">
        <v>4120</v>
      </c>
      <c r="B258" s="1451" t="s">
        <v>1235</v>
      </c>
      <c r="C258" s="1389"/>
      <c r="D258" s="830">
        <f t="shared" si="35"/>
        <v>0</v>
      </c>
      <c r="E258" s="1390">
        <f t="shared" si="34"/>
        <v>0</v>
      </c>
      <c r="F258" s="1366" t="e">
        <f t="shared" si="36"/>
        <v>#DIV/0!</v>
      </c>
      <c r="G258" s="1389"/>
      <c r="H258" s="1390"/>
      <c r="I258" s="1369" t="e">
        <f t="shared" si="33"/>
        <v>#DIV/0!</v>
      </c>
      <c r="J258" s="1445"/>
      <c r="K258" s="1390"/>
      <c r="L258" s="1446"/>
      <c r="M258" s="1390"/>
      <c r="N258" s="1390"/>
      <c r="O258" s="1447"/>
      <c r="P258" s="1389"/>
      <c r="Q258" s="1390"/>
      <c r="R258" s="1454"/>
    </row>
    <row r="259" spans="1:18" ht="12.75">
      <c r="A259" s="1443">
        <v>4140</v>
      </c>
      <c r="B259" s="1451" t="s">
        <v>743</v>
      </c>
      <c r="C259" s="1389">
        <v>60000</v>
      </c>
      <c r="D259" s="830">
        <f t="shared" si="35"/>
        <v>60000</v>
      </c>
      <c r="E259" s="1390">
        <f t="shared" si="34"/>
        <v>6338</v>
      </c>
      <c r="F259" s="1366">
        <f t="shared" si="36"/>
        <v>10.563333333333333</v>
      </c>
      <c r="G259" s="1389">
        <v>60000</v>
      </c>
      <c r="H259" s="1390">
        <v>6338</v>
      </c>
      <c r="I259" s="1369">
        <f t="shared" si="33"/>
        <v>10.563333333333333</v>
      </c>
      <c r="J259" s="1445"/>
      <c r="K259" s="1390"/>
      <c r="L259" s="1446"/>
      <c r="M259" s="1390"/>
      <c r="N259" s="1390"/>
      <c r="O259" s="1447"/>
      <c r="P259" s="1389"/>
      <c r="Q259" s="1390"/>
      <c r="R259" s="1454"/>
    </row>
    <row r="260" spans="1:18" ht="24">
      <c r="A260" s="1443">
        <v>4170</v>
      </c>
      <c r="B260" s="1451" t="s">
        <v>744</v>
      </c>
      <c r="C260" s="1389">
        <v>50000</v>
      </c>
      <c r="D260" s="830">
        <f t="shared" si="35"/>
        <v>75000</v>
      </c>
      <c r="E260" s="1390">
        <f t="shared" si="34"/>
        <v>52705</v>
      </c>
      <c r="F260" s="1366">
        <f t="shared" si="36"/>
        <v>70.27333333333333</v>
      </c>
      <c r="G260" s="1389">
        <f>50000+25000</f>
        <v>75000</v>
      </c>
      <c r="H260" s="1390">
        <v>52705</v>
      </c>
      <c r="I260" s="1369">
        <f t="shared" si="33"/>
        <v>70.27333333333333</v>
      </c>
      <c r="J260" s="1445"/>
      <c r="K260" s="1390"/>
      <c r="L260" s="1446"/>
      <c r="M260" s="1390"/>
      <c r="N260" s="1390"/>
      <c r="O260" s="1447"/>
      <c r="P260" s="1389"/>
      <c r="Q260" s="1390"/>
      <c r="R260" s="1454"/>
    </row>
    <row r="261" spans="1:18" ht="24" hidden="1">
      <c r="A261" s="1443">
        <v>4170</v>
      </c>
      <c r="B261" s="1451" t="s">
        <v>1236</v>
      </c>
      <c r="C261" s="1389"/>
      <c r="D261" s="830">
        <f t="shared" si="35"/>
        <v>0</v>
      </c>
      <c r="E261" s="1390">
        <f t="shared" si="34"/>
        <v>0</v>
      </c>
      <c r="F261" s="1366" t="e">
        <f t="shared" si="36"/>
        <v>#DIV/0!</v>
      </c>
      <c r="G261" s="1389"/>
      <c r="H261" s="1390"/>
      <c r="I261" s="1369" t="e">
        <f t="shared" si="33"/>
        <v>#DIV/0!</v>
      </c>
      <c r="J261" s="1445"/>
      <c r="K261" s="1390"/>
      <c r="L261" s="1446"/>
      <c r="M261" s="1390"/>
      <c r="N261" s="1390"/>
      <c r="O261" s="1447"/>
      <c r="P261" s="1389"/>
      <c r="Q261" s="1390"/>
      <c r="R261" s="1454"/>
    </row>
    <row r="262" spans="1:18" ht="24">
      <c r="A262" s="1443">
        <v>4210</v>
      </c>
      <c r="B262" s="1451" t="s">
        <v>794</v>
      </c>
      <c r="C262" s="1389">
        <f>SUM(C263:C267)</f>
        <v>557000</v>
      </c>
      <c r="D262" s="830">
        <f t="shared" si="35"/>
        <v>613000</v>
      </c>
      <c r="E262" s="830">
        <f t="shared" si="34"/>
        <v>322679</v>
      </c>
      <c r="F262" s="1366">
        <f t="shared" si="36"/>
        <v>52.639314845024465</v>
      </c>
      <c r="G262" s="1389">
        <f>SUM(G263:G267)</f>
        <v>613000</v>
      </c>
      <c r="H262" s="1390">
        <f>SUM(H263:H267)</f>
        <v>322679</v>
      </c>
      <c r="I262" s="1369">
        <f t="shared" si="33"/>
        <v>52.639314845024465</v>
      </c>
      <c r="J262" s="1445"/>
      <c r="K262" s="1390"/>
      <c r="L262" s="1446"/>
      <c r="M262" s="1390"/>
      <c r="N262" s="1390"/>
      <c r="O262" s="1447"/>
      <c r="P262" s="1389"/>
      <c r="Q262" s="1390"/>
      <c r="R262" s="1454"/>
    </row>
    <row r="263" spans="1:18" s="1285" customFormat="1" ht="12.75">
      <c r="A263" s="1499"/>
      <c r="B263" s="1597" t="s">
        <v>795</v>
      </c>
      <c r="C263" s="1501">
        <v>520000</v>
      </c>
      <c r="D263" s="1502">
        <f t="shared" si="35"/>
        <v>575000</v>
      </c>
      <c r="E263" s="1502">
        <f t="shared" si="34"/>
        <v>312264</v>
      </c>
      <c r="F263" s="1366">
        <f t="shared" si="36"/>
        <v>54.30678260869565</v>
      </c>
      <c r="G263" s="1501">
        <f>520000+55000</f>
        <v>575000</v>
      </c>
      <c r="H263" s="1502">
        <v>312264</v>
      </c>
      <c r="I263" s="1369">
        <f t="shared" si="33"/>
        <v>54.30678260869565</v>
      </c>
      <c r="J263" s="1504"/>
      <c r="K263" s="1502"/>
      <c r="L263" s="1503"/>
      <c r="M263" s="1502"/>
      <c r="N263" s="1502"/>
      <c r="O263" s="1506"/>
      <c r="P263" s="1501"/>
      <c r="Q263" s="1502"/>
      <c r="R263" s="1507"/>
    </row>
    <row r="264" spans="1:18" s="1285" customFormat="1" ht="12.75">
      <c r="A264" s="1499"/>
      <c r="B264" s="1597" t="s">
        <v>796</v>
      </c>
      <c r="C264" s="1501">
        <v>5000</v>
      </c>
      <c r="D264" s="1502">
        <f t="shared" si="35"/>
        <v>5000</v>
      </c>
      <c r="E264" s="1502">
        <f t="shared" si="34"/>
        <v>3130</v>
      </c>
      <c r="F264" s="1366">
        <f t="shared" si="36"/>
        <v>62.6</v>
      </c>
      <c r="G264" s="1501">
        <v>5000</v>
      </c>
      <c r="H264" s="1502">
        <v>3130</v>
      </c>
      <c r="I264" s="1369">
        <f t="shared" si="33"/>
        <v>62.6</v>
      </c>
      <c r="J264" s="1504"/>
      <c r="K264" s="1502"/>
      <c r="L264" s="1503"/>
      <c r="M264" s="1502"/>
      <c r="N264" s="1502"/>
      <c r="O264" s="1506"/>
      <c r="P264" s="1501"/>
      <c r="Q264" s="1502"/>
      <c r="R264" s="1507"/>
    </row>
    <row r="265" spans="1:18" s="1285" customFormat="1" ht="12.75">
      <c r="A265" s="1499"/>
      <c r="B265" s="1597" t="s">
        <v>797</v>
      </c>
      <c r="C265" s="1501"/>
      <c r="D265" s="1502">
        <f t="shared" si="35"/>
        <v>1000</v>
      </c>
      <c r="E265" s="1502">
        <f t="shared" si="34"/>
        <v>293</v>
      </c>
      <c r="F265" s="1366">
        <f t="shared" si="36"/>
        <v>29.299999999999997</v>
      </c>
      <c r="G265" s="1501">
        <v>1000</v>
      </c>
      <c r="H265" s="1502">
        <v>293</v>
      </c>
      <c r="I265" s="1369"/>
      <c r="J265" s="1504"/>
      <c r="K265" s="1502"/>
      <c r="L265" s="1503"/>
      <c r="M265" s="1502"/>
      <c r="N265" s="1502"/>
      <c r="O265" s="1506"/>
      <c r="P265" s="1501"/>
      <c r="Q265" s="1502"/>
      <c r="R265" s="1507"/>
    </row>
    <row r="266" spans="1:18" s="1285" customFormat="1" ht="12.75">
      <c r="A266" s="1499"/>
      <c r="B266" s="1597" t="s">
        <v>798</v>
      </c>
      <c r="C266" s="1501">
        <v>28000</v>
      </c>
      <c r="D266" s="1502">
        <f t="shared" si="35"/>
        <v>28000</v>
      </c>
      <c r="E266" s="1502">
        <f t="shared" si="34"/>
        <v>6992</v>
      </c>
      <c r="F266" s="1366">
        <f t="shared" si="36"/>
        <v>24.97142857142857</v>
      </c>
      <c r="G266" s="1501">
        <v>28000</v>
      </c>
      <c r="H266" s="1502">
        <v>6992</v>
      </c>
      <c r="I266" s="1369">
        <f t="shared" si="33"/>
        <v>24.97142857142857</v>
      </c>
      <c r="J266" s="1504"/>
      <c r="K266" s="1502"/>
      <c r="L266" s="1503"/>
      <c r="M266" s="1502"/>
      <c r="N266" s="1502"/>
      <c r="O266" s="1506"/>
      <c r="P266" s="1501"/>
      <c r="Q266" s="1502"/>
      <c r="R266" s="1507"/>
    </row>
    <row r="267" spans="1:18" s="1285" customFormat="1" ht="12.75">
      <c r="A267" s="1499"/>
      <c r="B267" s="1597" t="s">
        <v>799</v>
      </c>
      <c r="C267" s="1501">
        <v>4000</v>
      </c>
      <c r="D267" s="1502">
        <f t="shared" si="35"/>
        <v>4000</v>
      </c>
      <c r="E267" s="1502">
        <f t="shared" si="34"/>
        <v>0</v>
      </c>
      <c r="F267" s="1366">
        <f t="shared" si="36"/>
        <v>0</v>
      </c>
      <c r="G267" s="1501">
        <v>4000</v>
      </c>
      <c r="H267" s="1502"/>
      <c r="I267" s="1369"/>
      <c r="J267" s="1504"/>
      <c r="K267" s="1502"/>
      <c r="L267" s="1503"/>
      <c r="M267" s="1502"/>
      <c r="N267" s="1502"/>
      <c r="O267" s="1506"/>
      <c r="P267" s="1501"/>
      <c r="Q267" s="1502"/>
      <c r="R267" s="1507"/>
    </row>
    <row r="268" spans="1:18" ht="36">
      <c r="A268" s="1443">
        <v>4240</v>
      </c>
      <c r="B268" s="1451" t="s">
        <v>758</v>
      </c>
      <c r="C268" s="1389">
        <v>7000</v>
      </c>
      <c r="D268" s="830">
        <f t="shared" si="35"/>
        <v>7000</v>
      </c>
      <c r="E268" s="1390">
        <f t="shared" si="34"/>
        <v>4654</v>
      </c>
      <c r="F268" s="1366">
        <f t="shared" si="36"/>
        <v>66.48571428571428</v>
      </c>
      <c r="G268" s="1389">
        <v>7000</v>
      </c>
      <c r="H268" s="1390">
        <v>4654</v>
      </c>
      <c r="I268" s="1369">
        <f t="shared" si="33"/>
        <v>66.48571428571428</v>
      </c>
      <c r="J268" s="1445"/>
      <c r="K268" s="1390"/>
      <c r="L268" s="1446"/>
      <c r="M268" s="1390"/>
      <c r="N268" s="1390"/>
      <c r="O268" s="1447"/>
      <c r="P268" s="1389"/>
      <c r="Q268" s="1390"/>
      <c r="R268" s="1454"/>
    </row>
    <row r="269" spans="1:18" ht="12.75">
      <c r="A269" s="1443">
        <v>4260</v>
      </c>
      <c r="B269" s="1451" t="s">
        <v>694</v>
      </c>
      <c r="C269" s="1389">
        <v>406000</v>
      </c>
      <c r="D269" s="830">
        <f t="shared" si="35"/>
        <v>406000</v>
      </c>
      <c r="E269" s="1390">
        <f t="shared" si="34"/>
        <v>234623</v>
      </c>
      <c r="F269" s="1366">
        <f t="shared" si="36"/>
        <v>57.78891625615764</v>
      </c>
      <c r="G269" s="1389">
        <v>406000</v>
      </c>
      <c r="H269" s="1390">
        <v>234623</v>
      </c>
      <c r="I269" s="1369">
        <f t="shared" si="33"/>
        <v>57.78891625615764</v>
      </c>
      <c r="J269" s="1445"/>
      <c r="K269" s="1390"/>
      <c r="L269" s="1446"/>
      <c r="M269" s="1390"/>
      <c r="N269" s="1390"/>
      <c r="O269" s="1447"/>
      <c r="P269" s="1389"/>
      <c r="Q269" s="1390"/>
      <c r="R269" s="1454"/>
    </row>
    <row r="270" spans="1:18" ht="24">
      <c r="A270" s="1443">
        <v>4270</v>
      </c>
      <c r="B270" s="1451" t="s">
        <v>800</v>
      </c>
      <c r="C270" s="1389">
        <f>SUM(C271:C272)</f>
        <v>555000</v>
      </c>
      <c r="D270" s="830">
        <f t="shared" si="35"/>
        <v>540000</v>
      </c>
      <c r="E270" s="1390">
        <f t="shared" si="34"/>
        <v>98499</v>
      </c>
      <c r="F270" s="1366">
        <f t="shared" si="36"/>
        <v>18.240555555555556</v>
      </c>
      <c r="G270" s="1389">
        <f>SUM(G271:G272)</f>
        <v>540000</v>
      </c>
      <c r="H270" s="1390">
        <f>SUM(H271:H272)</f>
        <v>98499</v>
      </c>
      <c r="I270" s="1369">
        <f t="shared" si="33"/>
        <v>18.240555555555556</v>
      </c>
      <c r="J270" s="1445"/>
      <c r="K270" s="1390"/>
      <c r="L270" s="1446"/>
      <c r="M270" s="1390"/>
      <c r="N270" s="1390"/>
      <c r="O270" s="1447"/>
      <c r="P270" s="1389"/>
      <c r="Q270" s="1390"/>
      <c r="R270" s="1454"/>
    </row>
    <row r="271" spans="1:18" s="1285" customFormat="1" ht="12">
      <c r="A271" s="1499"/>
      <c r="B271" s="1597" t="s">
        <v>801</v>
      </c>
      <c r="C271" s="1598">
        <v>520000</v>
      </c>
      <c r="D271" s="1600">
        <f t="shared" si="35"/>
        <v>505000</v>
      </c>
      <c r="E271" s="1600">
        <f t="shared" si="34"/>
        <v>85058</v>
      </c>
      <c r="F271" s="1366">
        <f t="shared" si="36"/>
        <v>16.843168316831683</v>
      </c>
      <c r="G271" s="1598">
        <f>520000-15000</f>
        <v>505000</v>
      </c>
      <c r="H271" s="1600">
        <f>85057+1</f>
        <v>85058</v>
      </c>
      <c r="I271" s="1369">
        <f t="shared" si="33"/>
        <v>16.843168316831683</v>
      </c>
      <c r="J271" s="1601"/>
      <c r="K271" s="1600"/>
      <c r="L271" s="1503"/>
      <c r="M271" s="1600"/>
      <c r="N271" s="1600"/>
      <c r="O271" s="1503"/>
      <c r="P271" s="1598"/>
      <c r="Q271" s="1600"/>
      <c r="R271" s="1602"/>
    </row>
    <row r="272" spans="1:18" s="1285" customFormat="1" ht="12">
      <c r="A272" s="1499"/>
      <c r="B272" s="1597" t="s">
        <v>798</v>
      </c>
      <c r="C272" s="1598">
        <v>35000</v>
      </c>
      <c r="D272" s="1600">
        <f t="shared" si="35"/>
        <v>35000</v>
      </c>
      <c r="E272" s="1600">
        <f t="shared" si="34"/>
        <v>13441</v>
      </c>
      <c r="F272" s="1366">
        <f t="shared" si="36"/>
        <v>38.402857142857144</v>
      </c>
      <c r="G272" s="1598">
        <v>35000</v>
      </c>
      <c r="H272" s="1600">
        <v>13441</v>
      </c>
      <c r="I272" s="1369">
        <f t="shared" si="33"/>
        <v>38.402857142857144</v>
      </c>
      <c r="J272" s="1601"/>
      <c r="K272" s="1600"/>
      <c r="L272" s="1503"/>
      <c r="M272" s="1600"/>
      <c r="N272" s="1600"/>
      <c r="O272" s="1503"/>
      <c r="P272" s="1598"/>
      <c r="Q272" s="1600"/>
      <c r="R272" s="1602"/>
    </row>
    <row r="273" spans="1:18" s="1286" customFormat="1" ht="12">
      <c r="A273" s="1512">
        <v>4280</v>
      </c>
      <c r="B273" s="1574" t="s">
        <v>745</v>
      </c>
      <c r="C273" s="1603">
        <v>13000</v>
      </c>
      <c r="D273" s="1599">
        <f t="shared" si="35"/>
        <v>13000</v>
      </c>
      <c r="E273" s="1599">
        <f t="shared" si="34"/>
        <v>4660</v>
      </c>
      <c r="F273" s="1366">
        <f t="shared" si="36"/>
        <v>35.84615384615385</v>
      </c>
      <c r="G273" s="1603">
        <v>13000</v>
      </c>
      <c r="H273" s="1599">
        <v>4660</v>
      </c>
      <c r="I273" s="1369">
        <f t="shared" si="33"/>
        <v>35.84615384615385</v>
      </c>
      <c r="J273" s="1604"/>
      <c r="K273" s="1599"/>
      <c r="L273" s="1446"/>
      <c r="M273" s="1599"/>
      <c r="N273" s="1599"/>
      <c r="O273" s="1446"/>
      <c r="P273" s="1603"/>
      <c r="Q273" s="1599"/>
      <c r="R273" s="1605"/>
    </row>
    <row r="274" spans="1:18" ht="24">
      <c r="A274" s="1443">
        <v>4300</v>
      </c>
      <c r="B274" s="1451" t="s">
        <v>802</v>
      </c>
      <c r="C274" s="1389">
        <f>SUM(C275:C281)</f>
        <v>1705790</v>
      </c>
      <c r="D274" s="830">
        <f t="shared" si="35"/>
        <v>1652340</v>
      </c>
      <c r="E274" s="1390">
        <f>H274+K274+Q274+N274</f>
        <v>654321</v>
      </c>
      <c r="F274" s="1366">
        <f t="shared" si="36"/>
        <v>39.59965866589201</v>
      </c>
      <c r="G274" s="1389">
        <f>SUM(G275:G281)</f>
        <v>1652340</v>
      </c>
      <c r="H274" s="1390">
        <f>SUM(H275:H281)</f>
        <v>654321</v>
      </c>
      <c r="I274" s="1369">
        <f t="shared" si="33"/>
        <v>39.59965866589201</v>
      </c>
      <c r="J274" s="1445"/>
      <c r="K274" s="1390"/>
      <c r="L274" s="1446"/>
      <c r="M274" s="1390"/>
      <c r="N274" s="1390"/>
      <c r="O274" s="1447"/>
      <c r="P274" s="1389"/>
      <c r="Q274" s="1390"/>
      <c r="R274" s="1454"/>
    </row>
    <row r="275" spans="1:18" s="1285" customFormat="1" ht="12.75" hidden="1">
      <c r="A275" s="1499"/>
      <c r="B275" s="1597" t="s">
        <v>803</v>
      </c>
      <c r="C275" s="1598"/>
      <c r="D275" s="830">
        <f t="shared" si="35"/>
        <v>0</v>
      </c>
      <c r="E275" s="1390">
        <f>H275+K275+Q275+N275</f>
        <v>0</v>
      </c>
      <c r="F275" s="1366"/>
      <c r="G275" s="1598"/>
      <c r="H275" s="1600"/>
      <c r="I275" s="1369"/>
      <c r="J275" s="1601"/>
      <c r="K275" s="1600"/>
      <c r="L275" s="1503"/>
      <c r="M275" s="1600"/>
      <c r="N275" s="1600"/>
      <c r="O275" s="1503"/>
      <c r="P275" s="1598"/>
      <c r="Q275" s="1600"/>
      <c r="R275" s="1602"/>
    </row>
    <row r="276" spans="1:18" s="1285" customFormat="1" ht="12">
      <c r="A276" s="1499"/>
      <c r="B276" s="1597" t="s">
        <v>801</v>
      </c>
      <c r="C276" s="1598">
        <v>1360000</v>
      </c>
      <c r="D276" s="1600">
        <f t="shared" si="35"/>
        <v>1306550</v>
      </c>
      <c r="E276" s="1599">
        <f aca="true" t="shared" si="37" ref="E276:E305">SUM(H276+K276+N276+Q276)</f>
        <v>525021</v>
      </c>
      <c r="F276" s="1366">
        <f>E276/D276*100</f>
        <v>40.18376640771498</v>
      </c>
      <c r="G276" s="1598">
        <f>1360000-28450-25000</f>
        <v>1306550</v>
      </c>
      <c r="H276" s="1600">
        <v>525021</v>
      </c>
      <c r="I276" s="1369">
        <f t="shared" si="33"/>
        <v>40.18376640771498</v>
      </c>
      <c r="J276" s="1601"/>
      <c r="K276" s="1600"/>
      <c r="L276" s="1503"/>
      <c r="M276" s="1600"/>
      <c r="N276" s="1600"/>
      <c r="O276" s="1503"/>
      <c r="P276" s="1598"/>
      <c r="Q276" s="1600"/>
      <c r="R276" s="1602"/>
    </row>
    <row r="277" spans="1:18" s="1285" customFormat="1" ht="12" hidden="1">
      <c r="A277" s="1499"/>
      <c r="B277" s="1597" t="s">
        <v>804</v>
      </c>
      <c r="C277" s="1598"/>
      <c r="D277" s="1600">
        <f t="shared" si="35"/>
        <v>0</v>
      </c>
      <c r="E277" s="1599">
        <f t="shared" si="37"/>
        <v>0</v>
      </c>
      <c r="F277" s="1366" t="e">
        <f>E277/D277*100</f>
        <v>#DIV/0!</v>
      </c>
      <c r="G277" s="1598"/>
      <c r="H277" s="1600"/>
      <c r="I277" s="1369" t="e">
        <f t="shared" si="33"/>
        <v>#DIV/0!</v>
      </c>
      <c r="J277" s="1601"/>
      <c r="K277" s="1600"/>
      <c r="L277" s="1503"/>
      <c r="M277" s="1600"/>
      <c r="N277" s="1600"/>
      <c r="O277" s="1503"/>
      <c r="P277" s="1598"/>
      <c r="Q277" s="1600"/>
      <c r="R277" s="1602"/>
    </row>
    <row r="278" spans="1:18" s="1285" customFormat="1" ht="11.25" customHeight="1">
      <c r="A278" s="1499"/>
      <c r="B278" s="1597" t="s">
        <v>805</v>
      </c>
      <c r="C278" s="1598">
        <v>30000</v>
      </c>
      <c r="D278" s="1600">
        <f t="shared" si="35"/>
        <v>30000</v>
      </c>
      <c r="E278" s="1599">
        <f t="shared" si="37"/>
        <v>6299</v>
      </c>
      <c r="F278" s="1366">
        <f>E278/D278*100</f>
        <v>20.996666666666666</v>
      </c>
      <c r="G278" s="1598">
        <v>30000</v>
      </c>
      <c r="H278" s="1600">
        <v>6299</v>
      </c>
      <c r="I278" s="1369">
        <f t="shared" si="33"/>
        <v>20.996666666666666</v>
      </c>
      <c r="J278" s="1601"/>
      <c r="K278" s="1600"/>
      <c r="L278" s="1503"/>
      <c r="M278" s="1600"/>
      <c r="N278" s="1600"/>
      <c r="O278" s="1503"/>
      <c r="P278" s="1598"/>
      <c r="Q278" s="1600"/>
      <c r="R278" s="1602"/>
    </row>
    <row r="279" spans="1:18" s="1285" customFormat="1" ht="24" hidden="1">
      <c r="A279" s="1499"/>
      <c r="B279" s="1597" t="s">
        <v>806</v>
      </c>
      <c r="C279" s="1598"/>
      <c r="D279" s="1600">
        <f t="shared" si="35"/>
        <v>0</v>
      </c>
      <c r="E279" s="1599">
        <f t="shared" si="37"/>
        <v>0</v>
      </c>
      <c r="F279" s="1366"/>
      <c r="G279" s="1598"/>
      <c r="H279" s="1600"/>
      <c r="I279" s="1369"/>
      <c r="J279" s="1601"/>
      <c r="K279" s="1600"/>
      <c r="L279" s="1503"/>
      <c r="M279" s="1600"/>
      <c r="N279" s="1600"/>
      <c r="O279" s="1503"/>
      <c r="P279" s="1598"/>
      <c r="Q279" s="1600"/>
      <c r="R279" s="1602"/>
    </row>
    <row r="280" spans="1:18" s="1285" customFormat="1" ht="12" hidden="1">
      <c r="A280" s="1499"/>
      <c r="B280" s="1597" t="s">
        <v>790</v>
      </c>
      <c r="C280" s="1598"/>
      <c r="D280" s="1600">
        <f t="shared" si="35"/>
        <v>0</v>
      </c>
      <c r="E280" s="1600">
        <f t="shared" si="37"/>
        <v>0</v>
      </c>
      <c r="F280" s="1366" t="e">
        <f aca="true" t="shared" si="38" ref="F280:F296">E280/D280*100</f>
        <v>#DIV/0!</v>
      </c>
      <c r="G280" s="1598"/>
      <c r="H280" s="1600"/>
      <c r="I280" s="1369" t="e">
        <f t="shared" si="33"/>
        <v>#DIV/0!</v>
      </c>
      <c r="J280" s="1601"/>
      <c r="K280" s="1600"/>
      <c r="L280" s="1503"/>
      <c r="M280" s="1600"/>
      <c r="N280" s="1600"/>
      <c r="O280" s="1503"/>
      <c r="P280" s="1598"/>
      <c r="Q280" s="1600"/>
      <c r="R280" s="1602"/>
    </row>
    <row r="281" spans="1:18" s="1285" customFormat="1" ht="12">
      <c r="A281" s="1499"/>
      <c r="B281" s="1597" t="s">
        <v>807</v>
      </c>
      <c r="C281" s="1598">
        <v>315790</v>
      </c>
      <c r="D281" s="1600">
        <f t="shared" si="35"/>
        <v>315790</v>
      </c>
      <c r="E281" s="1600">
        <f t="shared" si="37"/>
        <v>123001</v>
      </c>
      <c r="F281" s="1366">
        <f t="shared" si="38"/>
        <v>38.95025174958042</v>
      </c>
      <c r="G281" s="1598">
        <v>315790</v>
      </c>
      <c r="H281" s="1600">
        <v>123001</v>
      </c>
      <c r="I281" s="1369">
        <f t="shared" si="33"/>
        <v>38.95025174958042</v>
      </c>
      <c r="J281" s="1601"/>
      <c r="K281" s="1600"/>
      <c r="L281" s="1503"/>
      <c r="M281" s="1600"/>
      <c r="N281" s="1600"/>
      <c r="O281" s="1503"/>
      <c r="P281" s="1598"/>
      <c r="Q281" s="1600"/>
      <c r="R281" s="1602"/>
    </row>
    <row r="282" spans="1:18" s="1286" customFormat="1" ht="24" hidden="1">
      <c r="A282" s="1512">
        <v>4307</v>
      </c>
      <c r="B282" s="1574" t="s">
        <v>808</v>
      </c>
      <c r="C282" s="1603"/>
      <c r="D282" s="830">
        <f t="shared" si="35"/>
        <v>0</v>
      </c>
      <c r="E282" s="1390">
        <f t="shared" si="37"/>
        <v>0</v>
      </c>
      <c r="F282" s="1366" t="e">
        <f t="shared" si="38"/>
        <v>#DIV/0!</v>
      </c>
      <c r="G282" s="1603"/>
      <c r="H282" s="1599"/>
      <c r="I282" s="1369" t="e">
        <f t="shared" si="33"/>
        <v>#DIV/0!</v>
      </c>
      <c r="J282" s="1604"/>
      <c r="K282" s="1599"/>
      <c r="L282" s="1446"/>
      <c r="M282" s="1599"/>
      <c r="N282" s="1599"/>
      <c r="O282" s="1446"/>
      <c r="P282" s="1604"/>
      <c r="Q282" s="1599"/>
      <c r="R282" s="1605"/>
    </row>
    <row r="283" spans="1:18" ht="24">
      <c r="A283" s="1443">
        <v>4350</v>
      </c>
      <c r="B283" s="1451" t="s">
        <v>1237</v>
      </c>
      <c r="C283" s="1389">
        <v>25000</v>
      </c>
      <c r="D283" s="830">
        <f t="shared" si="35"/>
        <v>25000</v>
      </c>
      <c r="E283" s="1390">
        <f t="shared" si="37"/>
        <v>11225</v>
      </c>
      <c r="F283" s="1366">
        <f t="shared" si="38"/>
        <v>44.9</v>
      </c>
      <c r="G283" s="1389">
        <v>25000</v>
      </c>
      <c r="H283" s="1390">
        <v>11225</v>
      </c>
      <c r="I283" s="1369">
        <f t="shared" si="33"/>
        <v>44.9</v>
      </c>
      <c r="J283" s="1445"/>
      <c r="K283" s="1390"/>
      <c r="L283" s="1446"/>
      <c r="M283" s="1390"/>
      <c r="N283" s="1390"/>
      <c r="O283" s="1447"/>
      <c r="P283" s="1390"/>
      <c r="Q283" s="1390"/>
      <c r="R283" s="1454"/>
    </row>
    <row r="284" spans="1:18" ht="24">
      <c r="A284" s="1443">
        <v>4350</v>
      </c>
      <c r="B284" s="1451" t="s">
        <v>1238</v>
      </c>
      <c r="C284" s="1389">
        <v>10000</v>
      </c>
      <c r="D284" s="830">
        <f t="shared" si="35"/>
        <v>10000</v>
      </c>
      <c r="E284" s="1390">
        <f t="shared" si="37"/>
        <v>5002</v>
      </c>
      <c r="F284" s="1366">
        <f t="shared" si="38"/>
        <v>50.019999999999996</v>
      </c>
      <c r="G284" s="1389">
        <v>10000</v>
      </c>
      <c r="H284" s="1390">
        <v>5002</v>
      </c>
      <c r="I284" s="1369">
        <f t="shared" si="33"/>
        <v>50.019999999999996</v>
      </c>
      <c r="J284" s="1445"/>
      <c r="K284" s="1390"/>
      <c r="L284" s="1446"/>
      <c r="M284" s="1390"/>
      <c r="N284" s="1390"/>
      <c r="O284" s="1447"/>
      <c r="P284" s="1390"/>
      <c r="Q284" s="1390"/>
      <c r="R284" s="1454"/>
    </row>
    <row r="285" spans="1:18" ht="12.75">
      <c r="A285" s="1443">
        <v>4410</v>
      </c>
      <c r="B285" s="1451" t="s">
        <v>672</v>
      </c>
      <c r="C285" s="1389">
        <v>170000</v>
      </c>
      <c r="D285" s="830">
        <f t="shared" si="35"/>
        <v>170000</v>
      </c>
      <c r="E285" s="1390">
        <f t="shared" si="37"/>
        <v>84612</v>
      </c>
      <c r="F285" s="1366">
        <f t="shared" si="38"/>
        <v>49.771764705882354</v>
      </c>
      <c r="G285" s="1389">
        <v>170000</v>
      </c>
      <c r="H285" s="1390">
        <v>84612</v>
      </c>
      <c r="I285" s="1369">
        <f t="shared" si="33"/>
        <v>49.771764705882354</v>
      </c>
      <c r="J285" s="1445"/>
      <c r="K285" s="1390"/>
      <c r="L285" s="1446"/>
      <c r="M285" s="1390"/>
      <c r="N285" s="1390"/>
      <c r="O285" s="1447"/>
      <c r="P285" s="1390"/>
      <c r="Q285" s="1390"/>
      <c r="R285" s="1454"/>
    </row>
    <row r="286" spans="1:18" ht="24">
      <c r="A286" s="1443">
        <v>4420</v>
      </c>
      <c r="B286" s="1451" t="s">
        <v>809</v>
      </c>
      <c r="C286" s="1389">
        <v>65000</v>
      </c>
      <c r="D286" s="830">
        <f t="shared" si="35"/>
        <v>65000</v>
      </c>
      <c r="E286" s="1390">
        <f t="shared" si="37"/>
        <v>39800</v>
      </c>
      <c r="F286" s="1366">
        <f t="shared" si="38"/>
        <v>61.23076923076923</v>
      </c>
      <c r="G286" s="1389">
        <v>65000</v>
      </c>
      <c r="H286" s="1390">
        <v>39800</v>
      </c>
      <c r="I286" s="1369">
        <f t="shared" si="33"/>
        <v>61.23076923076923</v>
      </c>
      <c r="J286" s="1445"/>
      <c r="K286" s="1390"/>
      <c r="L286" s="1446"/>
      <c r="M286" s="1390"/>
      <c r="N286" s="1390"/>
      <c r="O286" s="1447"/>
      <c r="P286" s="1390"/>
      <c r="Q286" s="1390"/>
      <c r="R286" s="1454"/>
    </row>
    <row r="287" spans="1:18" ht="12.75">
      <c r="A287" s="1443">
        <v>4430</v>
      </c>
      <c r="B287" s="1451" t="s">
        <v>1239</v>
      </c>
      <c r="C287" s="1389">
        <v>68310</v>
      </c>
      <c r="D287" s="830">
        <f t="shared" si="35"/>
        <v>96760</v>
      </c>
      <c r="E287" s="1390">
        <f t="shared" si="37"/>
        <v>39343</v>
      </c>
      <c r="F287" s="1366">
        <f t="shared" si="38"/>
        <v>40.66039685820587</v>
      </c>
      <c r="G287" s="1389">
        <f>68310+28450</f>
        <v>96760</v>
      </c>
      <c r="H287" s="1390">
        <v>39343</v>
      </c>
      <c r="I287" s="1369">
        <f t="shared" si="33"/>
        <v>40.66039685820587</v>
      </c>
      <c r="J287" s="1445"/>
      <c r="K287" s="1390"/>
      <c r="L287" s="1446"/>
      <c r="M287" s="1390"/>
      <c r="N287" s="1390"/>
      <c r="O287" s="1447"/>
      <c r="P287" s="1390"/>
      <c r="Q287" s="1390"/>
      <c r="R287" s="1454"/>
    </row>
    <row r="288" spans="1:18" ht="12.75">
      <c r="A288" s="1443">
        <v>4430</v>
      </c>
      <c r="B288" s="1451" t="s">
        <v>1240</v>
      </c>
      <c r="C288" s="1389"/>
      <c r="D288" s="830">
        <f t="shared" si="35"/>
        <v>10000</v>
      </c>
      <c r="E288" s="1390">
        <f>SUM(H288+K288+N288+Q288)</f>
        <v>510</v>
      </c>
      <c r="F288" s="1366">
        <f t="shared" si="38"/>
        <v>5.1</v>
      </c>
      <c r="G288" s="1389">
        <v>10000</v>
      </c>
      <c r="H288" s="1390">
        <v>510</v>
      </c>
      <c r="I288" s="1369">
        <f t="shared" si="33"/>
        <v>5.1</v>
      </c>
      <c r="J288" s="1445"/>
      <c r="K288" s="1390"/>
      <c r="L288" s="1446"/>
      <c r="M288" s="1390"/>
      <c r="N288" s="1390"/>
      <c r="O288" s="1447"/>
      <c r="P288" s="1390"/>
      <c r="Q288" s="1390"/>
      <c r="R288" s="1454"/>
    </row>
    <row r="289" spans="1:18" ht="14.25" customHeight="1">
      <c r="A289" s="1443">
        <v>4440</v>
      </c>
      <c r="B289" s="1451" t="s">
        <v>702</v>
      </c>
      <c r="C289" s="1389">
        <v>242710</v>
      </c>
      <c r="D289" s="830">
        <f t="shared" si="35"/>
        <v>242710</v>
      </c>
      <c r="E289" s="1390">
        <f t="shared" si="37"/>
        <v>215920</v>
      </c>
      <c r="F289" s="1366">
        <f t="shared" si="38"/>
        <v>88.96213588232871</v>
      </c>
      <c r="G289" s="1389">
        <v>242710</v>
      </c>
      <c r="H289" s="1390">
        <v>215920</v>
      </c>
      <c r="I289" s="1369">
        <f t="shared" si="33"/>
        <v>88.96213588232871</v>
      </c>
      <c r="J289" s="1445"/>
      <c r="K289" s="1390"/>
      <c r="L289" s="1446"/>
      <c r="M289" s="1390"/>
      <c r="N289" s="1390"/>
      <c r="O289" s="1447"/>
      <c r="P289" s="1390"/>
      <c r="Q289" s="1390"/>
      <c r="R289" s="1454"/>
    </row>
    <row r="290" spans="1:18" ht="12.75" customHeight="1">
      <c r="A290" s="1443">
        <v>4580</v>
      </c>
      <c r="B290" s="1451" t="s">
        <v>750</v>
      </c>
      <c r="C290" s="1389">
        <v>5000</v>
      </c>
      <c r="D290" s="830">
        <f t="shared" si="35"/>
        <v>5000</v>
      </c>
      <c r="E290" s="1390">
        <f t="shared" si="37"/>
        <v>0</v>
      </c>
      <c r="F290" s="1366">
        <f t="shared" si="38"/>
        <v>0</v>
      </c>
      <c r="G290" s="1389">
        <v>5000</v>
      </c>
      <c r="H290" s="1390"/>
      <c r="I290" s="1369">
        <f t="shared" si="33"/>
        <v>0</v>
      </c>
      <c r="J290" s="1445"/>
      <c r="K290" s="1390"/>
      <c r="L290" s="1446"/>
      <c r="M290" s="1390"/>
      <c r="N290" s="1390"/>
      <c r="O290" s="1447"/>
      <c r="P290" s="1390"/>
      <c r="Q290" s="1390"/>
      <c r="R290" s="1454"/>
    </row>
    <row r="291" spans="1:18" ht="24">
      <c r="A291" s="1443">
        <v>4610</v>
      </c>
      <c r="B291" s="1451" t="s">
        <v>810</v>
      </c>
      <c r="C291" s="1389">
        <v>50000</v>
      </c>
      <c r="D291" s="830">
        <f t="shared" si="35"/>
        <v>70000</v>
      </c>
      <c r="E291" s="1390">
        <f t="shared" si="37"/>
        <v>26258</v>
      </c>
      <c r="F291" s="1366">
        <f t="shared" si="38"/>
        <v>37.511428571428574</v>
      </c>
      <c r="G291" s="1389">
        <f>50000-10000+30000</f>
        <v>70000</v>
      </c>
      <c r="H291" s="1390">
        <v>26258</v>
      </c>
      <c r="I291" s="1369">
        <f t="shared" si="33"/>
        <v>37.511428571428574</v>
      </c>
      <c r="J291" s="1445"/>
      <c r="K291" s="1390"/>
      <c r="L291" s="1446"/>
      <c r="M291" s="1390"/>
      <c r="N291" s="1390"/>
      <c r="O291" s="1447"/>
      <c r="P291" s="1390"/>
      <c r="Q291" s="1390"/>
      <c r="R291" s="1454"/>
    </row>
    <row r="292" spans="1:18" ht="24">
      <c r="A292" s="1443">
        <v>4610</v>
      </c>
      <c r="B292" s="1451" t="s">
        <v>1241</v>
      </c>
      <c r="C292" s="1389"/>
      <c r="D292" s="830">
        <f t="shared" si="35"/>
        <v>4000</v>
      </c>
      <c r="E292" s="1390">
        <f>SUM(H292+K292+N292+Q292)</f>
        <v>0</v>
      </c>
      <c r="F292" s="1366">
        <f>E292/D292*100</f>
        <v>0</v>
      </c>
      <c r="G292" s="1389">
        <v>4000</v>
      </c>
      <c r="H292" s="1390"/>
      <c r="I292" s="1369">
        <f t="shared" si="33"/>
        <v>0</v>
      </c>
      <c r="J292" s="1445"/>
      <c r="K292" s="1390"/>
      <c r="L292" s="1446"/>
      <c r="M292" s="1390"/>
      <c r="N292" s="1390"/>
      <c r="O292" s="1447"/>
      <c r="P292" s="1390"/>
      <c r="Q292" s="1390"/>
      <c r="R292" s="1454"/>
    </row>
    <row r="293" spans="1:18" ht="24">
      <c r="A293" s="1443">
        <v>4610</v>
      </c>
      <c r="B293" s="1451" t="s">
        <v>811</v>
      </c>
      <c r="C293" s="1389">
        <v>10000</v>
      </c>
      <c r="D293" s="830">
        <f t="shared" si="35"/>
        <v>10000</v>
      </c>
      <c r="E293" s="1390">
        <f t="shared" si="37"/>
        <v>5763</v>
      </c>
      <c r="F293" s="1366">
        <f t="shared" si="38"/>
        <v>57.63</v>
      </c>
      <c r="G293" s="1389">
        <v>10000</v>
      </c>
      <c r="H293" s="1390">
        <f>5762+1</f>
        <v>5763</v>
      </c>
      <c r="I293" s="1369">
        <f t="shared" si="33"/>
        <v>57.63</v>
      </c>
      <c r="J293" s="1445"/>
      <c r="K293" s="1390"/>
      <c r="L293" s="1446"/>
      <c r="M293" s="1390"/>
      <c r="N293" s="1390"/>
      <c r="O293" s="1447"/>
      <c r="P293" s="1390"/>
      <c r="Q293" s="1390"/>
      <c r="R293" s="1454"/>
    </row>
    <row r="294" spans="1:18" ht="24" hidden="1">
      <c r="A294" s="1443">
        <v>6050</v>
      </c>
      <c r="B294" s="1451" t="s">
        <v>767</v>
      </c>
      <c r="C294" s="1389"/>
      <c r="D294" s="830">
        <f t="shared" si="35"/>
        <v>0</v>
      </c>
      <c r="E294" s="1390">
        <f t="shared" si="37"/>
        <v>0</v>
      </c>
      <c r="F294" s="1366" t="e">
        <f t="shared" si="38"/>
        <v>#DIV/0!</v>
      </c>
      <c r="G294" s="1389"/>
      <c r="H294" s="1390"/>
      <c r="I294" s="1369" t="e">
        <f t="shared" si="33"/>
        <v>#DIV/0!</v>
      </c>
      <c r="J294" s="1445"/>
      <c r="K294" s="1390"/>
      <c r="L294" s="1446"/>
      <c r="M294" s="1390"/>
      <c r="N294" s="1390"/>
      <c r="O294" s="1447"/>
      <c r="P294" s="1390"/>
      <c r="Q294" s="1390"/>
      <c r="R294" s="1454"/>
    </row>
    <row r="295" spans="1:18" ht="36">
      <c r="A295" s="1443">
        <v>6060</v>
      </c>
      <c r="B295" s="1451" t="s">
        <v>812</v>
      </c>
      <c r="C295" s="1389">
        <v>693400</v>
      </c>
      <c r="D295" s="830">
        <f t="shared" si="35"/>
        <v>693400</v>
      </c>
      <c r="E295" s="1390">
        <f t="shared" si="37"/>
        <v>33800</v>
      </c>
      <c r="F295" s="1366">
        <f t="shared" si="38"/>
        <v>4.874531295067782</v>
      </c>
      <c r="G295" s="1389">
        <v>693400</v>
      </c>
      <c r="H295" s="1390">
        <v>33800</v>
      </c>
      <c r="I295" s="1369">
        <f t="shared" si="33"/>
        <v>4.874531295067782</v>
      </c>
      <c r="J295" s="1445"/>
      <c r="K295" s="1390"/>
      <c r="L295" s="1446"/>
      <c r="M295" s="1390"/>
      <c r="N295" s="1390"/>
      <c r="O295" s="1447"/>
      <c r="P295" s="1390"/>
      <c r="Q295" s="1390"/>
      <c r="R295" s="1454"/>
    </row>
    <row r="296" spans="1:18" s="1608" customFormat="1" ht="16.5" customHeight="1">
      <c r="A296" s="1606">
        <v>75045</v>
      </c>
      <c r="B296" s="1529" t="s">
        <v>813</v>
      </c>
      <c r="C296" s="1438">
        <f>SUM(C297:C306)</f>
        <v>47500</v>
      </c>
      <c r="D296" s="845">
        <f t="shared" si="35"/>
        <v>47500</v>
      </c>
      <c r="E296" s="845">
        <f>H296+K296+Q296+N296</f>
        <v>35554</v>
      </c>
      <c r="F296" s="1381">
        <f t="shared" si="38"/>
        <v>74.85052631578948</v>
      </c>
      <c r="G296" s="1438"/>
      <c r="H296" s="1380"/>
      <c r="I296" s="1575"/>
      <c r="J296" s="1440"/>
      <c r="K296" s="1380"/>
      <c r="L296" s="1441"/>
      <c r="M296" s="1380">
        <f>SUM(M297:M306)</f>
        <v>11500</v>
      </c>
      <c r="N296" s="1380">
        <f>SUM(N297:N306)</f>
        <v>6406</v>
      </c>
      <c r="O296" s="1607">
        <f>N296/M296*100</f>
        <v>55.70434782608695</v>
      </c>
      <c r="P296" s="1440">
        <f>SUM(P297:P306)</f>
        <v>36000</v>
      </c>
      <c r="Q296" s="1380">
        <f>SUM(Q297:Q306)</f>
        <v>29148</v>
      </c>
      <c r="R296" s="1388">
        <f aca="true" t="shared" si="39" ref="R296:R304">Q296/P296*100</f>
        <v>80.96666666666667</v>
      </c>
    </row>
    <row r="297" spans="1:18" s="1608" customFormat="1" ht="24" customHeight="1" hidden="1">
      <c r="A297" s="1609">
        <v>3030</v>
      </c>
      <c r="B297" s="1451" t="s">
        <v>678</v>
      </c>
      <c r="C297" s="832"/>
      <c r="D297" s="830">
        <f t="shared" si="35"/>
        <v>0</v>
      </c>
      <c r="E297" s="1390">
        <f t="shared" si="37"/>
        <v>0</v>
      </c>
      <c r="F297" s="1366"/>
      <c r="G297" s="1523"/>
      <c r="H297" s="1524"/>
      <c r="I297" s="1446"/>
      <c r="J297" s="1525"/>
      <c r="K297" s="1524"/>
      <c r="L297" s="1526"/>
      <c r="M297" s="1524"/>
      <c r="N297" s="1524"/>
      <c r="O297" s="1447"/>
      <c r="P297" s="1572"/>
      <c r="Q297" s="1390"/>
      <c r="R297" s="1395"/>
    </row>
    <row r="298" spans="1:18" s="1608" customFormat="1" ht="23.25" customHeight="1">
      <c r="A298" s="1609">
        <v>4010</v>
      </c>
      <c r="B298" s="1451" t="s">
        <v>680</v>
      </c>
      <c r="C298" s="1389">
        <v>10000</v>
      </c>
      <c r="D298" s="830">
        <f t="shared" si="35"/>
        <v>10000</v>
      </c>
      <c r="E298" s="1390">
        <f t="shared" si="37"/>
        <v>8188</v>
      </c>
      <c r="F298" s="1366">
        <f aca="true" t="shared" si="40" ref="F298:F361">E298/D298*100</f>
        <v>81.88</v>
      </c>
      <c r="G298" s="1389"/>
      <c r="H298" s="1390"/>
      <c r="I298" s="1446"/>
      <c r="J298" s="1445"/>
      <c r="K298" s="1390"/>
      <c r="L298" s="1446"/>
      <c r="M298" s="1390"/>
      <c r="N298" s="1390"/>
      <c r="O298" s="1447"/>
      <c r="P298" s="1486">
        <v>10000</v>
      </c>
      <c r="Q298" s="1390">
        <v>8188</v>
      </c>
      <c r="R298" s="1395">
        <f t="shared" si="39"/>
        <v>81.88</v>
      </c>
    </row>
    <row r="299" spans="1:18" s="1608" customFormat="1" ht="24" customHeight="1">
      <c r="A299" s="1609">
        <v>4110</v>
      </c>
      <c r="B299" s="1451" t="s">
        <v>686</v>
      </c>
      <c r="C299" s="1389">
        <v>2000</v>
      </c>
      <c r="D299" s="830">
        <f t="shared" si="35"/>
        <v>2000</v>
      </c>
      <c r="E299" s="1390">
        <f t="shared" si="37"/>
        <v>1408</v>
      </c>
      <c r="F299" s="1366">
        <f t="shared" si="40"/>
        <v>70.39999999999999</v>
      </c>
      <c r="G299" s="1389"/>
      <c r="H299" s="1390"/>
      <c r="I299" s="1446"/>
      <c r="J299" s="1445"/>
      <c r="K299" s="1390"/>
      <c r="L299" s="1446"/>
      <c r="M299" s="1390"/>
      <c r="N299" s="1390"/>
      <c r="O299" s="1447"/>
      <c r="P299" s="1486">
        <v>2000</v>
      </c>
      <c r="Q299" s="1390">
        <v>1408</v>
      </c>
      <c r="R299" s="1369">
        <f t="shared" si="39"/>
        <v>70.39999999999999</v>
      </c>
    </row>
    <row r="300" spans="1:18" s="1608" customFormat="1" ht="12" customHeight="1">
      <c r="A300" s="1609">
        <v>4120</v>
      </c>
      <c r="B300" s="1451" t="s">
        <v>771</v>
      </c>
      <c r="C300" s="1389">
        <v>300</v>
      </c>
      <c r="D300" s="830">
        <f t="shared" si="35"/>
        <v>300</v>
      </c>
      <c r="E300" s="1390">
        <f t="shared" si="37"/>
        <v>201</v>
      </c>
      <c r="F300" s="1366">
        <f t="shared" si="40"/>
        <v>67</v>
      </c>
      <c r="G300" s="1389"/>
      <c r="H300" s="1390"/>
      <c r="I300" s="1446"/>
      <c r="J300" s="1445"/>
      <c r="K300" s="1390"/>
      <c r="L300" s="1446"/>
      <c r="M300" s="1390"/>
      <c r="N300" s="1390"/>
      <c r="O300" s="1447"/>
      <c r="P300" s="1486">
        <v>300</v>
      </c>
      <c r="Q300" s="1390">
        <v>201</v>
      </c>
      <c r="R300" s="1369">
        <f t="shared" si="39"/>
        <v>67</v>
      </c>
    </row>
    <row r="301" spans="1:18" s="1608" customFormat="1" ht="24">
      <c r="A301" s="1609">
        <v>4170</v>
      </c>
      <c r="B301" s="1451" t="s">
        <v>744</v>
      </c>
      <c r="C301" s="1389">
        <v>13000</v>
      </c>
      <c r="D301" s="830">
        <f t="shared" si="35"/>
        <v>10500</v>
      </c>
      <c r="E301" s="1390">
        <f t="shared" si="37"/>
        <v>9430</v>
      </c>
      <c r="F301" s="1366">
        <f t="shared" si="40"/>
        <v>89.80952380952381</v>
      </c>
      <c r="G301" s="1389"/>
      <c r="H301" s="1390"/>
      <c r="I301" s="1446"/>
      <c r="J301" s="1445"/>
      <c r="K301" s="1390"/>
      <c r="L301" s="1446"/>
      <c r="M301" s="1390"/>
      <c r="N301" s="1390"/>
      <c r="O301" s="1447"/>
      <c r="P301" s="1486">
        <f>13000-2500</f>
        <v>10500</v>
      </c>
      <c r="Q301" s="1390">
        <v>9430</v>
      </c>
      <c r="R301" s="1369">
        <f t="shared" si="39"/>
        <v>89.80952380952381</v>
      </c>
    </row>
    <row r="302" spans="1:18" s="1608" customFormat="1" ht="25.5" customHeight="1">
      <c r="A302" s="1609">
        <v>4210</v>
      </c>
      <c r="B302" s="1451" t="s">
        <v>690</v>
      </c>
      <c r="C302" s="1389">
        <v>3100</v>
      </c>
      <c r="D302" s="830">
        <f t="shared" si="35"/>
        <v>5600</v>
      </c>
      <c r="E302" s="1390">
        <f t="shared" si="37"/>
        <v>3892</v>
      </c>
      <c r="F302" s="1366">
        <f t="shared" si="40"/>
        <v>69.5</v>
      </c>
      <c r="G302" s="1389"/>
      <c r="H302" s="1390"/>
      <c r="I302" s="1446"/>
      <c r="J302" s="1445"/>
      <c r="K302" s="1390"/>
      <c r="L302" s="1446"/>
      <c r="M302" s="1390"/>
      <c r="N302" s="1390"/>
      <c r="O302" s="1447"/>
      <c r="P302" s="1486">
        <f>3100+2500</f>
        <v>5600</v>
      </c>
      <c r="Q302" s="1390">
        <v>3892</v>
      </c>
      <c r="R302" s="1395">
        <f t="shared" si="39"/>
        <v>69.5</v>
      </c>
    </row>
    <row r="303" spans="1:18" s="1608" customFormat="1" ht="16.5" customHeight="1">
      <c r="A303" s="1609">
        <v>4270</v>
      </c>
      <c r="B303" s="1451" t="s">
        <v>696</v>
      </c>
      <c r="C303" s="1389">
        <v>200</v>
      </c>
      <c r="D303" s="830">
        <f t="shared" si="35"/>
        <v>200</v>
      </c>
      <c r="E303" s="1390">
        <f t="shared" si="37"/>
        <v>0</v>
      </c>
      <c r="F303" s="1366">
        <f t="shared" si="40"/>
        <v>0</v>
      </c>
      <c r="G303" s="1389"/>
      <c r="H303" s="1390"/>
      <c r="I303" s="1446"/>
      <c r="J303" s="1445"/>
      <c r="K303" s="1390"/>
      <c r="L303" s="1446"/>
      <c r="M303" s="1390"/>
      <c r="N303" s="1390"/>
      <c r="O303" s="1447"/>
      <c r="P303" s="1486">
        <v>200</v>
      </c>
      <c r="Q303" s="1390"/>
      <c r="R303" s="1395">
        <f t="shared" si="39"/>
        <v>0</v>
      </c>
    </row>
    <row r="304" spans="1:18" s="1608" customFormat="1" ht="24">
      <c r="A304" s="1609">
        <v>4300</v>
      </c>
      <c r="B304" s="1451" t="s">
        <v>814</v>
      </c>
      <c r="C304" s="1389">
        <v>15700</v>
      </c>
      <c r="D304" s="830">
        <f t="shared" si="35"/>
        <v>15700</v>
      </c>
      <c r="E304" s="1390">
        <f t="shared" si="37"/>
        <v>12435</v>
      </c>
      <c r="F304" s="1366">
        <f t="shared" si="40"/>
        <v>79.20382165605095</v>
      </c>
      <c r="G304" s="1389"/>
      <c r="H304" s="1390"/>
      <c r="I304" s="1446"/>
      <c r="J304" s="1445"/>
      <c r="K304" s="1390"/>
      <c r="L304" s="1446"/>
      <c r="M304" s="1390">
        <v>8500</v>
      </c>
      <c r="N304" s="1390">
        <v>6406</v>
      </c>
      <c r="O304" s="1369">
        <f>N304/M304*100</f>
        <v>75.36470588235295</v>
      </c>
      <c r="P304" s="1486">
        <f>15700-8500</f>
        <v>7200</v>
      </c>
      <c r="Q304" s="1390">
        <v>6029</v>
      </c>
      <c r="R304" s="1369">
        <f t="shared" si="39"/>
        <v>83.73611111111111</v>
      </c>
    </row>
    <row r="305" spans="1:18" s="1608" customFormat="1" ht="24">
      <c r="A305" s="1609">
        <v>4300</v>
      </c>
      <c r="B305" s="1451" t="s">
        <v>815</v>
      </c>
      <c r="C305" s="1389">
        <v>3000</v>
      </c>
      <c r="D305" s="830">
        <f t="shared" si="35"/>
        <v>3000</v>
      </c>
      <c r="E305" s="1390">
        <f t="shared" si="37"/>
        <v>0</v>
      </c>
      <c r="F305" s="1366">
        <f t="shared" si="40"/>
        <v>0</v>
      </c>
      <c r="G305" s="1389"/>
      <c r="H305" s="1390"/>
      <c r="I305" s="1446"/>
      <c r="J305" s="1445"/>
      <c r="K305" s="1445"/>
      <c r="L305" s="1446"/>
      <c r="M305" s="1390">
        <v>3000</v>
      </c>
      <c r="N305" s="1390"/>
      <c r="O305" s="1369">
        <f>N305/M305*100</f>
        <v>0</v>
      </c>
      <c r="P305" s="1578"/>
      <c r="Q305" s="1390"/>
      <c r="R305" s="1369"/>
    </row>
    <row r="306" spans="1:18" s="1608" customFormat="1" ht="14.25" customHeight="1">
      <c r="A306" s="1610">
        <v>4410</v>
      </c>
      <c r="B306" s="1493" t="s">
        <v>672</v>
      </c>
      <c r="C306" s="1494">
        <v>200</v>
      </c>
      <c r="D306" s="830">
        <f t="shared" si="35"/>
        <v>200</v>
      </c>
      <c r="E306" s="1390">
        <f>SUM(H306+K306+N306+Q306)</f>
        <v>0</v>
      </c>
      <c r="F306" s="1366">
        <f t="shared" si="40"/>
        <v>0</v>
      </c>
      <c r="G306" s="1494"/>
      <c r="H306" s="1487"/>
      <c r="I306" s="1551"/>
      <c r="J306" s="1495"/>
      <c r="K306" s="1495"/>
      <c r="L306" s="1551"/>
      <c r="M306" s="1487"/>
      <c r="N306" s="1487"/>
      <c r="O306" s="1420"/>
      <c r="P306" s="1611">
        <v>200</v>
      </c>
      <c r="Q306" s="1487"/>
      <c r="R306" s="1369">
        <f>Q306/P306*100</f>
        <v>0</v>
      </c>
    </row>
    <row r="307" spans="1:18" s="719" customFormat="1" ht="27.75" customHeight="1">
      <c r="A307" s="1612">
        <v>75075</v>
      </c>
      <c r="B307" s="1576" t="s">
        <v>935</v>
      </c>
      <c r="C307" s="823">
        <f>SUM(C308:C312)+C319+C326</f>
        <v>1120880</v>
      </c>
      <c r="D307" s="845">
        <f t="shared" si="35"/>
        <v>1391572</v>
      </c>
      <c r="E307" s="845">
        <f>H307+K307+Q307+N307</f>
        <v>1099440</v>
      </c>
      <c r="F307" s="1381">
        <f t="shared" si="40"/>
        <v>79.0070510185603</v>
      </c>
      <c r="G307" s="823">
        <f>SUM(G308:G312)+G319+G326</f>
        <v>1391572</v>
      </c>
      <c r="H307" s="845">
        <f>SUM(H308:H312)+H319+H326</f>
        <v>1099440</v>
      </c>
      <c r="I307" s="1400">
        <f aca="true" t="shared" si="41" ref="I307:I359">H307/G307*100</f>
        <v>79.0070510185603</v>
      </c>
      <c r="J307" s="1510"/>
      <c r="K307" s="1510"/>
      <c r="L307" s="1475"/>
      <c r="M307" s="845"/>
      <c r="N307" s="845"/>
      <c r="O307" s="1511"/>
      <c r="P307" s="845"/>
      <c r="Q307" s="845"/>
      <c r="R307" s="1483"/>
    </row>
    <row r="308" spans="1:18" s="1615" customFormat="1" ht="24" customHeight="1">
      <c r="A308" s="1609">
        <v>4210</v>
      </c>
      <c r="B308" s="1451" t="s">
        <v>1242</v>
      </c>
      <c r="C308" s="864">
        <v>56000</v>
      </c>
      <c r="D308" s="869">
        <f t="shared" si="35"/>
        <v>53950</v>
      </c>
      <c r="E308" s="869">
        <f>H308+K308+Q308+N308</f>
        <v>20730</v>
      </c>
      <c r="F308" s="1366">
        <f t="shared" si="40"/>
        <v>38.424467099165895</v>
      </c>
      <c r="G308" s="864">
        <f>56000-2050</f>
        <v>53950</v>
      </c>
      <c r="H308" s="869">
        <v>20730</v>
      </c>
      <c r="I308" s="1369">
        <f t="shared" si="41"/>
        <v>38.424467099165895</v>
      </c>
      <c r="J308" s="1542"/>
      <c r="K308" s="1542"/>
      <c r="L308" s="1410"/>
      <c r="M308" s="869"/>
      <c r="N308" s="869"/>
      <c r="O308" s="1544"/>
      <c r="P308" s="869"/>
      <c r="Q308" s="869"/>
      <c r="R308" s="1614"/>
    </row>
    <row r="309" spans="1:18" s="1615" customFormat="1" ht="24">
      <c r="A309" s="1609">
        <v>4300</v>
      </c>
      <c r="B309" s="1451" t="s">
        <v>1243</v>
      </c>
      <c r="C309" s="832">
        <v>270000</v>
      </c>
      <c r="D309" s="830">
        <f t="shared" si="35"/>
        <v>380467</v>
      </c>
      <c r="E309" s="830">
        <f>H309+K309+Q309+N309</f>
        <v>238291</v>
      </c>
      <c r="F309" s="1366">
        <f t="shared" si="40"/>
        <v>62.63118746172467</v>
      </c>
      <c r="G309" s="832">
        <f>270000-3083+82050+21500+10000</f>
        <v>380467</v>
      </c>
      <c r="H309" s="830">
        <v>238291</v>
      </c>
      <c r="I309" s="1369">
        <f t="shared" si="41"/>
        <v>62.63118746172467</v>
      </c>
      <c r="J309" s="1514"/>
      <c r="K309" s="830"/>
      <c r="L309" s="1369"/>
      <c r="M309" s="830"/>
      <c r="N309" s="830"/>
      <c r="O309" s="1515"/>
      <c r="P309" s="830"/>
      <c r="Q309" s="830"/>
      <c r="R309" s="1573"/>
    </row>
    <row r="310" spans="1:18" s="1608" customFormat="1" ht="24">
      <c r="A310" s="1609">
        <v>4300</v>
      </c>
      <c r="B310" s="1451" t="s">
        <v>1244</v>
      </c>
      <c r="C310" s="1389">
        <v>350000</v>
      </c>
      <c r="D310" s="830">
        <f t="shared" si="35"/>
        <v>550000</v>
      </c>
      <c r="E310" s="830">
        <f>H310+K310+Q310+N310</f>
        <v>550000</v>
      </c>
      <c r="F310" s="1366">
        <f t="shared" si="40"/>
        <v>100</v>
      </c>
      <c r="G310" s="1389">
        <f>350000+300000-100000</f>
        <v>550000</v>
      </c>
      <c r="H310" s="1390">
        <f>350000+200000</f>
        <v>550000</v>
      </c>
      <c r="I310" s="1369">
        <f t="shared" si="41"/>
        <v>100</v>
      </c>
      <c r="J310" s="1445"/>
      <c r="K310" s="1390"/>
      <c r="L310" s="1369"/>
      <c r="M310" s="1390"/>
      <c r="N310" s="1390"/>
      <c r="O310" s="1447"/>
      <c r="P310" s="1390"/>
      <c r="Q310" s="1390"/>
      <c r="R310" s="1395"/>
    </row>
    <row r="311" spans="1:18" s="1615" customFormat="1" ht="24">
      <c r="A311" s="2923">
        <v>4350</v>
      </c>
      <c r="B311" s="1574" t="s">
        <v>1245</v>
      </c>
      <c r="C311" s="832">
        <v>9000</v>
      </c>
      <c r="D311" s="830">
        <f t="shared" si="35"/>
        <v>8415</v>
      </c>
      <c r="E311" s="830">
        <f t="shared" si="35"/>
        <v>2925</v>
      </c>
      <c r="F311" s="1366">
        <f t="shared" si="40"/>
        <v>34.75935828877005</v>
      </c>
      <c r="G311" s="832">
        <f>9000-585</f>
        <v>8415</v>
      </c>
      <c r="H311" s="830">
        <v>2925</v>
      </c>
      <c r="I311" s="1369">
        <f t="shared" si="41"/>
        <v>34.75935828877005</v>
      </c>
      <c r="J311" s="1514"/>
      <c r="K311" s="830"/>
      <c r="L311" s="1369"/>
      <c r="M311" s="830"/>
      <c r="N311" s="830"/>
      <c r="O311" s="1515"/>
      <c r="P311" s="830"/>
      <c r="Q311" s="830"/>
      <c r="R311" s="1573"/>
    </row>
    <row r="312" spans="1:18" s="719" customFormat="1" ht="36">
      <c r="A312" s="2924"/>
      <c r="B312" s="1462" t="s">
        <v>1246</v>
      </c>
      <c r="C312" s="1463">
        <f>SUM(C313:C318)</f>
        <v>173046</v>
      </c>
      <c r="D312" s="1465">
        <f t="shared" si="35"/>
        <v>135906</v>
      </c>
      <c r="E312" s="1465">
        <f t="shared" si="35"/>
        <v>90442</v>
      </c>
      <c r="F312" s="1366">
        <f t="shared" si="40"/>
        <v>66.54746663134814</v>
      </c>
      <c r="G312" s="1463">
        <f>SUM(G313:G318)</f>
        <v>135906</v>
      </c>
      <c r="H312" s="1467">
        <f>SUM(H313:H318)</f>
        <v>90442</v>
      </c>
      <c r="I312" s="1732">
        <f t="shared" si="41"/>
        <v>66.54746663134814</v>
      </c>
      <c r="J312" s="1466"/>
      <c r="K312" s="1465"/>
      <c r="L312" s="1468"/>
      <c r="M312" s="1465"/>
      <c r="N312" s="1465"/>
      <c r="O312" s="1470"/>
      <c r="P312" s="1465"/>
      <c r="Q312" s="1465"/>
      <c r="R312" s="2925"/>
    </row>
    <row r="313" spans="1:18" s="1608" customFormat="1" ht="24">
      <c r="A313" s="1609">
        <v>4171</v>
      </c>
      <c r="B313" s="1451" t="s">
        <v>1247</v>
      </c>
      <c r="C313" s="1389"/>
      <c r="D313" s="830">
        <f t="shared" si="35"/>
        <v>18000</v>
      </c>
      <c r="E313" s="830">
        <f t="shared" si="35"/>
        <v>13272</v>
      </c>
      <c r="F313" s="1366">
        <f t="shared" si="40"/>
        <v>73.73333333333333</v>
      </c>
      <c r="G313" s="1389">
        <v>18000</v>
      </c>
      <c r="H313" s="1390">
        <v>13272</v>
      </c>
      <c r="I313" s="1369">
        <f t="shared" si="41"/>
        <v>73.73333333333333</v>
      </c>
      <c r="J313" s="1445"/>
      <c r="K313" s="1390"/>
      <c r="L313" s="1369"/>
      <c r="M313" s="1390"/>
      <c r="N313" s="1390"/>
      <c r="O313" s="1447"/>
      <c r="P313" s="1390"/>
      <c r="Q313" s="1390"/>
      <c r="R313" s="1395"/>
    </row>
    <row r="314" spans="1:18" s="1608" customFormat="1" ht="24">
      <c r="A314" s="1609">
        <v>4172</v>
      </c>
      <c r="B314" s="1451" t="s">
        <v>1247</v>
      </c>
      <c r="C314" s="1389"/>
      <c r="D314" s="830">
        <f t="shared" si="35"/>
        <v>10000</v>
      </c>
      <c r="E314" s="830">
        <f t="shared" si="35"/>
        <v>6455</v>
      </c>
      <c r="F314" s="1366">
        <f>E314/D314*100</f>
        <v>64.55</v>
      </c>
      <c r="G314" s="1389">
        <v>10000</v>
      </c>
      <c r="H314" s="1390">
        <v>6455</v>
      </c>
      <c r="I314" s="1369">
        <f t="shared" si="41"/>
        <v>64.55</v>
      </c>
      <c r="J314" s="1445"/>
      <c r="K314" s="1390"/>
      <c r="L314" s="1369"/>
      <c r="M314" s="1390"/>
      <c r="N314" s="1390"/>
      <c r="O314" s="1447"/>
      <c r="P314" s="1390"/>
      <c r="Q314" s="1390"/>
      <c r="R314" s="1395"/>
    </row>
    <row r="315" spans="1:18" s="1608" customFormat="1" ht="24">
      <c r="A315" s="1609">
        <v>4211</v>
      </c>
      <c r="B315" s="1451" t="s">
        <v>690</v>
      </c>
      <c r="C315" s="1389"/>
      <c r="D315" s="830">
        <f t="shared" si="35"/>
        <v>2000</v>
      </c>
      <c r="E315" s="830">
        <f t="shared" si="35"/>
        <v>1035</v>
      </c>
      <c r="F315" s="1366">
        <f>E315/D315*100</f>
        <v>51.74999999999999</v>
      </c>
      <c r="G315" s="1389">
        <v>2000</v>
      </c>
      <c r="H315" s="1390">
        <v>1035</v>
      </c>
      <c r="I315" s="1369">
        <f t="shared" si="41"/>
        <v>51.74999999999999</v>
      </c>
      <c r="J315" s="1445"/>
      <c r="K315" s="1390"/>
      <c r="L315" s="1369"/>
      <c r="M315" s="1390"/>
      <c r="N315" s="1390"/>
      <c r="O315" s="1447"/>
      <c r="P315" s="1390"/>
      <c r="Q315" s="1390"/>
      <c r="R315" s="1395"/>
    </row>
    <row r="316" spans="1:18" s="1608" customFormat="1" ht="24">
      <c r="A316" s="1609">
        <v>4212</v>
      </c>
      <c r="B316" s="1451" t="s">
        <v>690</v>
      </c>
      <c r="C316" s="1389"/>
      <c r="D316" s="830">
        <f t="shared" si="35"/>
        <v>1000</v>
      </c>
      <c r="E316" s="830">
        <f t="shared" si="35"/>
        <v>649</v>
      </c>
      <c r="F316" s="1366">
        <f>E316/D316*100</f>
        <v>64.9</v>
      </c>
      <c r="G316" s="1389">
        <v>1000</v>
      </c>
      <c r="H316" s="1390">
        <f>648+1</f>
        <v>649</v>
      </c>
      <c r="I316" s="1369">
        <f t="shared" si="41"/>
        <v>64.9</v>
      </c>
      <c r="J316" s="1445"/>
      <c r="K316" s="1390"/>
      <c r="L316" s="1369"/>
      <c r="M316" s="1390"/>
      <c r="N316" s="1390"/>
      <c r="O316" s="1447"/>
      <c r="P316" s="1390"/>
      <c r="Q316" s="1390"/>
      <c r="R316" s="1395"/>
    </row>
    <row r="317" spans="1:18" s="1608" customFormat="1" ht="12.75">
      <c r="A317" s="1609">
        <v>4301</v>
      </c>
      <c r="B317" s="1451" t="s">
        <v>698</v>
      </c>
      <c r="C317" s="1389">
        <v>106380</v>
      </c>
      <c r="D317" s="830">
        <f t="shared" si="35"/>
        <v>49240</v>
      </c>
      <c r="E317" s="830">
        <f t="shared" si="35"/>
        <v>48199</v>
      </c>
      <c r="F317" s="1366">
        <f>E317/D317*100</f>
        <v>97.88586515028432</v>
      </c>
      <c r="G317" s="1389">
        <f>106380-2000-37140-18000</f>
        <v>49240</v>
      </c>
      <c r="H317" s="1390">
        <v>48199</v>
      </c>
      <c r="I317" s="1369">
        <f t="shared" si="41"/>
        <v>97.88586515028432</v>
      </c>
      <c r="J317" s="1445"/>
      <c r="K317" s="1390"/>
      <c r="L317" s="1369"/>
      <c r="M317" s="1390"/>
      <c r="N317" s="1390"/>
      <c r="O317" s="1447"/>
      <c r="P317" s="1390"/>
      <c r="Q317" s="1390"/>
      <c r="R317" s="1395"/>
    </row>
    <row r="318" spans="1:18" s="1608" customFormat="1" ht="12.75">
      <c r="A318" s="1609">
        <v>4302</v>
      </c>
      <c r="B318" s="1451" t="s">
        <v>698</v>
      </c>
      <c r="C318" s="1389">
        <v>66666</v>
      </c>
      <c r="D318" s="830">
        <f aca="true" t="shared" si="42" ref="D318:E352">G318+J318+P318+M318</f>
        <v>55666</v>
      </c>
      <c r="E318" s="830">
        <f t="shared" si="42"/>
        <v>20832</v>
      </c>
      <c r="F318" s="1366">
        <f t="shared" si="40"/>
        <v>37.4232026730859</v>
      </c>
      <c r="G318" s="1389">
        <f>66666-1000-10000</f>
        <v>55666</v>
      </c>
      <c r="H318" s="1390">
        <v>20832</v>
      </c>
      <c r="I318" s="1369">
        <f t="shared" si="41"/>
        <v>37.4232026730859</v>
      </c>
      <c r="J318" s="1445"/>
      <c r="K318" s="1390"/>
      <c r="L318" s="1369"/>
      <c r="M318" s="1390"/>
      <c r="N318" s="1390"/>
      <c r="O318" s="1447"/>
      <c r="P318" s="1390"/>
      <c r="Q318" s="1390"/>
      <c r="R318" s="1395"/>
    </row>
    <row r="319" spans="1:18" s="719" customFormat="1" ht="36">
      <c r="A319" s="1461"/>
      <c r="B319" s="1462" t="s">
        <v>1248</v>
      </c>
      <c r="C319" s="1463">
        <f>SUM(C320:C325)</f>
        <v>131782</v>
      </c>
      <c r="D319" s="1465">
        <f t="shared" si="42"/>
        <v>131782</v>
      </c>
      <c r="E319" s="1465">
        <f t="shared" si="42"/>
        <v>105866</v>
      </c>
      <c r="F319" s="1366">
        <f t="shared" si="40"/>
        <v>80.33418828064531</v>
      </c>
      <c r="G319" s="1463">
        <f>SUM(G320:G325)</f>
        <v>131782</v>
      </c>
      <c r="H319" s="1465">
        <f>SUM(H320:H325)</f>
        <v>105866</v>
      </c>
      <c r="I319" s="1732">
        <f t="shared" si="41"/>
        <v>80.33418828064531</v>
      </c>
      <c r="J319" s="1466"/>
      <c r="K319" s="1465"/>
      <c r="L319" s="1732"/>
      <c r="M319" s="1465"/>
      <c r="N319" s="1465"/>
      <c r="O319" s="1470"/>
      <c r="P319" s="1465"/>
      <c r="Q319" s="1465"/>
      <c r="R319" s="1733"/>
    </row>
    <row r="320" spans="1:18" s="1615" customFormat="1" ht="24">
      <c r="A320" s="1512">
        <v>4112</v>
      </c>
      <c r="B320" s="1451" t="s">
        <v>686</v>
      </c>
      <c r="C320" s="832">
        <v>2000</v>
      </c>
      <c r="D320" s="830">
        <f t="shared" si="42"/>
        <v>2000</v>
      </c>
      <c r="E320" s="830">
        <f t="shared" si="42"/>
        <v>1470</v>
      </c>
      <c r="F320" s="1366">
        <f t="shared" si="40"/>
        <v>73.5</v>
      </c>
      <c r="G320" s="832">
        <v>2000</v>
      </c>
      <c r="H320" s="830">
        <v>1470</v>
      </c>
      <c r="I320" s="1369">
        <f t="shared" si="41"/>
        <v>73.5</v>
      </c>
      <c r="J320" s="1514"/>
      <c r="K320" s="830"/>
      <c r="L320" s="1369"/>
      <c r="M320" s="830"/>
      <c r="N320" s="830"/>
      <c r="O320" s="1515"/>
      <c r="P320" s="830"/>
      <c r="Q320" s="830"/>
      <c r="R320" s="1573"/>
    </row>
    <row r="321" spans="1:18" s="1615" customFormat="1" ht="12.75">
      <c r="A321" s="1512">
        <v>4122</v>
      </c>
      <c r="B321" s="1451" t="s">
        <v>781</v>
      </c>
      <c r="C321" s="832">
        <v>500</v>
      </c>
      <c r="D321" s="830">
        <f t="shared" si="42"/>
        <v>500</v>
      </c>
      <c r="E321" s="830">
        <f t="shared" si="42"/>
        <v>217</v>
      </c>
      <c r="F321" s="1366">
        <f t="shared" si="40"/>
        <v>43.4</v>
      </c>
      <c r="G321" s="832">
        <v>500</v>
      </c>
      <c r="H321" s="830">
        <v>217</v>
      </c>
      <c r="I321" s="1369">
        <f t="shared" si="41"/>
        <v>43.4</v>
      </c>
      <c r="J321" s="1514"/>
      <c r="K321" s="830"/>
      <c r="L321" s="1369"/>
      <c r="M321" s="830"/>
      <c r="N321" s="830"/>
      <c r="O321" s="1515"/>
      <c r="P321" s="830"/>
      <c r="Q321" s="830"/>
      <c r="R321" s="1573"/>
    </row>
    <row r="322" spans="1:18" s="1615" customFormat="1" ht="24">
      <c r="A322" s="1609">
        <v>4171</v>
      </c>
      <c r="B322" s="1451" t="s">
        <v>744</v>
      </c>
      <c r="C322" s="832"/>
      <c r="D322" s="830">
        <f>G322+J322+P322+M322</f>
        <v>16500</v>
      </c>
      <c r="E322" s="830">
        <f>H322+K322+Q322+N322</f>
        <v>9389</v>
      </c>
      <c r="F322" s="1366">
        <f>E322/D322*100</f>
        <v>56.9030303030303</v>
      </c>
      <c r="G322" s="832">
        <v>16500</v>
      </c>
      <c r="H322" s="830">
        <v>9389</v>
      </c>
      <c r="I322" s="1369">
        <f t="shared" si="41"/>
        <v>56.9030303030303</v>
      </c>
      <c r="J322" s="1514"/>
      <c r="K322" s="830"/>
      <c r="L322" s="1369"/>
      <c r="M322" s="830"/>
      <c r="N322" s="830"/>
      <c r="O322" s="1515"/>
      <c r="P322" s="830"/>
      <c r="Q322" s="830"/>
      <c r="R322" s="1573"/>
    </row>
    <row r="323" spans="1:18" s="1615" customFormat="1" ht="24">
      <c r="A323" s="1609">
        <v>4172</v>
      </c>
      <c r="B323" s="1451" t="s">
        <v>744</v>
      </c>
      <c r="C323" s="832"/>
      <c r="D323" s="830">
        <f>G323+J323+P323+M323</f>
        <v>9700</v>
      </c>
      <c r="E323" s="830">
        <f>H323+K323+Q323+N323</f>
        <v>6172</v>
      </c>
      <c r="F323" s="1366">
        <f>E323/D323*100</f>
        <v>63.628865979381445</v>
      </c>
      <c r="G323" s="832">
        <f>4100+600+5000</f>
        <v>9700</v>
      </c>
      <c r="H323" s="830">
        <v>6172</v>
      </c>
      <c r="I323" s="1369">
        <f t="shared" si="41"/>
        <v>63.628865979381445</v>
      </c>
      <c r="J323" s="1514"/>
      <c r="K323" s="830"/>
      <c r="L323" s="1369"/>
      <c r="M323" s="830"/>
      <c r="N323" s="830"/>
      <c r="O323" s="1515"/>
      <c r="P323" s="830"/>
      <c r="Q323" s="830"/>
      <c r="R323" s="1573"/>
    </row>
    <row r="324" spans="1:18" s="719" customFormat="1" ht="13.5">
      <c r="A324" s="1609">
        <v>4301</v>
      </c>
      <c r="B324" s="1451" t="s">
        <v>698</v>
      </c>
      <c r="C324" s="832">
        <v>83680</v>
      </c>
      <c r="D324" s="830">
        <f t="shared" si="42"/>
        <v>67180</v>
      </c>
      <c r="E324" s="830">
        <f t="shared" si="42"/>
        <v>65061</v>
      </c>
      <c r="F324" s="1366">
        <f t="shared" si="40"/>
        <v>96.84578743673713</v>
      </c>
      <c r="G324" s="832">
        <f>83680-16500</f>
        <v>67180</v>
      </c>
      <c r="H324" s="830">
        <v>65061</v>
      </c>
      <c r="I324" s="1369">
        <f t="shared" si="41"/>
        <v>96.84578743673713</v>
      </c>
      <c r="J324" s="1466"/>
      <c r="K324" s="1465"/>
      <c r="L324" s="1732"/>
      <c r="M324" s="1465"/>
      <c r="N324" s="1465"/>
      <c r="O324" s="1470"/>
      <c r="P324" s="1465"/>
      <c r="Q324" s="1465"/>
      <c r="R324" s="1733"/>
    </row>
    <row r="325" spans="1:18" s="719" customFormat="1" ht="13.5">
      <c r="A325" s="1609">
        <v>4302</v>
      </c>
      <c r="B325" s="1451" t="s">
        <v>698</v>
      </c>
      <c r="C325" s="832">
        <v>45602</v>
      </c>
      <c r="D325" s="830">
        <f t="shared" si="42"/>
        <v>35902</v>
      </c>
      <c r="E325" s="830">
        <f t="shared" si="42"/>
        <v>23557</v>
      </c>
      <c r="F325" s="1366">
        <f t="shared" si="40"/>
        <v>65.6147289844577</v>
      </c>
      <c r="G325" s="832">
        <f>45602-4100-600-5000</f>
        <v>35902</v>
      </c>
      <c r="H325" s="830">
        <v>23557</v>
      </c>
      <c r="I325" s="1369">
        <f t="shared" si="41"/>
        <v>65.6147289844577</v>
      </c>
      <c r="J325" s="1466"/>
      <c r="K325" s="1465"/>
      <c r="L325" s="1732"/>
      <c r="M325" s="1465"/>
      <c r="N325" s="1465"/>
      <c r="O325" s="1470"/>
      <c r="P325" s="1465"/>
      <c r="Q325" s="1465"/>
      <c r="R325" s="1733"/>
    </row>
    <row r="326" spans="1:18" s="719" customFormat="1" ht="36">
      <c r="A326" s="1461"/>
      <c r="B326" s="1462" t="s">
        <v>1249</v>
      </c>
      <c r="C326" s="1463">
        <f>SUM(C327:C334)</f>
        <v>131052</v>
      </c>
      <c r="D326" s="1465">
        <f t="shared" si="42"/>
        <v>131052</v>
      </c>
      <c r="E326" s="1465">
        <f t="shared" si="42"/>
        <v>91186</v>
      </c>
      <c r="F326" s="1366">
        <f t="shared" si="40"/>
        <v>69.5800140402283</v>
      </c>
      <c r="G326" s="1463">
        <f>SUM(G327:G334)</f>
        <v>131052</v>
      </c>
      <c r="H326" s="1465">
        <f>SUM(H327:H334)</f>
        <v>91186</v>
      </c>
      <c r="I326" s="1732">
        <f t="shared" si="41"/>
        <v>69.5800140402283</v>
      </c>
      <c r="J326" s="1466"/>
      <c r="K326" s="1465"/>
      <c r="L326" s="1732"/>
      <c r="M326" s="1465"/>
      <c r="N326" s="1465"/>
      <c r="O326" s="1470"/>
      <c r="P326" s="1465"/>
      <c r="Q326" s="1465"/>
      <c r="R326" s="1733"/>
    </row>
    <row r="327" spans="1:18" s="1615" customFormat="1" ht="24">
      <c r="A327" s="1512">
        <v>4112</v>
      </c>
      <c r="B327" s="1451" t="s">
        <v>686</v>
      </c>
      <c r="C327" s="832">
        <v>1500</v>
      </c>
      <c r="D327" s="830">
        <f t="shared" si="42"/>
        <v>1380</v>
      </c>
      <c r="E327" s="830">
        <f t="shared" si="42"/>
        <v>815</v>
      </c>
      <c r="F327" s="1366">
        <f t="shared" si="40"/>
        <v>59.05797101449275</v>
      </c>
      <c r="G327" s="832">
        <f>1500-120</f>
        <v>1380</v>
      </c>
      <c r="H327" s="830">
        <v>815</v>
      </c>
      <c r="I327" s="1369">
        <f t="shared" si="41"/>
        <v>59.05797101449275</v>
      </c>
      <c r="J327" s="1514"/>
      <c r="K327" s="830"/>
      <c r="L327" s="1369"/>
      <c r="M327" s="830"/>
      <c r="N327" s="830"/>
      <c r="O327" s="1515"/>
      <c r="P327" s="830"/>
      <c r="Q327" s="830"/>
      <c r="R327" s="1573"/>
    </row>
    <row r="328" spans="1:18" s="1615" customFormat="1" ht="12.75">
      <c r="A328" s="1512">
        <v>4122</v>
      </c>
      <c r="B328" s="1451" t="s">
        <v>1250</v>
      </c>
      <c r="C328" s="832"/>
      <c r="D328" s="830">
        <f t="shared" si="42"/>
        <v>120</v>
      </c>
      <c r="E328" s="830">
        <f t="shared" si="42"/>
        <v>116</v>
      </c>
      <c r="F328" s="1366">
        <f>E328/D328*100</f>
        <v>96.66666666666667</v>
      </c>
      <c r="G328" s="832">
        <v>120</v>
      </c>
      <c r="H328" s="830">
        <v>116</v>
      </c>
      <c r="I328" s="1369">
        <f t="shared" si="41"/>
        <v>96.66666666666667</v>
      </c>
      <c r="J328" s="1514"/>
      <c r="K328" s="830"/>
      <c r="L328" s="1369"/>
      <c r="M328" s="830"/>
      <c r="N328" s="830"/>
      <c r="O328" s="1515"/>
      <c r="P328" s="830"/>
      <c r="Q328" s="830"/>
      <c r="R328" s="1573"/>
    </row>
    <row r="329" spans="1:18" s="1615" customFormat="1" ht="24">
      <c r="A329" s="1609">
        <v>4171</v>
      </c>
      <c r="B329" s="1451" t="s">
        <v>744</v>
      </c>
      <c r="C329" s="832"/>
      <c r="D329" s="830">
        <f t="shared" si="42"/>
        <v>10600</v>
      </c>
      <c r="E329" s="830">
        <f t="shared" si="42"/>
        <v>7461</v>
      </c>
      <c r="F329" s="1366">
        <f>E329/D329*100</f>
        <v>70.38679245283019</v>
      </c>
      <c r="G329" s="832">
        <v>10600</v>
      </c>
      <c r="H329" s="830">
        <v>7461</v>
      </c>
      <c r="I329" s="1369">
        <f t="shared" si="41"/>
        <v>70.38679245283019</v>
      </c>
      <c r="J329" s="1514"/>
      <c r="K329" s="830"/>
      <c r="L329" s="1369"/>
      <c r="M329" s="830"/>
      <c r="N329" s="830"/>
      <c r="O329" s="1515"/>
      <c r="P329" s="830"/>
      <c r="Q329" s="830"/>
      <c r="R329" s="1573"/>
    </row>
    <row r="330" spans="1:18" s="1615" customFormat="1" ht="24">
      <c r="A330" s="1609">
        <v>4172</v>
      </c>
      <c r="B330" s="1451" t="s">
        <v>744</v>
      </c>
      <c r="C330" s="832"/>
      <c r="D330" s="830">
        <f t="shared" si="42"/>
        <v>5100</v>
      </c>
      <c r="E330" s="830">
        <f t="shared" si="42"/>
        <v>5089</v>
      </c>
      <c r="F330" s="1366">
        <f>E330/D330*100</f>
        <v>99.7843137254902</v>
      </c>
      <c r="G330" s="832">
        <f>2600+2500</f>
        <v>5100</v>
      </c>
      <c r="H330" s="830">
        <v>5089</v>
      </c>
      <c r="I330" s="1369">
        <f t="shared" si="41"/>
        <v>99.7843137254902</v>
      </c>
      <c r="J330" s="1514"/>
      <c r="K330" s="830"/>
      <c r="L330" s="1369"/>
      <c r="M330" s="830"/>
      <c r="N330" s="830"/>
      <c r="O330" s="1515"/>
      <c r="P330" s="830"/>
      <c r="Q330" s="830"/>
      <c r="R330" s="1573"/>
    </row>
    <row r="331" spans="1:18" s="1615" customFormat="1" ht="24">
      <c r="A331" s="1512">
        <v>4211</v>
      </c>
      <c r="B331" s="1451" t="s">
        <v>690</v>
      </c>
      <c r="C331" s="832">
        <v>1518</v>
      </c>
      <c r="D331" s="830">
        <f t="shared" si="42"/>
        <v>1518</v>
      </c>
      <c r="E331" s="830">
        <f t="shared" si="42"/>
        <v>1302</v>
      </c>
      <c r="F331" s="1366">
        <f t="shared" si="40"/>
        <v>85.7707509881423</v>
      </c>
      <c r="G331" s="832">
        <v>1518</v>
      </c>
      <c r="H331" s="830">
        <v>1302</v>
      </c>
      <c r="I331" s="1369">
        <f t="shared" si="41"/>
        <v>85.7707509881423</v>
      </c>
      <c r="J331" s="1514"/>
      <c r="K331" s="830"/>
      <c r="L331" s="1369"/>
      <c r="M331" s="830"/>
      <c r="N331" s="830"/>
      <c r="O331" s="1515"/>
      <c r="P331" s="830"/>
      <c r="Q331" s="830"/>
      <c r="R331" s="1573"/>
    </row>
    <row r="332" spans="1:18" s="1608" customFormat="1" ht="24">
      <c r="A332" s="1443">
        <v>4212</v>
      </c>
      <c r="B332" s="1451" t="s">
        <v>690</v>
      </c>
      <c r="C332" s="1389">
        <v>951</v>
      </c>
      <c r="D332" s="830">
        <f t="shared" si="42"/>
        <v>951</v>
      </c>
      <c r="E332" s="830">
        <f t="shared" si="42"/>
        <v>816</v>
      </c>
      <c r="F332" s="1366">
        <f t="shared" si="40"/>
        <v>85.8044164037855</v>
      </c>
      <c r="G332" s="1389">
        <v>951</v>
      </c>
      <c r="H332" s="1390">
        <v>816</v>
      </c>
      <c r="I332" s="1369">
        <f t="shared" si="41"/>
        <v>85.8044164037855</v>
      </c>
      <c r="J332" s="1445"/>
      <c r="K332" s="1390"/>
      <c r="L332" s="1369"/>
      <c r="M332" s="1390"/>
      <c r="N332" s="1390"/>
      <c r="O332" s="1447"/>
      <c r="P332" s="1390"/>
      <c r="Q332" s="1390"/>
      <c r="R332" s="1395"/>
    </row>
    <row r="333" spans="1:18" s="1608" customFormat="1" ht="12.75">
      <c r="A333" s="1609">
        <v>4301</v>
      </c>
      <c r="B333" s="1451" t="s">
        <v>698</v>
      </c>
      <c r="C333" s="1389">
        <v>78124</v>
      </c>
      <c r="D333" s="830">
        <f t="shared" si="42"/>
        <v>67524</v>
      </c>
      <c r="E333" s="830">
        <f t="shared" si="42"/>
        <v>48300</v>
      </c>
      <c r="F333" s="1366">
        <f t="shared" si="40"/>
        <v>71.53012262306734</v>
      </c>
      <c r="G333" s="1389">
        <f>78124-10600</f>
        <v>67524</v>
      </c>
      <c r="H333" s="1390">
        <v>48300</v>
      </c>
      <c r="I333" s="1369">
        <f t="shared" si="41"/>
        <v>71.53012262306734</v>
      </c>
      <c r="J333" s="1445"/>
      <c r="K333" s="1390"/>
      <c r="L333" s="1369"/>
      <c r="M333" s="1390"/>
      <c r="N333" s="1390"/>
      <c r="O333" s="1447"/>
      <c r="P333" s="1390"/>
      <c r="Q333" s="1390"/>
      <c r="R333" s="1395"/>
    </row>
    <row r="334" spans="1:18" s="1608" customFormat="1" ht="12.75">
      <c r="A334" s="1609">
        <v>4302</v>
      </c>
      <c r="B334" s="1451" t="s">
        <v>698</v>
      </c>
      <c r="C334" s="1494">
        <v>48959</v>
      </c>
      <c r="D334" s="830">
        <f t="shared" si="42"/>
        <v>43859</v>
      </c>
      <c r="E334" s="830">
        <f t="shared" si="42"/>
        <v>27287</v>
      </c>
      <c r="F334" s="1366">
        <f t="shared" si="40"/>
        <v>62.21528078615564</v>
      </c>
      <c r="G334" s="1494">
        <f>48959-2600-2500</f>
        <v>43859</v>
      </c>
      <c r="H334" s="1487">
        <v>27287</v>
      </c>
      <c r="I334" s="1369">
        <f t="shared" si="41"/>
        <v>62.21528078615564</v>
      </c>
      <c r="J334" s="1495"/>
      <c r="K334" s="1487"/>
      <c r="L334" s="1439"/>
      <c r="M334" s="1487"/>
      <c r="N334" s="1487"/>
      <c r="O334" s="1498"/>
      <c r="P334" s="1487"/>
      <c r="Q334" s="1487"/>
      <c r="R334" s="1420"/>
    </row>
    <row r="335" spans="1:18" ht="12.75" customHeight="1">
      <c r="A335" s="1436">
        <v>75095</v>
      </c>
      <c r="B335" s="1529" t="s">
        <v>816</v>
      </c>
      <c r="C335" s="1438">
        <f>SUM(C336:C344)</f>
        <v>134410</v>
      </c>
      <c r="D335" s="845">
        <f t="shared" si="42"/>
        <v>136410</v>
      </c>
      <c r="E335" s="1380">
        <f>SUM(E336:E344)</f>
        <v>49944</v>
      </c>
      <c r="F335" s="1381">
        <f t="shared" si="40"/>
        <v>36.613151528480316</v>
      </c>
      <c r="G335" s="1438">
        <f>SUM(G336:G344)</f>
        <v>136410</v>
      </c>
      <c r="H335" s="1380">
        <f>SUM(H336:H344)</f>
        <v>49944</v>
      </c>
      <c r="I335" s="1475">
        <f t="shared" si="41"/>
        <v>36.613151528480316</v>
      </c>
      <c r="J335" s="1440"/>
      <c r="K335" s="1380"/>
      <c r="L335" s="1441"/>
      <c r="M335" s="1380"/>
      <c r="N335" s="1380"/>
      <c r="O335" s="1442"/>
      <c r="P335" s="1380"/>
      <c r="Q335" s="1380"/>
      <c r="R335" s="1388"/>
    </row>
    <row r="336" spans="1:18" ht="36" hidden="1">
      <c r="A336" s="1443">
        <v>3020</v>
      </c>
      <c r="B336" s="1451" t="s">
        <v>739</v>
      </c>
      <c r="C336" s="1389"/>
      <c r="D336" s="830">
        <f t="shared" si="42"/>
        <v>0</v>
      </c>
      <c r="E336" s="1390">
        <f aca="true" t="shared" si="43" ref="E336:E342">SUM(H336+K336+N336+Q336)</f>
        <v>0</v>
      </c>
      <c r="F336" s="1366" t="e">
        <f t="shared" si="40"/>
        <v>#DIV/0!</v>
      </c>
      <c r="G336" s="1393"/>
      <c r="H336" s="1407"/>
      <c r="I336" s="1369" t="e">
        <f t="shared" si="41"/>
        <v>#DIV/0!</v>
      </c>
      <c r="J336" s="1445"/>
      <c r="K336" s="1390"/>
      <c r="L336" s="1446"/>
      <c r="M336" s="1390"/>
      <c r="N336" s="1390"/>
      <c r="O336" s="1447"/>
      <c r="P336" s="1390"/>
      <c r="Q336" s="1390"/>
      <c r="R336" s="1454"/>
    </row>
    <row r="337" spans="1:18" ht="24">
      <c r="A337" s="1443">
        <v>4110</v>
      </c>
      <c r="B337" s="1451" t="s">
        <v>686</v>
      </c>
      <c r="C337" s="1389">
        <v>2380</v>
      </c>
      <c r="D337" s="830">
        <f t="shared" si="42"/>
        <v>2380</v>
      </c>
      <c r="E337" s="1390">
        <f t="shared" si="43"/>
        <v>573</v>
      </c>
      <c r="F337" s="1366">
        <f t="shared" si="40"/>
        <v>24.07563025210084</v>
      </c>
      <c r="G337" s="1389">
        <v>2380</v>
      </c>
      <c r="H337" s="1390">
        <v>573</v>
      </c>
      <c r="I337" s="1369">
        <f t="shared" si="41"/>
        <v>24.07563025210084</v>
      </c>
      <c r="J337" s="1445"/>
      <c r="K337" s="1390"/>
      <c r="L337" s="1446"/>
      <c r="M337" s="1390"/>
      <c r="N337" s="1390"/>
      <c r="O337" s="1447"/>
      <c r="P337" s="1390"/>
      <c r="Q337" s="1390"/>
      <c r="R337" s="1454"/>
    </row>
    <row r="338" spans="1:18" ht="24">
      <c r="A338" s="1443">
        <v>4170</v>
      </c>
      <c r="B338" s="1451" t="s">
        <v>744</v>
      </c>
      <c r="C338" s="1389">
        <v>32710</v>
      </c>
      <c r="D338" s="830">
        <f t="shared" si="42"/>
        <v>33310</v>
      </c>
      <c r="E338" s="1390">
        <f t="shared" si="43"/>
        <v>12015</v>
      </c>
      <c r="F338" s="1366">
        <f t="shared" si="40"/>
        <v>36.070249174422095</v>
      </c>
      <c r="G338" s="1389">
        <f>32710+600</f>
        <v>33310</v>
      </c>
      <c r="H338" s="1390">
        <v>12015</v>
      </c>
      <c r="I338" s="1369">
        <f t="shared" si="41"/>
        <v>36.070249174422095</v>
      </c>
      <c r="J338" s="1445"/>
      <c r="K338" s="1390"/>
      <c r="L338" s="1446"/>
      <c r="M338" s="1390"/>
      <c r="N338" s="1390"/>
      <c r="O338" s="1447"/>
      <c r="P338" s="1390"/>
      <c r="Q338" s="1390"/>
      <c r="R338" s="1454"/>
    </row>
    <row r="339" spans="1:18" ht="24">
      <c r="A339" s="1443">
        <v>4210</v>
      </c>
      <c r="B339" s="1451" t="s">
        <v>690</v>
      </c>
      <c r="C339" s="1389">
        <v>22740</v>
      </c>
      <c r="D339" s="830">
        <f t="shared" si="42"/>
        <v>22740</v>
      </c>
      <c r="E339" s="1390">
        <f t="shared" si="43"/>
        <v>5417</v>
      </c>
      <c r="F339" s="1366">
        <f t="shared" si="40"/>
        <v>23.821459982409852</v>
      </c>
      <c r="G339" s="1389">
        <v>22740</v>
      </c>
      <c r="H339" s="1390">
        <v>5417</v>
      </c>
      <c r="I339" s="1369">
        <f t="shared" si="41"/>
        <v>23.821459982409852</v>
      </c>
      <c r="J339" s="1445"/>
      <c r="K339" s="1390"/>
      <c r="L339" s="1446"/>
      <c r="M339" s="1390"/>
      <c r="N339" s="1390"/>
      <c r="O339" s="1447"/>
      <c r="P339" s="1390"/>
      <c r="Q339" s="1390"/>
      <c r="R339" s="1454"/>
    </row>
    <row r="340" spans="1:18" ht="12.75">
      <c r="A340" s="1443">
        <v>4260</v>
      </c>
      <c r="B340" s="1451" t="s">
        <v>694</v>
      </c>
      <c r="C340" s="1389">
        <v>8340</v>
      </c>
      <c r="D340" s="830">
        <f t="shared" si="42"/>
        <v>8140</v>
      </c>
      <c r="E340" s="1390">
        <f t="shared" si="43"/>
        <v>3570</v>
      </c>
      <c r="F340" s="1366">
        <f t="shared" si="40"/>
        <v>43.85749385749386</v>
      </c>
      <c r="G340" s="1389">
        <f>8340-200</f>
        <v>8140</v>
      </c>
      <c r="H340" s="1390">
        <v>3570</v>
      </c>
      <c r="I340" s="1369">
        <f t="shared" si="41"/>
        <v>43.85749385749386</v>
      </c>
      <c r="J340" s="1445"/>
      <c r="K340" s="1390"/>
      <c r="L340" s="1446"/>
      <c r="M340" s="1390"/>
      <c r="N340" s="1390"/>
      <c r="O340" s="1447"/>
      <c r="P340" s="1390"/>
      <c r="Q340" s="1390"/>
      <c r="R340" s="1454"/>
    </row>
    <row r="341" spans="1:18" ht="12.75" hidden="1">
      <c r="A341" s="1443">
        <v>4270</v>
      </c>
      <c r="B341" s="1451" t="s">
        <v>696</v>
      </c>
      <c r="C341" s="1389"/>
      <c r="D341" s="830">
        <f t="shared" si="42"/>
        <v>0</v>
      </c>
      <c r="E341" s="1390">
        <f t="shared" si="43"/>
        <v>0</v>
      </c>
      <c r="F341" s="1366" t="e">
        <f t="shared" si="40"/>
        <v>#DIV/0!</v>
      </c>
      <c r="G341" s="1389"/>
      <c r="H341" s="1390"/>
      <c r="I341" s="1369" t="e">
        <f t="shared" si="41"/>
        <v>#DIV/0!</v>
      </c>
      <c r="J341" s="1445"/>
      <c r="K341" s="1390"/>
      <c r="L341" s="1446"/>
      <c r="M341" s="1390"/>
      <c r="N341" s="1390"/>
      <c r="O341" s="1447"/>
      <c r="P341" s="1390"/>
      <c r="Q341" s="1390"/>
      <c r="R341" s="1454"/>
    </row>
    <row r="342" spans="1:18" ht="12.75">
      <c r="A342" s="1443">
        <v>4300</v>
      </c>
      <c r="B342" s="1451" t="s">
        <v>817</v>
      </c>
      <c r="C342" s="1389">
        <v>26990</v>
      </c>
      <c r="D342" s="830">
        <f t="shared" si="42"/>
        <v>28590</v>
      </c>
      <c r="E342" s="1390">
        <f t="shared" si="43"/>
        <v>9042</v>
      </c>
      <c r="F342" s="1366">
        <f t="shared" si="40"/>
        <v>31.62644281217209</v>
      </c>
      <c r="G342" s="1389">
        <f>26990+2400-800</f>
        <v>28590</v>
      </c>
      <c r="H342" s="1390">
        <v>9042</v>
      </c>
      <c r="I342" s="1369">
        <f t="shared" si="41"/>
        <v>31.62644281217209</v>
      </c>
      <c r="J342" s="1445"/>
      <c r="K342" s="1390"/>
      <c r="L342" s="1446"/>
      <c r="M342" s="1390"/>
      <c r="N342" s="1390"/>
      <c r="O342" s="1447"/>
      <c r="P342" s="1390"/>
      <c r="Q342" s="1390"/>
      <c r="R342" s="1454"/>
    </row>
    <row r="343" spans="1:18" ht="24">
      <c r="A343" s="1443">
        <v>4300</v>
      </c>
      <c r="B343" s="1451" t="s">
        <v>818</v>
      </c>
      <c r="C343" s="1389">
        <v>41250</v>
      </c>
      <c r="D343" s="830">
        <f t="shared" si="42"/>
        <v>41250</v>
      </c>
      <c r="E343" s="1390">
        <f>SUM(H343+K343+N343+Q343)</f>
        <v>19327</v>
      </c>
      <c r="F343" s="1366">
        <f t="shared" si="40"/>
        <v>46.85333333333334</v>
      </c>
      <c r="G343" s="1389">
        <v>41250</v>
      </c>
      <c r="H343" s="830">
        <v>19327</v>
      </c>
      <c r="I343" s="1369">
        <f t="shared" si="41"/>
        <v>46.85333333333334</v>
      </c>
      <c r="J343" s="1445"/>
      <c r="K343" s="1390"/>
      <c r="L343" s="1446"/>
      <c r="M343" s="1390"/>
      <c r="N343" s="1390"/>
      <c r="O343" s="1447"/>
      <c r="P343" s="1390"/>
      <c r="Q343" s="1390"/>
      <c r="R343" s="1454"/>
    </row>
    <row r="344" spans="1:18" ht="12.75" hidden="1">
      <c r="A344" s="1492">
        <v>4410</v>
      </c>
      <c r="B344" s="1493" t="s">
        <v>672</v>
      </c>
      <c r="C344" s="1494"/>
      <c r="D344" s="862">
        <f t="shared" si="42"/>
        <v>0</v>
      </c>
      <c r="E344" s="1487">
        <f>SUM(H344+K344+N344+Q344)</f>
        <v>0</v>
      </c>
      <c r="F344" s="1419" t="e">
        <f t="shared" si="40"/>
        <v>#DIV/0!</v>
      </c>
      <c r="G344" s="1494"/>
      <c r="H344" s="1487"/>
      <c r="I344" s="1439" t="e">
        <f t="shared" si="41"/>
        <v>#DIV/0!</v>
      </c>
      <c r="J344" s="1495"/>
      <c r="K344" s="1487"/>
      <c r="L344" s="1551"/>
      <c r="M344" s="1487"/>
      <c r="N344" s="1487"/>
      <c r="O344" s="1498"/>
      <c r="P344" s="1487"/>
      <c r="Q344" s="1487"/>
      <c r="R344" s="1539"/>
    </row>
    <row r="345" spans="1:18" ht="12.75" customHeight="1">
      <c r="A345" s="1436">
        <v>75095</v>
      </c>
      <c r="B345" s="1529" t="s">
        <v>299</v>
      </c>
      <c r="C345" s="1438">
        <f>SUM(C346:C357)</f>
        <v>1082200</v>
      </c>
      <c r="D345" s="845">
        <f t="shared" si="42"/>
        <v>1241868</v>
      </c>
      <c r="E345" s="845">
        <f>H345+K345+Q345+N345</f>
        <v>714345</v>
      </c>
      <c r="F345" s="1381">
        <f t="shared" si="40"/>
        <v>57.52181391258975</v>
      </c>
      <c r="G345" s="823">
        <f>SUM(G346:G357)</f>
        <v>1241868</v>
      </c>
      <c r="H345" s="845">
        <f>SUM(H346:H357)</f>
        <v>714345</v>
      </c>
      <c r="I345" s="1475">
        <f t="shared" si="41"/>
        <v>57.52181391258975</v>
      </c>
      <c r="J345" s="1440"/>
      <c r="K345" s="1380"/>
      <c r="L345" s="1441"/>
      <c r="M345" s="1380"/>
      <c r="N345" s="1380"/>
      <c r="O345" s="1442"/>
      <c r="P345" s="1380"/>
      <c r="Q345" s="1380"/>
      <c r="R345" s="1478"/>
    </row>
    <row r="346" spans="1:18" ht="36">
      <c r="A346" s="1443">
        <v>3040</v>
      </c>
      <c r="B346" s="1451" t="s">
        <v>819</v>
      </c>
      <c r="C346" s="1389">
        <v>4000</v>
      </c>
      <c r="D346" s="830">
        <f t="shared" si="42"/>
        <v>4000</v>
      </c>
      <c r="E346" s="1390">
        <f aca="true" t="shared" si="44" ref="E346:E359">SUM(H346+K346+N346+Q346)</f>
        <v>0</v>
      </c>
      <c r="F346" s="1366">
        <f t="shared" si="40"/>
        <v>0</v>
      </c>
      <c r="G346" s="1389">
        <v>4000</v>
      </c>
      <c r="H346" s="830"/>
      <c r="I346" s="1369">
        <f t="shared" si="41"/>
        <v>0</v>
      </c>
      <c r="J346" s="1445"/>
      <c r="K346" s="1390"/>
      <c r="L346" s="1446"/>
      <c r="M346" s="1390"/>
      <c r="N346" s="1390"/>
      <c r="O346" s="1447"/>
      <c r="P346" s="1390"/>
      <c r="Q346" s="1390"/>
      <c r="R346" s="1454"/>
    </row>
    <row r="347" spans="1:18" ht="24">
      <c r="A347" s="1443">
        <v>4110</v>
      </c>
      <c r="B347" s="1451" t="s">
        <v>820</v>
      </c>
      <c r="C347" s="1389">
        <v>200</v>
      </c>
      <c r="D347" s="830">
        <f t="shared" si="42"/>
        <v>200</v>
      </c>
      <c r="E347" s="1390">
        <f t="shared" si="44"/>
        <v>0</v>
      </c>
      <c r="F347" s="1366">
        <f t="shared" si="40"/>
        <v>0</v>
      </c>
      <c r="G347" s="1389">
        <v>200</v>
      </c>
      <c r="H347" s="830"/>
      <c r="I347" s="1369">
        <f t="shared" si="41"/>
        <v>0</v>
      </c>
      <c r="J347" s="1445"/>
      <c r="K347" s="1390"/>
      <c r="L347" s="1446"/>
      <c r="M347" s="1390"/>
      <c r="N347" s="1390"/>
      <c r="O347" s="1447"/>
      <c r="P347" s="1390"/>
      <c r="Q347" s="1390"/>
      <c r="R347" s="1454"/>
    </row>
    <row r="348" spans="1:18" ht="12.75">
      <c r="A348" s="1443">
        <v>4120</v>
      </c>
      <c r="B348" s="1451" t="s">
        <v>821</v>
      </c>
      <c r="C348" s="1389">
        <v>1000</v>
      </c>
      <c r="D348" s="830">
        <f t="shared" si="42"/>
        <v>1000</v>
      </c>
      <c r="E348" s="1390">
        <f t="shared" si="44"/>
        <v>0</v>
      </c>
      <c r="F348" s="1366">
        <f t="shared" si="40"/>
        <v>0</v>
      </c>
      <c r="G348" s="1389">
        <v>1000</v>
      </c>
      <c r="H348" s="830"/>
      <c r="I348" s="1369">
        <f t="shared" si="41"/>
        <v>0</v>
      </c>
      <c r="J348" s="1445"/>
      <c r="K348" s="1390"/>
      <c r="L348" s="1446"/>
      <c r="M348" s="1390"/>
      <c r="N348" s="1390"/>
      <c r="O348" s="1447"/>
      <c r="P348" s="1390"/>
      <c r="Q348" s="1390"/>
      <c r="R348" s="1454"/>
    </row>
    <row r="349" spans="1:18" ht="24">
      <c r="A349" s="1443">
        <v>4170</v>
      </c>
      <c r="B349" s="1451" t="s">
        <v>822</v>
      </c>
      <c r="C349" s="1389">
        <v>1000</v>
      </c>
      <c r="D349" s="830">
        <f t="shared" si="42"/>
        <v>10000</v>
      </c>
      <c r="E349" s="1390">
        <f t="shared" si="44"/>
        <v>6870</v>
      </c>
      <c r="F349" s="1366">
        <f t="shared" si="40"/>
        <v>68.7</v>
      </c>
      <c r="G349" s="1389">
        <f>1000+9000</f>
        <v>10000</v>
      </c>
      <c r="H349" s="830">
        <v>6870</v>
      </c>
      <c r="I349" s="1369">
        <f t="shared" si="41"/>
        <v>68.7</v>
      </c>
      <c r="J349" s="1445"/>
      <c r="K349" s="1390"/>
      <c r="L349" s="1446"/>
      <c r="M349" s="1390"/>
      <c r="N349" s="1390"/>
      <c r="O349" s="1447"/>
      <c r="P349" s="1390"/>
      <c r="Q349" s="1390"/>
      <c r="R349" s="1454"/>
    </row>
    <row r="350" spans="1:18" ht="24">
      <c r="A350" s="1443">
        <v>4210</v>
      </c>
      <c r="B350" s="1451" t="s">
        <v>823</v>
      </c>
      <c r="C350" s="1389">
        <v>9000</v>
      </c>
      <c r="D350" s="830">
        <f t="shared" si="42"/>
        <v>9000</v>
      </c>
      <c r="E350" s="1390">
        <f t="shared" si="44"/>
        <v>1529</v>
      </c>
      <c r="F350" s="1366">
        <f t="shared" si="40"/>
        <v>16.98888888888889</v>
      </c>
      <c r="G350" s="1389">
        <v>9000</v>
      </c>
      <c r="H350" s="830">
        <v>1529</v>
      </c>
      <c r="I350" s="1369">
        <f t="shared" si="41"/>
        <v>16.98888888888889</v>
      </c>
      <c r="J350" s="1445"/>
      <c r="K350" s="1390"/>
      <c r="L350" s="1446"/>
      <c r="M350" s="1390"/>
      <c r="N350" s="1390"/>
      <c r="O350" s="1447"/>
      <c r="P350" s="1390"/>
      <c r="Q350" s="1390"/>
      <c r="R350" s="1454"/>
    </row>
    <row r="351" spans="1:18" ht="24">
      <c r="A351" s="1443">
        <v>4300</v>
      </c>
      <c r="B351" s="1451" t="s">
        <v>824</v>
      </c>
      <c r="C351" s="1389">
        <v>200000</v>
      </c>
      <c r="D351" s="830">
        <f t="shared" si="42"/>
        <v>211000</v>
      </c>
      <c r="E351" s="1390">
        <f>SUM(H351+K351+N351+Q351)</f>
        <v>157825</v>
      </c>
      <c r="F351" s="1366">
        <f t="shared" si="40"/>
        <v>74.79857819905213</v>
      </c>
      <c r="G351" s="1389">
        <f>200000-1000+6000+6000</f>
        <v>211000</v>
      </c>
      <c r="H351" s="830">
        <v>157825</v>
      </c>
      <c r="I351" s="1369">
        <f t="shared" si="41"/>
        <v>74.79857819905213</v>
      </c>
      <c r="J351" s="1445"/>
      <c r="K351" s="1390"/>
      <c r="L351" s="1446"/>
      <c r="M351" s="1390"/>
      <c r="N351" s="1390"/>
      <c r="O351" s="1447"/>
      <c r="P351" s="1390"/>
      <c r="Q351" s="1390"/>
      <c r="R351" s="1454"/>
    </row>
    <row r="352" spans="1:18" ht="24">
      <c r="A352" s="1443">
        <v>4300</v>
      </c>
      <c r="B352" s="1451" t="s">
        <v>1251</v>
      </c>
      <c r="C352" s="1389"/>
      <c r="D352" s="830">
        <f t="shared" si="42"/>
        <v>3083</v>
      </c>
      <c r="E352" s="1390">
        <f>SUM(H352+K352+N352+Q352)</f>
        <v>0</v>
      </c>
      <c r="F352" s="1366">
        <f t="shared" si="40"/>
        <v>0</v>
      </c>
      <c r="G352" s="1389">
        <v>3083</v>
      </c>
      <c r="H352" s="830"/>
      <c r="I352" s="1369">
        <f t="shared" si="41"/>
        <v>0</v>
      </c>
      <c r="J352" s="1445"/>
      <c r="K352" s="1390"/>
      <c r="L352" s="1446"/>
      <c r="M352" s="1390"/>
      <c r="N352" s="1390"/>
      <c r="O352" s="1447"/>
      <c r="P352" s="1390"/>
      <c r="Q352" s="1390"/>
      <c r="R352" s="1454"/>
    </row>
    <row r="353" spans="1:18" ht="24">
      <c r="A353" s="2923">
        <v>4350</v>
      </c>
      <c r="B353" s="1574" t="s">
        <v>1245</v>
      </c>
      <c r="C353" s="1389"/>
      <c r="D353" s="830">
        <f aca="true" t="shared" si="45" ref="D353:E409">G353+J353+P353+M353</f>
        <v>585</v>
      </c>
      <c r="E353" s="1390">
        <f>SUM(H353+K353+N353+Q353)</f>
        <v>585</v>
      </c>
      <c r="F353" s="1366">
        <f t="shared" si="40"/>
        <v>100</v>
      </c>
      <c r="G353" s="1389">
        <v>585</v>
      </c>
      <c r="H353" s="830">
        <v>585</v>
      </c>
      <c r="I353" s="1369">
        <f t="shared" si="41"/>
        <v>100</v>
      </c>
      <c r="J353" s="1445"/>
      <c r="K353" s="1390"/>
      <c r="L353" s="1446"/>
      <c r="M353" s="1390"/>
      <c r="N353" s="1390"/>
      <c r="O353" s="1447"/>
      <c r="P353" s="1390"/>
      <c r="Q353" s="1390"/>
      <c r="R353" s="1454"/>
    </row>
    <row r="354" spans="1:18" ht="24">
      <c r="A354" s="2923">
        <v>4350</v>
      </c>
      <c r="B354" s="1574" t="s">
        <v>1252</v>
      </c>
      <c r="C354" s="1389"/>
      <c r="D354" s="830">
        <f t="shared" si="45"/>
        <v>1000</v>
      </c>
      <c r="E354" s="1390">
        <f>SUM(H354+K354+N354+Q354)</f>
        <v>159</v>
      </c>
      <c r="F354" s="1366">
        <f t="shared" si="40"/>
        <v>15.9</v>
      </c>
      <c r="G354" s="1389">
        <v>1000</v>
      </c>
      <c r="H354" s="830">
        <v>159</v>
      </c>
      <c r="I354" s="1369">
        <f t="shared" si="41"/>
        <v>15.9</v>
      </c>
      <c r="J354" s="1445"/>
      <c r="K354" s="1390"/>
      <c r="L354" s="1446"/>
      <c r="M354" s="1390"/>
      <c r="N354" s="1390"/>
      <c r="O354" s="1447"/>
      <c r="P354" s="1390"/>
      <c r="Q354" s="1390"/>
      <c r="R354" s="1454"/>
    </row>
    <row r="355" spans="1:18" ht="24">
      <c r="A355" s="1443">
        <v>4430</v>
      </c>
      <c r="B355" s="1451" t="s">
        <v>825</v>
      </c>
      <c r="C355" s="1389">
        <v>405000</v>
      </c>
      <c r="D355" s="830">
        <f t="shared" si="45"/>
        <v>405000</v>
      </c>
      <c r="E355" s="1390">
        <f t="shared" si="44"/>
        <v>216377</v>
      </c>
      <c r="F355" s="1366">
        <f t="shared" si="40"/>
        <v>53.42641975308642</v>
      </c>
      <c r="G355" s="1389">
        <v>405000</v>
      </c>
      <c r="H355" s="830">
        <v>216377</v>
      </c>
      <c r="I355" s="1369">
        <f>H355/G355*100</f>
        <v>53.42641975308642</v>
      </c>
      <c r="J355" s="1445"/>
      <c r="K355" s="1390"/>
      <c r="L355" s="1446"/>
      <c r="M355" s="1390"/>
      <c r="N355" s="1390"/>
      <c r="O355" s="1447"/>
      <c r="P355" s="1390"/>
      <c r="Q355" s="1390"/>
      <c r="R355" s="1454"/>
    </row>
    <row r="356" spans="1:18" ht="60">
      <c r="A356" s="1443">
        <v>2819</v>
      </c>
      <c r="B356" s="1451" t="s">
        <v>1253</v>
      </c>
      <c r="C356" s="1389"/>
      <c r="D356" s="830">
        <f t="shared" si="45"/>
        <v>100000</v>
      </c>
      <c r="E356" s="1390">
        <f>SUM(H356+K356+N356+Q356)</f>
        <v>100000</v>
      </c>
      <c r="F356" s="1366">
        <f>E356/D356*100</f>
        <v>100</v>
      </c>
      <c r="G356" s="1486">
        <v>100000</v>
      </c>
      <c r="H356" s="830">
        <v>100000</v>
      </c>
      <c r="I356" s="1369">
        <f>H356/G356*100</f>
        <v>100</v>
      </c>
      <c r="J356" s="1445"/>
      <c r="K356" s="1390"/>
      <c r="L356" s="1446"/>
      <c r="M356" s="1445"/>
      <c r="N356" s="1445"/>
      <c r="O356" s="1447"/>
      <c r="P356" s="1390"/>
      <c r="Q356" s="1390"/>
      <c r="R356" s="1454"/>
    </row>
    <row r="357" spans="1:18" ht="60.75" thickBot="1">
      <c r="A357" s="1443">
        <v>2810</v>
      </c>
      <c r="B357" s="1451" t="s">
        <v>1253</v>
      </c>
      <c r="C357" s="1389">
        <v>462000</v>
      </c>
      <c r="D357" s="830">
        <f t="shared" si="45"/>
        <v>497000</v>
      </c>
      <c r="E357" s="1390">
        <f t="shared" si="44"/>
        <v>231000</v>
      </c>
      <c r="F357" s="1366">
        <f t="shared" si="40"/>
        <v>46.478873239436616</v>
      </c>
      <c r="G357" s="1486">
        <f>462000+35000</f>
        <v>497000</v>
      </c>
      <c r="H357" s="1390">
        <v>231000</v>
      </c>
      <c r="I357" s="1369">
        <f t="shared" si="41"/>
        <v>46.478873239436616</v>
      </c>
      <c r="J357" s="1445"/>
      <c r="K357" s="1390"/>
      <c r="L357" s="1446"/>
      <c r="M357" s="1389"/>
      <c r="N357" s="1445"/>
      <c r="O357" s="1447"/>
      <c r="P357" s="1390"/>
      <c r="Q357" s="1390"/>
      <c r="R357" s="1454"/>
    </row>
    <row r="358" spans="1:18" s="1285" customFormat="1" ht="48.75" hidden="1" thickBot="1">
      <c r="A358" s="1499"/>
      <c r="B358" s="1597" t="s">
        <v>826</v>
      </c>
      <c r="C358" s="1598"/>
      <c r="D358" s="1600">
        <f t="shared" si="45"/>
        <v>0</v>
      </c>
      <c r="E358" s="1600">
        <f t="shared" si="44"/>
        <v>0</v>
      </c>
      <c r="F358" s="1366" t="e">
        <f t="shared" si="40"/>
        <v>#DIV/0!</v>
      </c>
      <c r="G358" s="1598"/>
      <c r="H358" s="1600"/>
      <c r="I358" s="1369" t="e">
        <f t="shared" si="41"/>
        <v>#DIV/0!</v>
      </c>
      <c r="J358" s="1601"/>
      <c r="K358" s="1600"/>
      <c r="L358" s="1503"/>
      <c r="M358" s="1598"/>
      <c r="N358" s="1601"/>
      <c r="O358" s="1503"/>
      <c r="P358" s="1600"/>
      <c r="Q358" s="1600"/>
      <c r="R358" s="1602"/>
    </row>
    <row r="359" spans="1:18" s="1285" customFormat="1" ht="25.5" customHeight="1" hidden="1">
      <c r="A359" s="1499"/>
      <c r="B359" s="1597" t="s">
        <v>827</v>
      </c>
      <c r="C359" s="1598"/>
      <c r="D359" s="1600">
        <f t="shared" si="45"/>
        <v>0</v>
      </c>
      <c r="E359" s="1600">
        <f t="shared" si="44"/>
        <v>0</v>
      </c>
      <c r="F359" s="1366" t="e">
        <f t="shared" si="40"/>
        <v>#DIV/0!</v>
      </c>
      <c r="G359" s="1598"/>
      <c r="H359" s="1600"/>
      <c r="I359" s="1369" t="e">
        <f t="shared" si="41"/>
        <v>#DIV/0!</v>
      </c>
      <c r="J359" s="1601"/>
      <c r="K359" s="1600"/>
      <c r="L359" s="1503"/>
      <c r="M359" s="1598"/>
      <c r="N359" s="1601"/>
      <c r="O359" s="1503"/>
      <c r="P359" s="1600"/>
      <c r="Q359" s="1600"/>
      <c r="R359" s="1602"/>
    </row>
    <row r="360" spans="1:18" s="1435" customFormat="1" ht="81.75" customHeight="1" thickBot="1" thickTop="1">
      <c r="A360" s="1429">
        <v>751</v>
      </c>
      <c r="B360" s="1430" t="s">
        <v>132</v>
      </c>
      <c r="C360" s="1431">
        <f>C361+C383</f>
        <v>18425</v>
      </c>
      <c r="D360" s="813">
        <f t="shared" si="45"/>
        <v>17750</v>
      </c>
      <c r="E360" s="1416">
        <f>H360+K360+Q360+N360</f>
        <v>3954</v>
      </c>
      <c r="F360" s="1342">
        <f t="shared" si="40"/>
        <v>22.27605633802817</v>
      </c>
      <c r="G360" s="1431"/>
      <c r="H360" s="1416"/>
      <c r="I360" s="1618"/>
      <c r="J360" s="1416">
        <f>SUM(J361+J383)+J374+J367</f>
        <v>17750</v>
      </c>
      <c r="K360" s="1432">
        <f>K361+K383+K374+K367</f>
        <v>3954</v>
      </c>
      <c r="L360" s="1344">
        <f aca="true" t="shared" si="46" ref="L360:L388">K360/J360*100</f>
        <v>22.27605633802817</v>
      </c>
      <c r="M360" s="1431"/>
      <c r="N360" s="1432"/>
      <c r="O360" s="1434"/>
      <c r="P360" s="1416"/>
      <c r="Q360" s="1416"/>
      <c r="R360" s="1528"/>
    </row>
    <row r="361" spans="1:18" s="1435" customFormat="1" ht="48.75" thickTop="1">
      <c r="A361" s="1531">
        <v>75101</v>
      </c>
      <c r="B361" s="1532" t="s">
        <v>828</v>
      </c>
      <c r="C361" s="1533">
        <f>SUM(C362:C366)</f>
        <v>18425</v>
      </c>
      <c r="D361" s="821">
        <f t="shared" si="45"/>
        <v>17750</v>
      </c>
      <c r="E361" s="1536">
        <f>SUM(E362:E366)</f>
        <v>3954</v>
      </c>
      <c r="F361" s="1419">
        <f t="shared" si="40"/>
        <v>22.27605633802817</v>
      </c>
      <c r="G361" s="1533"/>
      <c r="H361" s="1536"/>
      <c r="I361" s="1551"/>
      <c r="J361" s="1536">
        <f>SUM(J362:J366)</f>
        <v>17750</v>
      </c>
      <c r="K361" s="1536">
        <f>SUM(K362:K366)</f>
        <v>3954</v>
      </c>
      <c r="L361" s="1439">
        <f t="shared" si="46"/>
        <v>22.27605633802817</v>
      </c>
      <c r="M361" s="1533"/>
      <c r="N361" s="1537"/>
      <c r="O361" s="1498"/>
      <c r="P361" s="1536"/>
      <c r="Q361" s="1536"/>
      <c r="R361" s="1539"/>
    </row>
    <row r="362" spans="1:18" s="1286" customFormat="1" ht="24">
      <c r="A362" s="1512">
        <v>4110</v>
      </c>
      <c r="B362" s="1451" t="s">
        <v>686</v>
      </c>
      <c r="C362" s="832">
        <v>1210</v>
      </c>
      <c r="D362" s="830">
        <f t="shared" si="45"/>
        <v>1345</v>
      </c>
      <c r="E362" s="1390">
        <f aca="true" t="shared" si="47" ref="E362:E394">SUM(H362+K362+N362+Q362)</f>
        <v>335</v>
      </c>
      <c r="F362" s="1366">
        <f aca="true" t="shared" si="48" ref="F362:F396">E362/D362*100</f>
        <v>24.907063197026023</v>
      </c>
      <c r="G362" s="832"/>
      <c r="H362" s="830"/>
      <c r="I362" s="1446"/>
      <c r="J362" s="1583">
        <f>1210+135</f>
        <v>1345</v>
      </c>
      <c r="K362" s="830">
        <v>335</v>
      </c>
      <c r="L362" s="1369">
        <f t="shared" si="46"/>
        <v>24.907063197026023</v>
      </c>
      <c r="M362" s="832"/>
      <c r="N362" s="1514"/>
      <c r="O362" s="1515"/>
      <c r="P362" s="830"/>
      <c r="Q362" s="830"/>
      <c r="R362" s="834"/>
    </row>
    <row r="363" spans="1:18" s="1286" customFormat="1" ht="12.75">
      <c r="A363" s="1512">
        <v>4120</v>
      </c>
      <c r="B363" s="1451" t="s">
        <v>829</v>
      </c>
      <c r="C363" s="832">
        <v>172</v>
      </c>
      <c r="D363" s="830">
        <f t="shared" si="45"/>
        <v>192</v>
      </c>
      <c r="E363" s="1390">
        <f t="shared" si="47"/>
        <v>48</v>
      </c>
      <c r="F363" s="1366">
        <f t="shared" si="48"/>
        <v>25</v>
      </c>
      <c r="G363" s="832"/>
      <c r="H363" s="830"/>
      <c r="I363" s="1446"/>
      <c r="J363" s="1583">
        <f>172+20</f>
        <v>192</v>
      </c>
      <c r="K363" s="830">
        <v>48</v>
      </c>
      <c r="L363" s="1369">
        <f t="shared" si="46"/>
        <v>25</v>
      </c>
      <c r="M363" s="832"/>
      <c r="N363" s="1514"/>
      <c r="O363" s="1515"/>
      <c r="P363" s="830"/>
      <c r="Q363" s="830"/>
      <c r="R363" s="834"/>
    </row>
    <row r="364" spans="1:18" s="1286" customFormat="1" ht="24">
      <c r="A364" s="1512">
        <v>4170</v>
      </c>
      <c r="B364" s="1451" t="s">
        <v>744</v>
      </c>
      <c r="C364" s="832">
        <v>7000</v>
      </c>
      <c r="D364" s="830">
        <f t="shared" si="45"/>
        <v>7800</v>
      </c>
      <c r="E364" s="1390">
        <f t="shared" si="47"/>
        <v>1950</v>
      </c>
      <c r="F364" s="1366">
        <f t="shared" si="48"/>
        <v>25</v>
      </c>
      <c r="G364" s="832"/>
      <c r="H364" s="830"/>
      <c r="I364" s="1446"/>
      <c r="J364" s="1583">
        <f>7000+800</f>
        <v>7800</v>
      </c>
      <c r="K364" s="830">
        <v>1950</v>
      </c>
      <c r="L364" s="1369">
        <f t="shared" si="46"/>
        <v>25</v>
      </c>
      <c r="M364" s="832"/>
      <c r="N364" s="1514"/>
      <c r="O364" s="1515"/>
      <c r="P364" s="830"/>
      <c r="Q364" s="830"/>
      <c r="R364" s="834"/>
    </row>
    <row r="365" spans="1:18" s="1286" customFormat="1" ht="24">
      <c r="A365" s="1443">
        <v>4210</v>
      </c>
      <c r="B365" s="1451" t="s">
        <v>830</v>
      </c>
      <c r="C365" s="832">
        <v>8043</v>
      </c>
      <c r="D365" s="830">
        <f t="shared" si="45"/>
        <v>7413</v>
      </c>
      <c r="E365" s="1390">
        <f t="shared" si="47"/>
        <v>1621</v>
      </c>
      <c r="F365" s="1366">
        <f t="shared" si="48"/>
        <v>21.86699042223122</v>
      </c>
      <c r="G365" s="832"/>
      <c r="H365" s="830"/>
      <c r="I365" s="1446"/>
      <c r="J365" s="1583">
        <f>8043-630</f>
        <v>7413</v>
      </c>
      <c r="K365" s="830">
        <v>1621</v>
      </c>
      <c r="L365" s="1369">
        <f t="shared" si="46"/>
        <v>21.86699042223122</v>
      </c>
      <c r="M365" s="832"/>
      <c r="N365" s="1514"/>
      <c r="O365" s="1515"/>
      <c r="P365" s="830"/>
      <c r="Q365" s="830"/>
      <c r="R365" s="834"/>
    </row>
    <row r="366" spans="1:18" s="1435" customFormat="1" ht="13.5" thickBot="1">
      <c r="A366" s="1443">
        <v>4300</v>
      </c>
      <c r="B366" s="1451" t="s">
        <v>831</v>
      </c>
      <c r="C366" s="1389">
        <v>2000</v>
      </c>
      <c r="D366" s="830">
        <f t="shared" si="45"/>
        <v>1000</v>
      </c>
      <c r="E366" s="1390">
        <f t="shared" si="47"/>
        <v>0</v>
      </c>
      <c r="F366" s="1366">
        <f t="shared" si="48"/>
        <v>0</v>
      </c>
      <c r="G366" s="1389"/>
      <c r="H366" s="1390"/>
      <c r="I366" s="1446"/>
      <c r="J366" s="1486">
        <f>2000-1000</f>
        <v>1000</v>
      </c>
      <c r="K366" s="1390"/>
      <c r="L366" s="1369">
        <f t="shared" si="46"/>
        <v>0</v>
      </c>
      <c r="M366" s="1389"/>
      <c r="N366" s="1445"/>
      <c r="O366" s="1447"/>
      <c r="P366" s="1390"/>
      <c r="Q366" s="1390"/>
      <c r="R366" s="1454"/>
    </row>
    <row r="367" spans="1:18" s="1435" customFormat="1" ht="24.75" hidden="1" thickBot="1">
      <c r="A367" s="1479">
        <v>75107</v>
      </c>
      <c r="B367" s="1576" t="s">
        <v>1254</v>
      </c>
      <c r="C367" s="823"/>
      <c r="D367" s="845">
        <f t="shared" si="45"/>
        <v>0</v>
      </c>
      <c r="E367" s="845">
        <f t="shared" si="47"/>
        <v>0</v>
      </c>
      <c r="F367" s="1475" t="e">
        <f t="shared" si="48"/>
        <v>#DIV/0!</v>
      </c>
      <c r="G367" s="823"/>
      <c r="H367" s="845"/>
      <c r="I367" s="1441"/>
      <c r="J367" s="1577">
        <f>SUM(J368:J373)</f>
        <v>0</v>
      </c>
      <c r="K367" s="845">
        <f>SUM(K368:K373)</f>
        <v>0</v>
      </c>
      <c r="L367" s="1475" t="e">
        <f t="shared" si="46"/>
        <v>#DIV/0!</v>
      </c>
      <c r="M367" s="823"/>
      <c r="N367" s="1510"/>
      <c r="O367" s="1511"/>
      <c r="P367" s="1510"/>
      <c r="Q367" s="845"/>
      <c r="R367" s="826"/>
    </row>
    <row r="368" spans="1:18" s="1435" customFormat="1" ht="24.75" hidden="1" thickBot="1">
      <c r="A368" s="1512">
        <v>3030</v>
      </c>
      <c r="B368" s="1574" t="s">
        <v>678</v>
      </c>
      <c r="C368" s="1389"/>
      <c r="D368" s="830">
        <f t="shared" si="45"/>
        <v>0</v>
      </c>
      <c r="E368" s="1390">
        <f t="shared" si="47"/>
        <v>0</v>
      </c>
      <c r="F368" s="1366" t="e">
        <f t="shared" si="48"/>
        <v>#DIV/0!</v>
      </c>
      <c r="G368" s="1389"/>
      <c r="H368" s="1390"/>
      <c r="I368" s="1446"/>
      <c r="J368" s="1578"/>
      <c r="K368" s="1390"/>
      <c r="L368" s="1369" t="e">
        <f t="shared" si="46"/>
        <v>#DIV/0!</v>
      </c>
      <c r="M368" s="1389"/>
      <c r="N368" s="1445"/>
      <c r="O368" s="1447"/>
      <c r="P368" s="1445"/>
      <c r="Q368" s="1390"/>
      <c r="R368" s="1454"/>
    </row>
    <row r="369" spans="1:18" s="1435" customFormat="1" ht="24.75" hidden="1" thickBot="1">
      <c r="A369" s="1512">
        <v>4110</v>
      </c>
      <c r="B369" s="1574" t="s">
        <v>686</v>
      </c>
      <c r="C369" s="1389"/>
      <c r="D369" s="830">
        <f t="shared" si="45"/>
        <v>0</v>
      </c>
      <c r="E369" s="1390">
        <f t="shared" si="47"/>
        <v>0</v>
      </c>
      <c r="F369" s="1366" t="e">
        <f t="shared" si="48"/>
        <v>#DIV/0!</v>
      </c>
      <c r="G369" s="1389"/>
      <c r="H369" s="1390"/>
      <c r="I369" s="1446"/>
      <c r="J369" s="1578"/>
      <c r="K369" s="1390"/>
      <c r="L369" s="1369" t="e">
        <f t="shared" si="46"/>
        <v>#DIV/0!</v>
      </c>
      <c r="M369" s="1389"/>
      <c r="N369" s="1445"/>
      <c r="O369" s="1447"/>
      <c r="P369" s="1445"/>
      <c r="Q369" s="1390"/>
      <c r="R369" s="1454"/>
    </row>
    <row r="370" spans="1:18" s="1435" customFormat="1" ht="13.5" hidden="1" thickBot="1">
      <c r="A370" s="1512">
        <v>4120</v>
      </c>
      <c r="B370" s="1574" t="s">
        <v>781</v>
      </c>
      <c r="C370" s="1389"/>
      <c r="D370" s="830">
        <f t="shared" si="45"/>
        <v>0</v>
      </c>
      <c r="E370" s="1390">
        <f t="shared" si="47"/>
        <v>0</v>
      </c>
      <c r="F370" s="1366" t="e">
        <f t="shared" si="48"/>
        <v>#DIV/0!</v>
      </c>
      <c r="G370" s="1389"/>
      <c r="H370" s="1390"/>
      <c r="I370" s="1446"/>
      <c r="J370" s="1578"/>
      <c r="K370" s="1390"/>
      <c r="L370" s="1369" t="e">
        <f t="shared" si="46"/>
        <v>#DIV/0!</v>
      </c>
      <c r="M370" s="1389"/>
      <c r="N370" s="1445"/>
      <c r="O370" s="1447"/>
      <c r="P370" s="1445"/>
      <c r="Q370" s="1390"/>
      <c r="R370" s="1454"/>
    </row>
    <row r="371" spans="1:18" s="1435" customFormat="1" ht="24.75" hidden="1" thickBot="1">
      <c r="A371" s="1443">
        <v>4170</v>
      </c>
      <c r="B371" s="1451" t="s">
        <v>744</v>
      </c>
      <c r="C371" s="1389"/>
      <c r="D371" s="830">
        <f t="shared" si="45"/>
        <v>0</v>
      </c>
      <c r="E371" s="1390">
        <f t="shared" si="47"/>
        <v>0</v>
      </c>
      <c r="F371" s="1366" t="e">
        <f t="shared" si="48"/>
        <v>#DIV/0!</v>
      </c>
      <c r="G371" s="1389"/>
      <c r="H371" s="1390"/>
      <c r="I371" s="1446"/>
      <c r="J371" s="1578"/>
      <c r="K371" s="1390"/>
      <c r="L371" s="1369" t="e">
        <f t="shared" si="46"/>
        <v>#DIV/0!</v>
      </c>
      <c r="M371" s="1389"/>
      <c r="N371" s="1445"/>
      <c r="O371" s="1447"/>
      <c r="P371" s="1445"/>
      <c r="Q371" s="1390"/>
      <c r="R371" s="1454"/>
    </row>
    <row r="372" spans="1:18" s="1435" customFormat="1" ht="24.75" hidden="1" thickBot="1">
      <c r="A372" s="1443">
        <v>4210</v>
      </c>
      <c r="B372" s="1451" t="s">
        <v>690</v>
      </c>
      <c r="C372" s="1389"/>
      <c r="D372" s="830">
        <f t="shared" si="45"/>
        <v>0</v>
      </c>
      <c r="E372" s="1390">
        <f t="shared" si="47"/>
        <v>0</v>
      </c>
      <c r="F372" s="1366" t="e">
        <f t="shared" si="48"/>
        <v>#DIV/0!</v>
      </c>
      <c r="G372" s="1389"/>
      <c r="H372" s="1390"/>
      <c r="I372" s="1446"/>
      <c r="J372" s="1578"/>
      <c r="K372" s="1390"/>
      <c r="L372" s="1369" t="e">
        <f t="shared" si="46"/>
        <v>#DIV/0!</v>
      </c>
      <c r="M372" s="1389"/>
      <c r="N372" s="1445"/>
      <c r="O372" s="1447"/>
      <c r="P372" s="1445"/>
      <c r="Q372" s="1390"/>
      <c r="R372" s="1454"/>
    </row>
    <row r="373" spans="1:18" s="1435" customFormat="1" ht="13.5" hidden="1" thickBot="1">
      <c r="A373" s="1443">
        <v>4300</v>
      </c>
      <c r="B373" s="1451" t="s">
        <v>698</v>
      </c>
      <c r="C373" s="1389"/>
      <c r="D373" s="830">
        <f t="shared" si="45"/>
        <v>0</v>
      </c>
      <c r="E373" s="1390">
        <f t="shared" si="47"/>
        <v>0</v>
      </c>
      <c r="F373" s="1366" t="e">
        <f t="shared" si="48"/>
        <v>#DIV/0!</v>
      </c>
      <c r="G373" s="1389"/>
      <c r="H373" s="1390"/>
      <c r="I373" s="1446"/>
      <c r="J373" s="1578"/>
      <c r="K373" s="1390"/>
      <c r="L373" s="1369" t="e">
        <f t="shared" si="46"/>
        <v>#DIV/0!</v>
      </c>
      <c r="M373" s="1389"/>
      <c r="N373" s="1445"/>
      <c r="O373" s="1447"/>
      <c r="P373" s="1445"/>
      <c r="Q373" s="1390"/>
      <c r="R373" s="1454"/>
    </row>
    <row r="374" spans="1:18" s="1471" customFormat="1" ht="24.75" hidden="1" thickBot="1">
      <c r="A374" s="1479">
        <v>75108</v>
      </c>
      <c r="B374" s="1576" t="s">
        <v>1255</v>
      </c>
      <c r="C374" s="823"/>
      <c r="D374" s="845">
        <f t="shared" si="45"/>
        <v>0</v>
      </c>
      <c r="E374" s="845">
        <f t="shared" si="47"/>
        <v>0</v>
      </c>
      <c r="F374" s="1398" t="e">
        <f t="shared" si="48"/>
        <v>#DIV/0!</v>
      </c>
      <c r="G374" s="823"/>
      <c r="H374" s="845"/>
      <c r="I374" s="1441"/>
      <c r="J374" s="2926">
        <f>SUM(J375:J382)</f>
        <v>0</v>
      </c>
      <c r="K374" s="845">
        <f>SUM(K375:K382)</f>
        <v>0</v>
      </c>
      <c r="L374" s="1475" t="e">
        <f t="shared" si="46"/>
        <v>#DIV/0!</v>
      </c>
      <c r="M374" s="823"/>
      <c r="N374" s="1510"/>
      <c r="O374" s="1511"/>
      <c r="P374" s="1510"/>
      <c r="Q374" s="845"/>
      <c r="R374" s="826"/>
    </row>
    <row r="375" spans="1:18" s="1286" customFormat="1" ht="35.25" customHeight="1" hidden="1">
      <c r="A375" s="1512">
        <v>3020</v>
      </c>
      <c r="B375" s="1574" t="s">
        <v>832</v>
      </c>
      <c r="C375" s="832"/>
      <c r="D375" s="830">
        <f t="shared" si="45"/>
        <v>0</v>
      </c>
      <c r="E375" s="1390">
        <f t="shared" si="47"/>
        <v>0</v>
      </c>
      <c r="F375" s="1366" t="e">
        <f t="shared" si="48"/>
        <v>#DIV/0!</v>
      </c>
      <c r="G375" s="832"/>
      <c r="H375" s="830"/>
      <c r="I375" s="1446"/>
      <c r="J375" s="830"/>
      <c r="K375" s="1514">
        <v>0</v>
      </c>
      <c r="L375" s="1369" t="e">
        <f t="shared" si="46"/>
        <v>#DIV/0!</v>
      </c>
      <c r="M375" s="832"/>
      <c r="N375" s="1514"/>
      <c r="O375" s="1515"/>
      <c r="P375" s="1514"/>
      <c r="Q375" s="830"/>
      <c r="R375" s="834"/>
    </row>
    <row r="376" spans="1:18" s="1286" customFormat="1" ht="24.75" customHeight="1" hidden="1">
      <c r="A376" s="1512">
        <v>3030</v>
      </c>
      <c r="B376" s="1574" t="s">
        <v>678</v>
      </c>
      <c r="C376" s="832"/>
      <c r="D376" s="830">
        <f t="shared" si="45"/>
        <v>0</v>
      </c>
      <c r="E376" s="1390">
        <f t="shared" si="47"/>
        <v>0</v>
      </c>
      <c r="F376" s="1366" t="e">
        <f t="shared" si="48"/>
        <v>#DIV/0!</v>
      </c>
      <c r="G376" s="832"/>
      <c r="H376" s="830"/>
      <c r="I376" s="1446"/>
      <c r="J376" s="830"/>
      <c r="K376" s="1514"/>
      <c r="L376" s="1369" t="e">
        <f t="shared" si="46"/>
        <v>#DIV/0!</v>
      </c>
      <c r="M376" s="832"/>
      <c r="N376" s="1514"/>
      <c r="O376" s="1515"/>
      <c r="P376" s="1514"/>
      <c r="Q376" s="830"/>
      <c r="R376" s="834"/>
    </row>
    <row r="377" spans="1:18" s="1286" customFormat="1" ht="24.75" customHeight="1" hidden="1">
      <c r="A377" s="1512">
        <v>3030</v>
      </c>
      <c r="B377" s="1574" t="s">
        <v>678</v>
      </c>
      <c r="C377" s="832"/>
      <c r="D377" s="830">
        <f t="shared" si="45"/>
        <v>0</v>
      </c>
      <c r="E377" s="1390">
        <f t="shared" si="47"/>
        <v>0</v>
      </c>
      <c r="F377" s="1366" t="e">
        <f t="shared" si="48"/>
        <v>#DIV/0!</v>
      </c>
      <c r="G377" s="832"/>
      <c r="H377" s="830"/>
      <c r="I377" s="1446"/>
      <c r="J377" s="830"/>
      <c r="K377" s="1514"/>
      <c r="L377" s="1369" t="e">
        <f t="shared" si="46"/>
        <v>#DIV/0!</v>
      </c>
      <c r="M377" s="832"/>
      <c r="N377" s="1514"/>
      <c r="O377" s="1515"/>
      <c r="P377" s="1514"/>
      <c r="Q377" s="830"/>
      <c r="R377" s="834"/>
    </row>
    <row r="378" spans="1:18" s="1286" customFormat="1" ht="24.75" customHeight="1" hidden="1">
      <c r="A378" s="1512">
        <v>4110</v>
      </c>
      <c r="B378" s="1574" t="s">
        <v>686</v>
      </c>
      <c r="C378" s="832"/>
      <c r="D378" s="830">
        <f t="shared" si="45"/>
        <v>0</v>
      </c>
      <c r="E378" s="1390">
        <f t="shared" si="47"/>
        <v>0</v>
      </c>
      <c r="F378" s="1366" t="e">
        <f t="shared" si="48"/>
        <v>#DIV/0!</v>
      </c>
      <c r="G378" s="832"/>
      <c r="H378" s="830"/>
      <c r="I378" s="1446"/>
      <c r="J378" s="830"/>
      <c r="K378" s="1514"/>
      <c r="L378" s="1369" t="e">
        <f t="shared" si="46"/>
        <v>#DIV/0!</v>
      </c>
      <c r="M378" s="832"/>
      <c r="N378" s="1514"/>
      <c r="O378" s="1515"/>
      <c r="P378" s="1514"/>
      <c r="Q378" s="830"/>
      <c r="R378" s="834"/>
    </row>
    <row r="379" spans="1:18" s="1286" customFormat="1" ht="15" customHeight="1" hidden="1">
      <c r="A379" s="1512">
        <v>4120</v>
      </c>
      <c r="B379" s="1574" t="s">
        <v>781</v>
      </c>
      <c r="C379" s="832"/>
      <c r="D379" s="830">
        <f t="shared" si="45"/>
        <v>0</v>
      </c>
      <c r="E379" s="1390">
        <f t="shared" si="47"/>
        <v>0</v>
      </c>
      <c r="F379" s="1366" t="e">
        <f t="shared" si="48"/>
        <v>#DIV/0!</v>
      </c>
      <c r="G379" s="832"/>
      <c r="H379" s="830"/>
      <c r="I379" s="1446"/>
      <c r="J379" s="830"/>
      <c r="K379" s="1514"/>
      <c r="L379" s="1369" t="e">
        <f t="shared" si="46"/>
        <v>#DIV/0!</v>
      </c>
      <c r="M379" s="832"/>
      <c r="N379" s="1514"/>
      <c r="O379" s="1515"/>
      <c r="P379" s="1514"/>
      <c r="Q379" s="830"/>
      <c r="R379" s="834"/>
    </row>
    <row r="380" spans="1:18" s="1435" customFormat="1" ht="26.25" customHeight="1" hidden="1">
      <c r="A380" s="1443">
        <v>4170</v>
      </c>
      <c r="B380" s="1451" t="s">
        <v>744</v>
      </c>
      <c r="C380" s="1389"/>
      <c r="D380" s="830">
        <f t="shared" si="45"/>
        <v>0</v>
      </c>
      <c r="E380" s="1390">
        <f t="shared" si="47"/>
        <v>0</v>
      </c>
      <c r="F380" s="1366" t="e">
        <f t="shared" si="48"/>
        <v>#DIV/0!</v>
      </c>
      <c r="G380" s="1389"/>
      <c r="H380" s="1390"/>
      <c r="I380" s="1446"/>
      <c r="J380" s="1390"/>
      <c r="K380" s="1445"/>
      <c r="L380" s="1369" t="e">
        <f t="shared" si="46"/>
        <v>#DIV/0!</v>
      </c>
      <c r="M380" s="1389"/>
      <c r="N380" s="1445"/>
      <c r="O380" s="1447"/>
      <c r="P380" s="1445"/>
      <c r="Q380" s="1390"/>
      <c r="R380" s="1454"/>
    </row>
    <row r="381" spans="1:18" s="1435" customFormat="1" ht="24.75" customHeight="1" hidden="1">
      <c r="A381" s="1443">
        <v>4210</v>
      </c>
      <c r="B381" s="1451" t="s">
        <v>690</v>
      </c>
      <c r="C381" s="1389"/>
      <c r="D381" s="830">
        <f t="shared" si="45"/>
        <v>0</v>
      </c>
      <c r="E381" s="1390">
        <f t="shared" si="47"/>
        <v>0</v>
      </c>
      <c r="F381" s="1366" t="e">
        <f t="shared" si="48"/>
        <v>#DIV/0!</v>
      </c>
      <c r="G381" s="1389"/>
      <c r="H381" s="1390"/>
      <c r="I381" s="1446"/>
      <c r="J381" s="1390"/>
      <c r="K381" s="1445"/>
      <c r="L381" s="1369" t="e">
        <f t="shared" si="46"/>
        <v>#DIV/0!</v>
      </c>
      <c r="M381" s="1389"/>
      <c r="N381" s="1445"/>
      <c r="O381" s="1447"/>
      <c r="P381" s="1445"/>
      <c r="Q381" s="1390"/>
      <c r="R381" s="1454"/>
    </row>
    <row r="382" spans="1:18" s="1435" customFormat="1" ht="13.5" hidden="1" thickBot="1">
      <c r="A382" s="1443">
        <v>4300</v>
      </c>
      <c r="B382" s="1451" t="s">
        <v>698</v>
      </c>
      <c r="C382" s="1389"/>
      <c r="D382" s="830">
        <f t="shared" si="45"/>
        <v>0</v>
      </c>
      <c r="E382" s="1390">
        <f t="shared" si="47"/>
        <v>0</v>
      </c>
      <c r="F382" s="1366" t="e">
        <f t="shared" si="48"/>
        <v>#DIV/0!</v>
      </c>
      <c r="G382" s="1494"/>
      <c r="H382" s="1487"/>
      <c r="I382" s="1551"/>
      <c r="J382" s="1487"/>
      <c r="K382" s="1495"/>
      <c r="L382" s="1439" t="e">
        <f t="shared" si="46"/>
        <v>#DIV/0!</v>
      </c>
      <c r="M382" s="1494"/>
      <c r="N382" s="1495"/>
      <c r="O382" s="1498"/>
      <c r="P382" s="1495"/>
      <c r="Q382" s="1487"/>
      <c r="R382" s="1539"/>
    </row>
    <row r="383" spans="1:18" s="1471" customFormat="1" ht="27.75" customHeight="1" hidden="1">
      <c r="A383" s="1479">
        <v>75110</v>
      </c>
      <c r="B383" s="1576" t="s">
        <v>833</v>
      </c>
      <c r="C383" s="855"/>
      <c r="D383" s="830">
        <f t="shared" si="45"/>
        <v>0</v>
      </c>
      <c r="E383" s="1390">
        <f t="shared" si="47"/>
        <v>0</v>
      </c>
      <c r="F383" s="1381" t="e">
        <f t="shared" si="48"/>
        <v>#DIV/0!</v>
      </c>
      <c r="G383" s="855"/>
      <c r="H383" s="856"/>
      <c r="I383" s="1441"/>
      <c r="J383" s="845">
        <f>SUM(J384:J388)</f>
        <v>0</v>
      </c>
      <c r="K383" s="845">
        <f>SUM(K384:K388)</f>
        <v>0</v>
      </c>
      <c r="L383" s="1400" t="e">
        <f t="shared" si="46"/>
        <v>#DIV/0!</v>
      </c>
      <c r="M383" s="823"/>
      <c r="N383" s="1510"/>
      <c r="O383" s="1511"/>
      <c r="P383" s="1510"/>
      <c r="Q383" s="845"/>
      <c r="R383" s="826"/>
    </row>
    <row r="384" spans="1:18" s="1286" customFormat="1" ht="27.75" customHeight="1" hidden="1">
      <c r="A384" s="1512">
        <v>3030</v>
      </c>
      <c r="B384" s="1574" t="s">
        <v>678</v>
      </c>
      <c r="C384" s="832"/>
      <c r="D384" s="830">
        <f t="shared" si="45"/>
        <v>0</v>
      </c>
      <c r="E384" s="1390">
        <f t="shared" si="47"/>
        <v>0</v>
      </c>
      <c r="F384" s="1366" t="e">
        <f t="shared" si="48"/>
        <v>#DIV/0!</v>
      </c>
      <c r="G384" s="864"/>
      <c r="H384" s="869"/>
      <c r="I384" s="1543"/>
      <c r="J384" s="869"/>
      <c r="K384" s="1542"/>
      <c r="L384" s="1410" t="e">
        <f t="shared" si="46"/>
        <v>#DIV/0!</v>
      </c>
      <c r="M384" s="864"/>
      <c r="N384" s="1542"/>
      <c r="O384" s="1515"/>
      <c r="P384" s="1514"/>
      <c r="Q384" s="830"/>
      <c r="R384" s="834"/>
    </row>
    <row r="385" spans="1:18" s="1286" customFormat="1" ht="27.75" customHeight="1" hidden="1">
      <c r="A385" s="1512">
        <v>4110</v>
      </c>
      <c r="B385" s="1574" t="s">
        <v>686</v>
      </c>
      <c r="C385" s="832"/>
      <c r="D385" s="830">
        <f t="shared" si="45"/>
        <v>0</v>
      </c>
      <c r="E385" s="1390">
        <f t="shared" si="47"/>
        <v>0</v>
      </c>
      <c r="F385" s="1366" t="e">
        <f t="shared" si="48"/>
        <v>#DIV/0!</v>
      </c>
      <c r="G385" s="832"/>
      <c r="H385" s="830"/>
      <c r="I385" s="1446"/>
      <c r="J385" s="830"/>
      <c r="K385" s="1514"/>
      <c r="L385" s="1369" t="e">
        <f t="shared" si="46"/>
        <v>#DIV/0!</v>
      </c>
      <c r="M385" s="832"/>
      <c r="N385" s="1514"/>
      <c r="O385" s="1515"/>
      <c r="P385" s="1514"/>
      <c r="Q385" s="830"/>
      <c r="R385" s="834"/>
    </row>
    <row r="386" spans="1:18" s="1286" customFormat="1" ht="27.75" customHeight="1" hidden="1">
      <c r="A386" s="1512">
        <v>4120</v>
      </c>
      <c r="B386" s="1574" t="s">
        <v>771</v>
      </c>
      <c r="C386" s="832"/>
      <c r="D386" s="830">
        <f t="shared" si="45"/>
        <v>0</v>
      </c>
      <c r="E386" s="1390">
        <f t="shared" si="47"/>
        <v>0</v>
      </c>
      <c r="F386" s="1366" t="e">
        <f t="shared" si="48"/>
        <v>#DIV/0!</v>
      </c>
      <c r="G386" s="832"/>
      <c r="H386" s="830"/>
      <c r="I386" s="1446"/>
      <c r="J386" s="830"/>
      <c r="K386" s="1514"/>
      <c r="L386" s="1369" t="e">
        <f t="shared" si="46"/>
        <v>#DIV/0!</v>
      </c>
      <c r="M386" s="832"/>
      <c r="N386" s="1514"/>
      <c r="O386" s="1515"/>
      <c r="P386" s="1514"/>
      <c r="Q386" s="830"/>
      <c r="R386" s="834"/>
    </row>
    <row r="387" spans="1:18" s="1435" customFormat="1" ht="25.5" customHeight="1" hidden="1">
      <c r="A387" s="1443">
        <v>4210</v>
      </c>
      <c r="B387" s="1451" t="s">
        <v>690</v>
      </c>
      <c r="C387" s="1389"/>
      <c r="D387" s="830">
        <f t="shared" si="45"/>
        <v>0</v>
      </c>
      <c r="E387" s="1390">
        <f t="shared" si="47"/>
        <v>0</v>
      </c>
      <c r="F387" s="1366" t="e">
        <f t="shared" si="48"/>
        <v>#DIV/0!</v>
      </c>
      <c r="G387" s="1389"/>
      <c r="H387" s="1390"/>
      <c r="I387" s="1446"/>
      <c r="J387" s="1390"/>
      <c r="K387" s="1445"/>
      <c r="L387" s="1369" t="e">
        <f t="shared" si="46"/>
        <v>#DIV/0!</v>
      </c>
      <c r="M387" s="1389"/>
      <c r="N387" s="1445"/>
      <c r="O387" s="1447"/>
      <c r="P387" s="1445"/>
      <c r="Q387" s="1390"/>
      <c r="R387" s="1454"/>
    </row>
    <row r="388" spans="1:18" s="1435" customFormat="1" ht="26.25" customHeight="1" hidden="1">
      <c r="A388" s="1443">
        <v>4300</v>
      </c>
      <c r="B388" s="1451" t="s">
        <v>698</v>
      </c>
      <c r="C388" s="1389"/>
      <c r="D388" s="830">
        <f t="shared" si="45"/>
        <v>0</v>
      </c>
      <c r="E388" s="1390">
        <f t="shared" si="47"/>
        <v>0</v>
      </c>
      <c r="F388" s="1366" t="e">
        <f t="shared" si="48"/>
        <v>#DIV/0!</v>
      </c>
      <c r="G388" s="1389"/>
      <c r="H388" s="1390"/>
      <c r="I388" s="1446"/>
      <c r="J388" s="1390"/>
      <c r="K388" s="1445"/>
      <c r="L388" s="1369" t="e">
        <f t="shared" si="46"/>
        <v>#DIV/0!</v>
      </c>
      <c r="M388" s="1389"/>
      <c r="N388" s="1445"/>
      <c r="O388" s="1447"/>
      <c r="P388" s="1445"/>
      <c r="Q388" s="1390"/>
      <c r="R388" s="1454"/>
    </row>
    <row r="389" spans="1:18" s="1471" customFormat="1" ht="17.25" customHeight="1" hidden="1">
      <c r="A389" s="1455">
        <v>752</v>
      </c>
      <c r="B389" s="1456" t="s">
        <v>134</v>
      </c>
      <c r="C389" s="812">
        <f>C390</f>
        <v>0</v>
      </c>
      <c r="D389" s="813">
        <f t="shared" si="45"/>
        <v>0</v>
      </c>
      <c r="E389" s="813">
        <f t="shared" si="47"/>
        <v>0</v>
      </c>
      <c r="F389" s="1457" t="e">
        <f t="shared" si="48"/>
        <v>#DIV/0!</v>
      </c>
      <c r="G389" s="812"/>
      <c r="H389" s="813"/>
      <c r="I389" s="1433"/>
      <c r="J389" s="813"/>
      <c r="K389" s="1459"/>
      <c r="L389" s="1458"/>
      <c r="M389" s="874"/>
      <c r="N389" s="813"/>
      <c r="O389" s="1619"/>
      <c r="P389" s="1459">
        <f>P390</f>
        <v>0</v>
      </c>
      <c r="Q389" s="813">
        <f>Q390</f>
        <v>0</v>
      </c>
      <c r="R389" s="816" t="e">
        <f aca="true" t="shared" si="49" ref="R389:R395">Q389/P389*100</f>
        <v>#DIV/0!</v>
      </c>
    </row>
    <row r="390" spans="1:18" s="1471" customFormat="1" ht="25.5" hidden="1" thickBot="1" thickTop="1">
      <c r="A390" s="1565">
        <v>75212</v>
      </c>
      <c r="B390" s="1566" t="s">
        <v>834</v>
      </c>
      <c r="C390" s="838">
        <f>SUM(C391:C394)</f>
        <v>0</v>
      </c>
      <c r="D390" s="843">
        <f t="shared" si="45"/>
        <v>0</v>
      </c>
      <c r="E390" s="843">
        <f t="shared" si="47"/>
        <v>0</v>
      </c>
      <c r="F390" s="1620" t="e">
        <f t="shared" si="48"/>
        <v>#DIV/0!</v>
      </c>
      <c r="G390" s="838"/>
      <c r="H390" s="843"/>
      <c r="I390" s="1569"/>
      <c r="J390" s="843"/>
      <c r="K390" s="1568"/>
      <c r="L390" s="1567"/>
      <c r="M390" s="879"/>
      <c r="N390" s="843"/>
      <c r="O390" s="1621"/>
      <c r="P390" s="1568">
        <f>SUM(P391:P394)</f>
        <v>0</v>
      </c>
      <c r="Q390" s="843">
        <f>SUM(Q391:Q394)</f>
        <v>0</v>
      </c>
      <c r="R390" s="1622" t="e">
        <f t="shared" si="49"/>
        <v>#DIV/0!</v>
      </c>
    </row>
    <row r="391" spans="1:18" s="1286" customFormat="1" ht="24.75" hidden="1" thickBot="1">
      <c r="A391" s="1512">
        <v>4170</v>
      </c>
      <c r="B391" s="1574" t="s">
        <v>744</v>
      </c>
      <c r="C391" s="832"/>
      <c r="D391" s="830">
        <f t="shared" si="45"/>
        <v>0</v>
      </c>
      <c r="E391" s="1390">
        <f t="shared" si="47"/>
        <v>0</v>
      </c>
      <c r="F391" s="1366" t="e">
        <f t="shared" si="48"/>
        <v>#DIV/0!</v>
      </c>
      <c r="G391" s="832"/>
      <c r="H391" s="830"/>
      <c r="I391" s="1446"/>
      <c r="J391" s="830"/>
      <c r="K391" s="1514"/>
      <c r="L391" s="1369"/>
      <c r="M391" s="1572"/>
      <c r="N391" s="830"/>
      <c r="O391" s="1515"/>
      <c r="P391" s="1514">
        <f>300-300</f>
        <v>0</v>
      </c>
      <c r="Q391" s="830"/>
      <c r="R391" s="834" t="e">
        <f t="shared" si="49"/>
        <v>#DIV/0!</v>
      </c>
    </row>
    <row r="392" spans="1:18" s="1286" customFormat="1" ht="24.75" hidden="1" thickBot="1">
      <c r="A392" s="1512">
        <v>4210</v>
      </c>
      <c r="B392" s="1574" t="s">
        <v>690</v>
      </c>
      <c r="C392" s="832"/>
      <c r="D392" s="830">
        <f t="shared" si="45"/>
        <v>0</v>
      </c>
      <c r="E392" s="1390">
        <f t="shared" si="47"/>
        <v>0</v>
      </c>
      <c r="F392" s="1366" t="e">
        <f t="shared" si="48"/>
        <v>#DIV/0!</v>
      </c>
      <c r="G392" s="832"/>
      <c r="H392" s="830"/>
      <c r="I392" s="1446"/>
      <c r="J392" s="830"/>
      <c r="K392" s="1514"/>
      <c r="L392" s="1369"/>
      <c r="M392" s="1572"/>
      <c r="N392" s="830"/>
      <c r="O392" s="1515"/>
      <c r="P392" s="1514"/>
      <c r="Q392" s="830"/>
      <c r="R392" s="834" t="e">
        <f t="shared" si="49"/>
        <v>#DIV/0!</v>
      </c>
    </row>
    <row r="393" spans="1:18" s="1286" customFormat="1" ht="24.75" hidden="1" thickBot="1">
      <c r="A393" s="1512">
        <v>4240</v>
      </c>
      <c r="B393" s="1574" t="s">
        <v>835</v>
      </c>
      <c r="C393" s="832"/>
      <c r="D393" s="830">
        <f t="shared" si="45"/>
        <v>0</v>
      </c>
      <c r="E393" s="1390">
        <f t="shared" si="47"/>
        <v>0</v>
      </c>
      <c r="F393" s="1366" t="e">
        <f t="shared" si="48"/>
        <v>#DIV/0!</v>
      </c>
      <c r="G393" s="832"/>
      <c r="H393" s="830"/>
      <c r="I393" s="1446"/>
      <c r="J393" s="830"/>
      <c r="K393" s="1514"/>
      <c r="L393" s="1369"/>
      <c r="M393" s="1572"/>
      <c r="N393" s="830"/>
      <c r="O393" s="1515"/>
      <c r="P393" s="1514">
        <f>200-200</f>
        <v>0</v>
      </c>
      <c r="Q393" s="830"/>
      <c r="R393" s="834" t="e">
        <f t="shared" si="49"/>
        <v>#DIV/0!</v>
      </c>
    </row>
    <row r="394" spans="1:18" s="1435" customFormat="1" ht="13.5" hidden="1" thickBot="1">
      <c r="A394" s="1443">
        <v>4300</v>
      </c>
      <c r="B394" s="1451" t="s">
        <v>698</v>
      </c>
      <c r="C394" s="1389"/>
      <c r="D394" s="830">
        <f t="shared" si="45"/>
        <v>0</v>
      </c>
      <c r="E394" s="1390">
        <f t="shared" si="47"/>
        <v>0</v>
      </c>
      <c r="F394" s="1366" t="e">
        <f t="shared" si="48"/>
        <v>#DIV/0!</v>
      </c>
      <c r="G394" s="1389"/>
      <c r="H394" s="1390"/>
      <c r="I394" s="1446"/>
      <c r="J394" s="1390"/>
      <c r="K394" s="1445"/>
      <c r="L394" s="1369"/>
      <c r="M394" s="1486"/>
      <c r="N394" s="1390"/>
      <c r="O394" s="1447"/>
      <c r="P394" s="1445">
        <f>200-200</f>
        <v>0</v>
      </c>
      <c r="Q394" s="1390"/>
      <c r="R394" s="834"/>
    </row>
    <row r="395" spans="1:18" s="1435" customFormat="1" ht="55.5" customHeight="1" thickBot="1" thickTop="1">
      <c r="A395" s="1429">
        <v>754</v>
      </c>
      <c r="B395" s="1430" t="s">
        <v>136</v>
      </c>
      <c r="C395" s="1431">
        <f>C433+C399+C431+C396+C440</f>
        <v>5541000</v>
      </c>
      <c r="D395" s="813">
        <f t="shared" si="45"/>
        <v>6341700</v>
      </c>
      <c r="E395" s="813">
        <f>H395+K395+Q395+N395</f>
        <v>3286676</v>
      </c>
      <c r="F395" s="1342">
        <f t="shared" si="48"/>
        <v>51.82641878360692</v>
      </c>
      <c r="G395" s="1431">
        <f>G433+G399+G431+G396+G440</f>
        <v>45500</v>
      </c>
      <c r="H395" s="1416">
        <f>SUM(H396+H399+H431+H433)+H440</f>
        <v>16260</v>
      </c>
      <c r="I395" s="1344">
        <f>H395/G395*100</f>
        <v>35.73626373626374</v>
      </c>
      <c r="J395" s="1416">
        <f>J433</f>
        <v>5000</v>
      </c>
      <c r="K395" s="1416">
        <f>K433</f>
        <v>0</v>
      </c>
      <c r="L395" s="1458">
        <f>K395/J395*100</f>
        <v>0</v>
      </c>
      <c r="M395" s="1580">
        <f>M396+M399</f>
        <v>970000</v>
      </c>
      <c r="N395" s="1416">
        <f>N396+N399</f>
        <v>630000</v>
      </c>
      <c r="O395" s="1344">
        <f>N395/M395*100</f>
        <v>64.94845360824742</v>
      </c>
      <c r="P395" s="1431">
        <f>P433+P399+P431+P396</f>
        <v>5321200</v>
      </c>
      <c r="Q395" s="1416">
        <f>Q433+Q399+Q431+Q396</f>
        <v>2640416</v>
      </c>
      <c r="R395" s="1349">
        <f t="shared" si="49"/>
        <v>49.62068706306848</v>
      </c>
    </row>
    <row r="396" spans="1:18" s="1435" customFormat="1" ht="26.25" customHeight="1" thickTop="1">
      <c r="A396" s="1623">
        <v>75405</v>
      </c>
      <c r="B396" s="1624" t="s">
        <v>836</v>
      </c>
      <c r="C396" s="1625">
        <f>SUM(C398)</f>
        <v>250000</v>
      </c>
      <c r="D396" s="843">
        <f t="shared" si="45"/>
        <v>630000</v>
      </c>
      <c r="E396" s="1530">
        <f>H396+K396+Q396+N396</f>
        <v>590000</v>
      </c>
      <c r="F396" s="1354">
        <f t="shared" si="48"/>
        <v>93.65079365079364</v>
      </c>
      <c r="G396" s="1625"/>
      <c r="H396" s="1536"/>
      <c r="I396" s="1551"/>
      <c r="J396" s="1537"/>
      <c r="K396" s="1536"/>
      <c r="L396" s="1538"/>
      <c r="M396" s="1536">
        <f>M397+M398</f>
        <v>630000</v>
      </c>
      <c r="N396" s="1536">
        <f>N397+N398</f>
        <v>590000</v>
      </c>
      <c r="O396" s="1439">
        <f>N396/M396*100</f>
        <v>93.65079365079364</v>
      </c>
      <c r="P396" s="1536"/>
      <c r="Q396" s="1536"/>
      <c r="R396" s="1420"/>
    </row>
    <row r="397" spans="1:18" s="1435" customFormat="1" ht="24">
      <c r="A397" s="1443">
        <v>3000</v>
      </c>
      <c r="B397" s="1574" t="s">
        <v>1256</v>
      </c>
      <c r="C397" s="1389"/>
      <c r="D397" s="869">
        <f t="shared" si="45"/>
        <v>240000</v>
      </c>
      <c r="E397" s="869">
        <f t="shared" si="45"/>
        <v>200000</v>
      </c>
      <c r="F397" s="1391">
        <f>E397/D397*100</f>
        <v>83.33333333333334</v>
      </c>
      <c r="G397" s="1523"/>
      <c r="H397" s="1524"/>
      <c r="I397" s="1446"/>
      <c r="J397" s="1525"/>
      <c r="K397" s="1524"/>
      <c r="L397" s="1526"/>
      <c r="M397" s="1390">
        <f>200000+40000</f>
        <v>240000</v>
      </c>
      <c r="N397" s="1390">
        <v>200000</v>
      </c>
      <c r="O397" s="1369">
        <f>N397/M397*100</f>
        <v>83.33333333333334</v>
      </c>
      <c r="P397" s="1389"/>
      <c r="Q397" s="1390"/>
      <c r="R397" s="1395"/>
    </row>
    <row r="398" spans="1:18" s="1435" customFormat="1" ht="60">
      <c r="A398" s="1492">
        <v>6170</v>
      </c>
      <c r="B398" s="1627" t="s">
        <v>1257</v>
      </c>
      <c r="C398" s="1494">
        <v>250000</v>
      </c>
      <c r="D398" s="862">
        <f t="shared" si="45"/>
        <v>390000</v>
      </c>
      <c r="E398" s="862">
        <f t="shared" si="45"/>
        <v>390000</v>
      </c>
      <c r="F398" s="1419">
        <f>E398/D398*100</f>
        <v>100</v>
      </c>
      <c r="G398" s="1533"/>
      <c r="H398" s="1537"/>
      <c r="I398" s="1551"/>
      <c r="J398" s="1537"/>
      <c r="K398" s="1536"/>
      <c r="L398" s="1538"/>
      <c r="M398" s="1487">
        <f>250000+140000+200000-200000</f>
        <v>390000</v>
      </c>
      <c r="N398" s="1487">
        <v>390000</v>
      </c>
      <c r="O398" s="1369">
        <f>N398/M398*100</f>
        <v>100</v>
      </c>
      <c r="P398" s="1494"/>
      <c r="Q398" s="1487"/>
      <c r="R398" s="1420"/>
    </row>
    <row r="399" spans="1:18" s="1435" customFormat="1" ht="36.75" customHeight="1">
      <c r="A399" s="1531">
        <v>75411</v>
      </c>
      <c r="B399" s="1532" t="s">
        <v>263</v>
      </c>
      <c r="C399" s="820">
        <f>SUM(C400:C430)</f>
        <v>5255500</v>
      </c>
      <c r="D399" s="821">
        <f t="shared" si="45"/>
        <v>5661200</v>
      </c>
      <c r="E399" s="821">
        <f aca="true" t="shared" si="50" ref="E399:E430">SUM(H399+K399+N399+Q399)</f>
        <v>2680416</v>
      </c>
      <c r="F399" s="1419">
        <f>E399/D399*100</f>
        <v>47.34713488306366</v>
      </c>
      <c r="G399" s="1533"/>
      <c r="H399" s="1440"/>
      <c r="I399" s="1575"/>
      <c r="J399" s="1440"/>
      <c r="K399" s="1380"/>
      <c r="L399" s="1441"/>
      <c r="M399" s="1380">
        <f>SUM(M400:M430)</f>
        <v>340000</v>
      </c>
      <c r="N399" s="1380">
        <f>SUM(N400:N430)</f>
        <v>40000</v>
      </c>
      <c r="O399" s="1475">
        <f>N399/M399*100</f>
        <v>11.76470588235294</v>
      </c>
      <c r="P399" s="1438">
        <f>SUM(P400:P430)</f>
        <v>5321200</v>
      </c>
      <c r="Q399" s="1380">
        <f>SUM(Q400:Q430)</f>
        <v>2640416</v>
      </c>
      <c r="R399" s="1388">
        <f aca="true" t="shared" si="51" ref="R399:R427">Q399/P399*100</f>
        <v>49.62068706306848</v>
      </c>
    </row>
    <row r="400" spans="1:18" s="1435" customFormat="1" ht="48">
      <c r="A400" s="1512">
        <v>3070</v>
      </c>
      <c r="B400" s="1451" t="s">
        <v>843</v>
      </c>
      <c r="C400" s="1389">
        <v>414000</v>
      </c>
      <c r="D400" s="830">
        <f t="shared" si="45"/>
        <v>414000</v>
      </c>
      <c r="E400" s="1390">
        <f t="shared" si="50"/>
        <v>163415</v>
      </c>
      <c r="F400" s="1366">
        <f>E400/D400*100</f>
        <v>39.47222222222222</v>
      </c>
      <c r="G400" s="1523"/>
      <c r="H400" s="1524"/>
      <c r="I400" s="1446"/>
      <c r="J400" s="1628"/>
      <c r="K400" s="1524"/>
      <c r="L400" s="1526"/>
      <c r="M400" s="1524"/>
      <c r="N400" s="1525"/>
      <c r="O400" s="1447"/>
      <c r="P400" s="1389">
        <v>414000</v>
      </c>
      <c r="Q400" s="1390">
        <v>163415</v>
      </c>
      <c r="R400" s="1395">
        <f t="shared" si="51"/>
        <v>39.47222222222222</v>
      </c>
    </row>
    <row r="401" spans="1:18" s="1435" customFormat="1" ht="27.75" customHeight="1">
      <c r="A401" s="1512">
        <v>4010</v>
      </c>
      <c r="B401" s="1451" t="s">
        <v>837</v>
      </c>
      <c r="C401" s="1389">
        <v>72000</v>
      </c>
      <c r="D401" s="830">
        <f t="shared" si="45"/>
        <v>72000</v>
      </c>
      <c r="E401" s="1390">
        <f t="shared" si="50"/>
        <v>37308</v>
      </c>
      <c r="F401" s="1366">
        <f>E401/D401*100</f>
        <v>51.81666666666666</v>
      </c>
      <c r="G401" s="1523"/>
      <c r="H401" s="1524"/>
      <c r="I401" s="1446"/>
      <c r="J401" s="1628"/>
      <c r="K401" s="1524"/>
      <c r="L401" s="1526"/>
      <c r="M401" s="1524"/>
      <c r="N401" s="1525"/>
      <c r="O401" s="1447"/>
      <c r="P401" s="1389">
        <v>72000</v>
      </c>
      <c r="Q401" s="1390">
        <f>37309-1</f>
        <v>37308</v>
      </c>
      <c r="R401" s="1395">
        <f t="shared" si="51"/>
        <v>51.81666666666666</v>
      </c>
    </row>
    <row r="402" spans="1:18" s="1435" customFormat="1" ht="36">
      <c r="A402" s="1512">
        <v>4020</v>
      </c>
      <c r="B402" s="1451" t="s">
        <v>682</v>
      </c>
      <c r="C402" s="1389">
        <v>95000</v>
      </c>
      <c r="D402" s="830">
        <f t="shared" si="45"/>
        <v>95000</v>
      </c>
      <c r="E402" s="1390">
        <f t="shared" si="50"/>
        <v>25799</v>
      </c>
      <c r="F402" s="1366">
        <f aca="true" t="shared" si="52" ref="F402:F427">E402/D402*100</f>
        <v>27.156842105263156</v>
      </c>
      <c r="G402" s="1523"/>
      <c r="H402" s="1524"/>
      <c r="I402" s="1446"/>
      <c r="J402" s="1629"/>
      <c r="K402" s="1524"/>
      <c r="L402" s="1526"/>
      <c r="M402" s="1524"/>
      <c r="N402" s="1525"/>
      <c r="O402" s="1447"/>
      <c r="P402" s="1389">
        <v>95000</v>
      </c>
      <c r="Q402" s="1390">
        <v>25799</v>
      </c>
      <c r="R402" s="1395">
        <f t="shared" si="51"/>
        <v>27.156842105263156</v>
      </c>
    </row>
    <row r="403" spans="1:18" s="1435" customFormat="1" ht="24">
      <c r="A403" s="1512">
        <v>4040</v>
      </c>
      <c r="B403" s="1451" t="s">
        <v>684</v>
      </c>
      <c r="C403" s="1389">
        <v>14300</v>
      </c>
      <c r="D403" s="830">
        <f t="shared" si="45"/>
        <v>14300</v>
      </c>
      <c r="E403" s="1390">
        <f t="shared" si="50"/>
        <v>9792</v>
      </c>
      <c r="F403" s="1366">
        <f t="shared" si="52"/>
        <v>68.47552447552448</v>
      </c>
      <c r="G403" s="1523"/>
      <c r="H403" s="1524"/>
      <c r="I403" s="1446"/>
      <c r="J403" s="1628"/>
      <c r="K403" s="1524"/>
      <c r="L403" s="1526"/>
      <c r="M403" s="1524"/>
      <c r="N403" s="1525"/>
      <c r="O403" s="1447"/>
      <c r="P403" s="1389">
        <v>14300</v>
      </c>
      <c r="Q403" s="1390">
        <v>9792</v>
      </c>
      <c r="R403" s="1369">
        <f t="shared" si="51"/>
        <v>68.47552447552448</v>
      </c>
    </row>
    <row r="404" spans="1:18" s="1435" customFormat="1" ht="48">
      <c r="A404" s="1512">
        <v>4050</v>
      </c>
      <c r="B404" s="1451" t="s">
        <v>1258</v>
      </c>
      <c r="C404" s="1389">
        <v>3104400</v>
      </c>
      <c r="D404" s="830">
        <f t="shared" si="45"/>
        <v>3250700</v>
      </c>
      <c r="E404" s="1390">
        <f t="shared" si="50"/>
        <v>1521358</v>
      </c>
      <c r="F404" s="1366">
        <f t="shared" si="52"/>
        <v>46.800935183191314</v>
      </c>
      <c r="G404" s="1523"/>
      <c r="H404" s="1524"/>
      <c r="I404" s="1446"/>
      <c r="J404" s="1629"/>
      <c r="K404" s="1524"/>
      <c r="L404" s="1526"/>
      <c r="M404" s="1524"/>
      <c r="N404" s="1525"/>
      <c r="O404" s="1447"/>
      <c r="P404" s="1389">
        <f>3104400+146300</f>
        <v>3250700</v>
      </c>
      <c r="Q404" s="1390">
        <v>1521358</v>
      </c>
      <c r="R404" s="1395">
        <f t="shared" si="51"/>
        <v>46.800935183191314</v>
      </c>
    </row>
    <row r="405" spans="1:18" s="1435" customFormat="1" ht="48">
      <c r="A405" s="1512">
        <v>4060</v>
      </c>
      <c r="B405" s="1451" t="s">
        <v>1259</v>
      </c>
      <c r="C405" s="1389">
        <v>185000</v>
      </c>
      <c r="D405" s="830">
        <f t="shared" si="45"/>
        <v>185000</v>
      </c>
      <c r="E405" s="1390">
        <f t="shared" si="50"/>
        <v>27487</v>
      </c>
      <c r="F405" s="1366">
        <f t="shared" si="52"/>
        <v>14.857837837837836</v>
      </c>
      <c r="G405" s="1523"/>
      <c r="H405" s="1524"/>
      <c r="I405" s="1446"/>
      <c r="J405" s="1628"/>
      <c r="K405" s="1524"/>
      <c r="L405" s="1526"/>
      <c r="M405" s="1524"/>
      <c r="N405" s="1525"/>
      <c r="O405" s="1447"/>
      <c r="P405" s="1389">
        <v>185000</v>
      </c>
      <c r="Q405" s="1390">
        <v>27487</v>
      </c>
      <c r="R405" s="1395">
        <f t="shared" si="51"/>
        <v>14.857837837837836</v>
      </c>
    </row>
    <row r="406" spans="1:18" s="1435" customFormat="1" ht="48">
      <c r="A406" s="1512">
        <v>4070</v>
      </c>
      <c r="B406" s="1451" t="s">
        <v>1260</v>
      </c>
      <c r="C406" s="1389">
        <v>256000</v>
      </c>
      <c r="D406" s="830">
        <f t="shared" si="45"/>
        <v>256000</v>
      </c>
      <c r="E406" s="1390">
        <f t="shared" si="50"/>
        <v>233795</v>
      </c>
      <c r="F406" s="1366">
        <f t="shared" si="52"/>
        <v>91.326171875</v>
      </c>
      <c r="G406" s="1523"/>
      <c r="H406" s="1524"/>
      <c r="I406" s="1446"/>
      <c r="J406" s="1628"/>
      <c r="K406" s="1524"/>
      <c r="L406" s="1526"/>
      <c r="M406" s="1524"/>
      <c r="N406" s="1525"/>
      <c r="O406" s="1447"/>
      <c r="P406" s="1389">
        <v>256000</v>
      </c>
      <c r="Q406" s="1390">
        <v>233795</v>
      </c>
      <c r="R406" s="1395">
        <f t="shared" si="51"/>
        <v>91.326171875</v>
      </c>
    </row>
    <row r="407" spans="1:18" s="1435" customFormat="1" ht="48">
      <c r="A407" s="1512">
        <v>4080</v>
      </c>
      <c r="B407" s="1451" t="s">
        <v>1261</v>
      </c>
      <c r="C407" s="1389">
        <v>46000</v>
      </c>
      <c r="D407" s="830">
        <f t="shared" si="45"/>
        <v>5400</v>
      </c>
      <c r="E407" s="1390">
        <f t="shared" si="50"/>
        <v>0</v>
      </c>
      <c r="F407" s="1366">
        <f t="shared" si="52"/>
        <v>0</v>
      </c>
      <c r="G407" s="1523"/>
      <c r="H407" s="1524"/>
      <c r="I407" s="1446"/>
      <c r="J407" s="1628"/>
      <c r="K407" s="1524"/>
      <c r="L407" s="1526"/>
      <c r="M407" s="1524"/>
      <c r="N407" s="1525"/>
      <c r="O407" s="1447"/>
      <c r="P407" s="1389">
        <f>46000-40600</f>
        <v>5400</v>
      </c>
      <c r="Q407" s="1390"/>
      <c r="R407" s="1395">
        <f t="shared" si="51"/>
        <v>0</v>
      </c>
    </row>
    <row r="408" spans="1:18" s="1435" customFormat="1" ht="24">
      <c r="A408" s="1512">
        <v>4110</v>
      </c>
      <c r="B408" s="1451" t="s">
        <v>686</v>
      </c>
      <c r="C408" s="1389">
        <v>27000</v>
      </c>
      <c r="D408" s="830">
        <f t="shared" si="45"/>
        <v>27000</v>
      </c>
      <c r="E408" s="1390">
        <f t="shared" si="50"/>
        <v>13734</v>
      </c>
      <c r="F408" s="1366">
        <f t="shared" si="52"/>
        <v>50.866666666666674</v>
      </c>
      <c r="G408" s="1523"/>
      <c r="H408" s="1524"/>
      <c r="I408" s="1446"/>
      <c r="J408" s="1629"/>
      <c r="K408" s="1524"/>
      <c r="L408" s="1526"/>
      <c r="M408" s="1524"/>
      <c r="N408" s="1525"/>
      <c r="O408" s="1447"/>
      <c r="P408" s="1389">
        <v>27000</v>
      </c>
      <c r="Q408" s="1390">
        <v>13734</v>
      </c>
      <c r="R408" s="1395">
        <f t="shared" si="51"/>
        <v>50.866666666666674</v>
      </c>
    </row>
    <row r="409" spans="1:18" s="1435" customFormat="1" ht="12.75">
      <c r="A409" s="1512">
        <v>4120</v>
      </c>
      <c r="B409" s="1451" t="s">
        <v>771</v>
      </c>
      <c r="C409" s="1389">
        <v>4000</v>
      </c>
      <c r="D409" s="830">
        <f t="shared" si="45"/>
        <v>4000</v>
      </c>
      <c r="E409" s="1390">
        <f t="shared" si="50"/>
        <v>1776</v>
      </c>
      <c r="F409" s="1366">
        <f t="shared" si="52"/>
        <v>44.4</v>
      </c>
      <c r="G409" s="1523"/>
      <c r="H409" s="1524"/>
      <c r="I409" s="1446"/>
      <c r="J409" s="1628"/>
      <c r="K409" s="1524"/>
      <c r="L409" s="1526"/>
      <c r="M409" s="1524"/>
      <c r="N409" s="1525"/>
      <c r="O409" s="1447"/>
      <c r="P409" s="1389">
        <v>4000</v>
      </c>
      <c r="Q409" s="1390">
        <v>1776</v>
      </c>
      <c r="R409" s="1395">
        <f t="shared" si="51"/>
        <v>44.4</v>
      </c>
    </row>
    <row r="410" spans="1:18" s="1435" customFormat="1" ht="24">
      <c r="A410" s="1512">
        <v>4170</v>
      </c>
      <c r="B410" s="1451" t="s">
        <v>744</v>
      </c>
      <c r="C410" s="1389">
        <v>3000</v>
      </c>
      <c r="D410" s="830">
        <f aca="true" t="shared" si="53" ref="D410:D437">G410+J410+P410+M410</f>
        <v>3000</v>
      </c>
      <c r="E410" s="1390">
        <f t="shared" si="50"/>
        <v>740</v>
      </c>
      <c r="F410" s="1366">
        <f t="shared" si="52"/>
        <v>24.666666666666668</v>
      </c>
      <c r="G410" s="832"/>
      <c r="H410" s="830"/>
      <c r="I410" s="1446"/>
      <c r="J410" s="1628"/>
      <c r="K410" s="1524"/>
      <c r="L410" s="1526"/>
      <c r="M410" s="1524"/>
      <c r="N410" s="1525"/>
      <c r="O410" s="1447"/>
      <c r="P410" s="1389">
        <v>3000</v>
      </c>
      <c r="Q410" s="1390">
        <v>740</v>
      </c>
      <c r="R410" s="1369">
        <f t="shared" si="51"/>
        <v>24.666666666666668</v>
      </c>
    </row>
    <row r="411" spans="1:18" s="1435" customFormat="1" ht="36">
      <c r="A411" s="1512">
        <v>4180</v>
      </c>
      <c r="B411" s="1451" t="s">
        <v>844</v>
      </c>
      <c r="C411" s="1389">
        <v>230000</v>
      </c>
      <c r="D411" s="830">
        <f t="shared" si="53"/>
        <v>230000</v>
      </c>
      <c r="E411" s="1390">
        <f t="shared" si="50"/>
        <v>200769</v>
      </c>
      <c r="F411" s="1366">
        <f t="shared" si="52"/>
        <v>87.29086956521739</v>
      </c>
      <c r="G411" s="832"/>
      <c r="H411" s="830"/>
      <c r="I411" s="1446"/>
      <c r="J411" s="1628"/>
      <c r="K411" s="1524"/>
      <c r="L411" s="1526"/>
      <c r="M411" s="1524"/>
      <c r="N411" s="1525"/>
      <c r="O411" s="1447"/>
      <c r="P411" s="1389">
        <v>230000</v>
      </c>
      <c r="Q411" s="1390">
        <v>200769</v>
      </c>
      <c r="R411" s="1395">
        <f t="shared" si="51"/>
        <v>87.29086956521739</v>
      </c>
    </row>
    <row r="412" spans="1:18" s="1435" customFormat="1" ht="24">
      <c r="A412" s="1443">
        <v>4210</v>
      </c>
      <c r="B412" s="1451" t="s">
        <v>690</v>
      </c>
      <c r="C412" s="1389">
        <f>238000+40000</f>
        <v>278000</v>
      </c>
      <c r="D412" s="830">
        <f>G412+J412+P412+M412</f>
        <v>263000</v>
      </c>
      <c r="E412" s="1390">
        <f t="shared" si="50"/>
        <v>169787</v>
      </c>
      <c r="F412" s="1366">
        <f t="shared" si="52"/>
        <v>64.55779467680608</v>
      </c>
      <c r="G412" s="832"/>
      <c r="H412" s="830"/>
      <c r="I412" s="1446"/>
      <c r="J412" s="1628"/>
      <c r="K412" s="1524"/>
      <c r="L412" s="1526"/>
      <c r="M412" s="830">
        <f>40000-40000+25000</f>
        <v>25000</v>
      </c>
      <c r="N412" s="1514">
        <v>25000</v>
      </c>
      <c r="O412" s="1369">
        <f>N412/M412*100</f>
        <v>100</v>
      </c>
      <c r="P412" s="1389">
        <v>238000</v>
      </c>
      <c r="Q412" s="1390">
        <v>144787</v>
      </c>
      <c r="R412" s="1395">
        <f t="shared" si="51"/>
        <v>60.83487394957984</v>
      </c>
    </row>
    <row r="413" spans="1:18" s="1435" customFormat="1" ht="12.75" hidden="1">
      <c r="A413" s="1443">
        <v>4250</v>
      </c>
      <c r="B413" s="1451" t="s">
        <v>845</v>
      </c>
      <c r="C413" s="1389"/>
      <c r="D413" s="830">
        <f t="shared" si="53"/>
        <v>0</v>
      </c>
      <c r="E413" s="1390">
        <f t="shared" si="50"/>
        <v>0</v>
      </c>
      <c r="F413" s="1366" t="e">
        <f t="shared" si="52"/>
        <v>#DIV/0!</v>
      </c>
      <c r="G413" s="832"/>
      <c r="H413" s="830"/>
      <c r="I413" s="1446" t="e">
        <f>H413/G413*100</f>
        <v>#DIV/0!</v>
      </c>
      <c r="J413" s="1628"/>
      <c r="K413" s="1524"/>
      <c r="L413" s="1526"/>
      <c r="M413" s="830"/>
      <c r="N413" s="1514"/>
      <c r="O413" s="1395"/>
      <c r="P413" s="1389"/>
      <c r="Q413" s="1390"/>
      <c r="R413" s="1395" t="e">
        <f t="shared" si="51"/>
        <v>#DIV/0!</v>
      </c>
    </row>
    <row r="414" spans="1:18" s="1435" customFormat="1" ht="12.75">
      <c r="A414" s="1443">
        <v>4220</v>
      </c>
      <c r="B414" s="1451" t="s">
        <v>838</v>
      </c>
      <c r="C414" s="1389">
        <v>3500</v>
      </c>
      <c r="D414" s="830">
        <f t="shared" si="53"/>
        <v>3500</v>
      </c>
      <c r="E414" s="1390">
        <f t="shared" si="50"/>
        <v>638</v>
      </c>
      <c r="F414" s="1366">
        <f t="shared" si="52"/>
        <v>18.228571428571428</v>
      </c>
      <c r="G414" s="832"/>
      <c r="H414" s="830"/>
      <c r="I414" s="1446"/>
      <c r="J414" s="1628"/>
      <c r="K414" s="1524"/>
      <c r="L414" s="1526"/>
      <c r="M414" s="830"/>
      <c r="N414" s="1514"/>
      <c r="O414" s="1395"/>
      <c r="P414" s="1389">
        <v>3500</v>
      </c>
      <c r="Q414" s="1390">
        <v>638</v>
      </c>
      <c r="R414" s="1395">
        <f t="shared" si="51"/>
        <v>18.228571428571428</v>
      </c>
    </row>
    <row r="415" spans="1:18" s="1435" customFormat="1" ht="19.5" customHeight="1">
      <c r="A415" s="1443">
        <v>4230</v>
      </c>
      <c r="B415" s="1451" t="s">
        <v>692</v>
      </c>
      <c r="C415" s="1389">
        <v>1500</v>
      </c>
      <c r="D415" s="830">
        <f t="shared" si="53"/>
        <v>1500</v>
      </c>
      <c r="E415" s="1390">
        <f t="shared" si="50"/>
        <v>821</v>
      </c>
      <c r="F415" s="1366">
        <f t="shared" si="52"/>
        <v>54.733333333333334</v>
      </c>
      <c r="G415" s="832"/>
      <c r="H415" s="830"/>
      <c r="I415" s="1446"/>
      <c r="J415" s="1628"/>
      <c r="K415" s="1524"/>
      <c r="L415" s="1526"/>
      <c r="M415" s="830"/>
      <c r="N415" s="1514"/>
      <c r="O415" s="1395"/>
      <c r="P415" s="1389">
        <v>1500</v>
      </c>
      <c r="Q415" s="1390">
        <v>821</v>
      </c>
      <c r="R415" s="1395">
        <f t="shared" si="51"/>
        <v>54.733333333333334</v>
      </c>
    </row>
    <row r="416" spans="1:18" s="1435" customFormat="1" ht="12.75" hidden="1">
      <c r="A416" s="1443">
        <v>4250</v>
      </c>
      <c r="B416" s="1451" t="s">
        <v>839</v>
      </c>
      <c r="C416" s="1389"/>
      <c r="D416" s="830">
        <f t="shared" si="53"/>
        <v>0</v>
      </c>
      <c r="E416" s="1390">
        <f t="shared" si="50"/>
        <v>0</v>
      </c>
      <c r="F416" s="1366"/>
      <c r="G416" s="832"/>
      <c r="H416" s="830"/>
      <c r="I416" s="1446"/>
      <c r="J416" s="1628"/>
      <c r="K416" s="1524"/>
      <c r="L416" s="1526"/>
      <c r="M416" s="830"/>
      <c r="N416" s="1514"/>
      <c r="O416" s="1395"/>
      <c r="P416" s="1389"/>
      <c r="Q416" s="1390"/>
      <c r="R416" s="1395"/>
    </row>
    <row r="417" spans="1:18" s="1435" customFormat="1" ht="12.75">
      <c r="A417" s="1443">
        <v>4260</v>
      </c>
      <c r="B417" s="1451" t="s">
        <v>694</v>
      </c>
      <c r="C417" s="1389">
        <v>235000</v>
      </c>
      <c r="D417" s="830">
        <f t="shared" si="53"/>
        <v>235000</v>
      </c>
      <c r="E417" s="1390">
        <f t="shared" si="50"/>
        <v>143414</v>
      </c>
      <c r="F417" s="1366">
        <f t="shared" si="52"/>
        <v>61.02723404255319</v>
      </c>
      <c r="G417" s="832"/>
      <c r="H417" s="830"/>
      <c r="I417" s="1446"/>
      <c r="J417" s="1629"/>
      <c r="K417" s="1524"/>
      <c r="L417" s="1526"/>
      <c r="M417" s="830"/>
      <c r="N417" s="1514"/>
      <c r="O417" s="1395"/>
      <c r="P417" s="1389">
        <v>235000</v>
      </c>
      <c r="Q417" s="1390">
        <v>143414</v>
      </c>
      <c r="R417" s="1395">
        <f t="shared" si="51"/>
        <v>61.02723404255319</v>
      </c>
    </row>
    <row r="418" spans="1:18" s="1435" customFormat="1" ht="12.75">
      <c r="A418" s="1443">
        <v>4270</v>
      </c>
      <c r="B418" s="1451" t="s">
        <v>696</v>
      </c>
      <c r="C418" s="1389">
        <v>60000</v>
      </c>
      <c r="D418" s="830">
        <f t="shared" si="53"/>
        <v>60000</v>
      </c>
      <c r="E418" s="1390">
        <f t="shared" si="50"/>
        <v>12334</v>
      </c>
      <c r="F418" s="1366">
        <f t="shared" si="52"/>
        <v>20.55666666666667</v>
      </c>
      <c r="G418" s="832"/>
      <c r="H418" s="830"/>
      <c r="I418" s="1446"/>
      <c r="J418" s="1628"/>
      <c r="K418" s="1524"/>
      <c r="L418" s="1526"/>
      <c r="M418" s="830"/>
      <c r="N418" s="1514"/>
      <c r="O418" s="1395"/>
      <c r="P418" s="1389">
        <v>60000</v>
      </c>
      <c r="Q418" s="1390">
        <v>12334</v>
      </c>
      <c r="R418" s="1395">
        <f t="shared" si="51"/>
        <v>20.55666666666667</v>
      </c>
    </row>
    <row r="419" spans="1:18" s="1435" customFormat="1" ht="12.75">
      <c r="A419" s="1443">
        <v>4280</v>
      </c>
      <c r="B419" s="1451" t="s">
        <v>745</v>
      </c>
      <c r="C419" s="1389">
        <v>22000</v>
      </c>
      <c r="D419" s="830">
        <f t="shared" si="53"/>
        <v>22000</v>
      </c>
      <c r="E419" s="1390">
        <f t="shared" si="50"/>
        <v>9034</v>
      </c>
      <c r="F419" s="1366">
        <f t="shared" si="52"/>
        <v>41.06363636363636</v>
      </c>
      <c r="G419" s="832"/>
      <c r="H419" s="830"/>
      <c r="I419" s="1446"/>
      <c r="J419" s="1628"/>
      <c r="K419" s="1524"/>
      <c r="L419" s="1526"/>
      <c r="M419" s="830"/>
      <c r="N419" s="1514"/>
      <c r="O419" s="1395"/>
      <c r="P419" s="1389">
        <v>22000</v>
      </c>
      <c r="Q419" s="1390">
        <v>9034</v>
      </c>
      <c r="R419" s="1395">
        <f t="shared" si="51"/>
        <v>41.06363636363636</v>
      </c>
    </row>
    <row r="420" spans="1:18" s="1435" customFormat="1" ht="12.75">
      <c r="A420" s="1443">
        <v>4300</v>
      </c>
      <c r="B420" s="1451" t="s">
        <v>698</v>
      </c>
      <c r="C420" s="1389">
        <v>120000</v>
      </c>
      <c r="D420" s="830">
        <f t="shared" si="53"/>
        <v>120000</v>
      </c>
      <c r="E420" s="1390">
        <f t="shared" si="50"/>
        <v>64156</v>
      </c>
      <c r="F420" s="1366">
        <f t="shared" si="52"/>
        <v>53.46333333333333</v>
      </c>
      <c r="G420" s="832"/>
      <c r="H420" s="830"/>
      <c r="I420" s="1446"/>
      <c r="J420" s="1628"/>
      <c r="K420" s="1524"/>
      <c r="L420" s="1526"/>
      <c r="M420" s="830"/>
      <c r="N420" s="1514"/>
      <c r="O420" s="1369"/>
      <c r="P420" s="1389">
        <v>120000</v>
      </c>
      <c r="Q420" s="1390">
        <v>64156</v>
      </c>
      <c r="R420" s="1395">
        <f t="shared" si="51"/>
        <v>53.46333333333333</v>
      </c>
    </row>
    <row r="421" spans="1:18" s="1435" customFormat="1" ht="24">
      <c r="A421" s="1443">
        <v>4350</v>
      </c>
      <c r="B421" s="1451" t="s">
        <v>869</v>
      </c>
      <c r="C421" s="1389">
        <v>500</v>
      </c>
      <c r="D421" s="830">
        <f t="shared" si="53"/>
        <v>500</v>
      </c>
      <c r="E421" s="1390">
        <f t="shared" si="50"/>
        <v>415</v>
      </c>
      <c r="F421" s="1366">
        <f t="shared" si="52"/>
        <v>83</v>
      </c>
      <c r="G421" s="832"/>
      <c r="H421" s="830"/>
      <c r="I421" s="1446"/>
      <c r="J421" s="1628"/>
      <c r="K421" s="1524"/>
      <c r="L421" s="1526"/>
      <c r="M421" s="830"/>
      <c r="N421" s="1514"/>
      <c r="O421" s="1395"/>
      <c r="P421" s="1389">
        <v>500</v>
      </c>
      <c r="Q421" s="1390">
        <v>415</v>
      </c>
      <c r="R421" s="1369">
        <f t="shared" si="51"/>
        <v>83</v>
      </c>
    </row>
    <row r="422" spans="1:18" s="1435" customFormat="1" ht="12.75" customHeight="1">
      <c r="A422" s="1443">
        <v>4410</v>
      </c>
      <c r="B422" s="1451" t="s">
        <v>672</v>
      </c>
      <c r="C422" s="1389">
        <v>11000</v>
      </c>
      <c r="D422" s="830">
        <f t="shared" si="53"/>
        <v>11000</v>
      </c>
      <c r="E422" s="1390">
        <f t="shared" si="50"/>
        <v>4549</v>
      </c>
      <c r="F422" s="1366">
        <f t="shared" si="52"/>
        <v>41.35454545454545</v>
      </c>
      <c r="G422" s="832"/>
      <c r="H422" s="830"/>
      <c r="I422" s="1446"/>
      <c r="J422" s="1628"/>
      <c r="K422" s="1524"/>
      <c r="L422" s="1526"/>
      <c r="M422" s="1524"/>
      <c r="N422" s="1525"/>
      <c r="O422" s="1395"/>
      <c r="P422" s="1389">
        <v>11000</v>
      </c>
      <c r="Q422" s="1390">
        <v>4549</v>
      </c>
      <c r="R422" s="1395">
        <f t="shared" si="51"/>
        <v>41.35454545454545</v>
      </c>
    </row>
    <row r="423" spans="1:18" s="1435" customFormat="1" ht="21" customHeight="1" hidden="1">
      <c r="A423" s="1443">
        <v>4420</v>
      </c>
      <c r="B423" s="1451" t="s">
        <v>785</v>
      </c>
      <c r="C423" s="1389"/>
      <c r="D423" s="830">
        <f t="shared" si="53"/>
        <v>0</v>
      </c>
      <c r="E423" s="1390">
        <f t="shared" si="50"/>
        <v>0</v>
      </c>
      <c r="F423" s="1366" t="e">
        <f t="shared" si="52"/>
        <v>#DIV/0!</v>
      </c>
      <c r="G423" s="832"/>
      <c r="H423" s="830"/>
      <c r="I423" s="1446"/>
      <c r="J423" s="1628"/>
      <c r="K423" s="1524"/>
      <c r="L423" s="1526"/>
      <c r="M423" s="1524"/>
      <c r="N423" s="1525"/>
      <c r="O423" s="1395"/>
      <c r="P423" s="1389"/>
      <c r="Q423" s="1390"/>
      <c r="R423" s="1369" t="e">
        <f t="shared" si="51"/>
        <v>#DIV/0!</v>
      </c>
    </row>
    <row r="424" spans="1:18" s="1435" customFormat="1" ht="11.25" customHeight="1">
      <c r="A424" s="1443">
        <v>4430</v>
      </c>
      <c r="B424" s="1451" t="s">
        <v>700</v>
      </c>
      <c r="C424" s="1389">
        <v>1500</v>
      </c>
      <c r="D424" s="830">
        <f t="shared" si="53"/>
        <v>1500</v>
      </c>
      <c r="E424" s="1390">
        <f t="shared" si="50"/>
        <v>171</v>
      </c>
      <c r="F424" s="1366">
        <f t="shared" si="52"/>
        <v>11.4</v>
      </c>
      <c r="G424" s="832"/>
      <c r="H424" s="830"/>
      <c r="I424" s="1446"/>
      <c r="J424" s="1628"/>
      <c r="K424" s="1524"/>
      <c r="L424" s="1526"/>
      <c r="M424" s="1524"/>
      <c r="N424" s="1525"/>
      <c r="O424" s="1395"/>
      <c r="P424" s="1389">
        <v>1500</v>
      </c>
      <c r="Q424" s="1390">
        <f>172-1</f>
        <v>171</v>
      </c>
      <c r="R424" s="1395">
        <f t="shared" si="51"/>
        <v>11.4</v>
      </c>
    </row>
    <row r="425" spans="1:18" s="1435" customFormat="1" ht="11.25" customHeight="1">
      <c r="A425" s="1443">
        <v>4440</v>
      </c>
      <c r="B425" s="1451" t="s">
        <v>846</v>
      </c>
      <c r="C425" s="1389">
        <v>3500</v>
      </c>
      <c r="D425" s="830">
        <f t="shared" si="53"/>
        <v>3500</v>
      </c>
      <c r="E425" s="1390">
        <f t="shared" si="50"/>
        <v>3057</v>
      </c>
      <c r="F425" s="1366">
        <f t="shared" si="52"/>
        <v>87.34285714285714</v>
      </c>
      <c r="G425" s="832"/>
      <c r="H425" s="830"/>
      <c r="I425" s="1446"/>
      <c r="J425" s="1628"/>
      <c r="K425" s="1524"/>
      <c r="L425" s="1526"/>
      <c r="M425" s="1524"/>
      <c r="N425" s="1525"/>
      <c r="O425" s="1395"/>
      <c r="P425" s="1389">
        <v>3500</v>
      </c>
      <c r="Q425" s="1630">
        <v>3057</v>
      </c>
      <c r="R425" s="1369">
        <f t="shared" si="51"/>
        <v>87.34285714285714</v>
      </c>
    </row>
    <row r="426" spans="1:18" s="1435" customFormat="1" ht="24">
      <c r="A426" s="1443">
        <v>6050</v>
      </c>
      <c r="B426" s="1451" t="s">
        <v>767</v>
      </c>
      <c r="C426" s="1389">
        <v>30000</v>
      </c>
      <c r="D426" s="830">
        <f t="shared" si="53"/>
        <v>0</v>
      </c>
      <c r="E426" s="1390">
        <f>SUM(H426+K426+N426+Q426)</f>
        <v>0</v>
      </c>
      <c r="F426" s="1366"/>
      <c r="G426" s="832"/>
      <c r="H426" s="830"/>
      <c r="I426" s="1446"/>
      <c r="J426" s="1628"/>
      <c r="K426" s="1524"/>
      <c r="L426" s="1526"/>
      <c r="M426" s="1524"/>
      <c r="N426" s="1525"/>
      <c r="O426" s="1395"/>
      <c r="P426" s="1389">
        <f>30000-30000</f>
        <v>0</v>
      </c>
      <c r="Q426" s="1630"/>
      <c r="R426" s="1369"/>
    </row>
    <row r="427" spans="1:18" s="1435" customFormat="1" ht="30.75" customHeight="1">
      <c r="A427" s="1443">
        <v>6060</v>
      </c>
      <c r="B427" s="1444" t="s">
        <v>753</v>
      </c>
      <c r="C427" s="1389"/>
      <c r="D427" s="830">
        <f t="shared" si="53"/>
        <v>345000</v>
      </c>
      <c r="E427" s="1390">
        <f t="shared" si="50"/>
        <v>15890</v>
      </c>
      <c r="F427" s="1366">
        <f t="shared" si="52"/>
        <v>4.605797101449275</v>
      </c>
      <c r="G427" s="832"/>
      <c r="H427" s="830"/>
      <c r="I427" s="1446"/>
      <c r="J427" s="1628"/>
      <c r="K427" s="1524"/>
      <c r="L427" s="1526"/>
      <c r="M427" s="830">
        <f>40000-25000+300000</f>
        <v>315000</v>
      </c>
      <c r="N427" s="1514">
        <v>15000</v>
      </c>
      <c r="O427" s="1395">
        <f>N427/M427*100</f>
        <v>4.761904761904762</v>
      </c>
      <c r="P427" s="1389">
        <v>30000</v>
      </c>
      <c r="Q427" s="1630">
        <v>890</v>
      </c>
      <c r="R427" s="1369">
        <f t="shared" si="51"/>
        <v>2.966666666666667</v>
      </c>
    </row>
    <row r="428" spans="1:18" s="1435" customFormat="1" ht="34.5" customHeight="1">
      <c r="A428" s="1443">
        <v>4500</v>
      </c>
      <c r="B428" s="1451" t="s">
        <v>847</v>
      </c>
      <c r="C428" s="1389">
        <v>37000</v>
      </c>
      <c r="D428" s="830">
        <f t="shared" si="53"/>
        <v>37000</v>
      </c>
      <c r="E428" s="1390">
        <f t="shared" si="50"/>
        <v>18944</v>
      </c>
      <c r="F428" s="1366">
        <f>E428/D428*100</f>
        <v>51.2</v>
      </c>
      <c r="G428" s="832"/>
      <c r="H428" s="830"/>
      <c r="I428" s="1446"/>
      <c r="J428" s="1628"/>
      <c r="K428" s="1524"/>
      <c r="L428" s="1526"/>
      <c r="M428" s="1524"/>
      <c r="N428" s="1514"/>
      <c r="O428" s="1395"/>
      <c r="P428" s="1389">
        <v>37000</v>
      </c>
      <c r="Q428" s="1630">
        <v>18944</v>
      </c>
      <c r="R428" s="1395">
        <f>Q428/P428*100</f>
        <v>51.2</v>
      </c>
    </row>
    <row r="429" spans="1:18" s="1435" customFormat="1" ht="72" hidden="1">
      <c r="A429" s="1443">
        <v>6170</v>
      </c>
      <c r="B429" s="2927" t="s">
        <v>842</v>
      </c>
      <c r="C429" s="1389"/>
      <c r="D429" s="830">
        <f t="shared" si="53"/>
        <v>0</v>
      </c>
      <c r="E429" s="1390">
        <f t="shared" si="50"/>
        <v>0</v>
      </c>
      <c r="F429" s="1366" t="e">
        <f>E429/D429*100</f>
        <v>#DIV/0!</v>
      </c>
      <c r="G429" s="1523"/>
      <c r="H429" s="1524"/>
      <c r="I429" s="1446"/>
      <c r="J429" s="1628"/>
      <c r="K429" s="1524"/>
      <c r="L429" s="1526"/>
      <c r="M429" s="830">
        <f>300000-300000</f>
        <v>0</v>
      </c>
      <c r="N429" s="1514"/>
      <c r="O429" s="1395" t="e">
        <f>N429/M429*100</f>
        <v>#DIV/0!</v>
      </c>
      <c r="P429" s="1389"/>
      <c r="Q429" s="1630"/>
      <c r="R429" s="1395"/>
    </row>
    <row r="430" spans="1:18" s="1435" customFormat="1" ht="22.5" customHeight="1">
      <c r="A430" s="1492">
        <v>4510</v>
      </c>
      <c r="B430" s="2928" t="s">
        <v>840</v>
      </c>
      <c r="C430" s="1494">
        <v>1300</v>
      </c>
      <c r="D430" s="862">
        <f t="shared" si="53"/>
        <v>1300</v>
      </c>
      <c r="E430" s="1487">
        <f t="shared" si="50"/>
        <v>1233</v>
      </c>
      <c r="F430" s="1419">
        <f>E430/D430*100</f>
        <v>94.84615384615384</v>
      </c>
      <c r="G430" s="1533"/>
      <c r="H430" s="1536"/>
      <c r="I430" s="1551"/>
      <c r="J430" s="1631"/>
      <c r="K430" s="1536"/>
      <c r="L430" s="1538"/>
      <c r="M430" s="1536"/>
      <c r="N430" s="1516"/>
      <c r="O430" s="1498"/>
      <c r="P430" s="1494">
        <v>1300</v>
      </c>
      <c r="Q430" s="1487">
        <v>1233</v>
      </c>
      <c r="R430" s="1369">
        <f>Q430/P430*100</f>
        <v>94.84615384615384</v>
      </c>
    </row>
    <row r="431" spans="1:18" ht="24" customHeight="1">
      <c r="A431" s="1436">
        <v>75412</v>
      </c>
      <c r="B431" s="1529" t="s">
        <v>300</v>
      </c>
      <c r="C431" s="1438">
        <f>SUM(C432)</f>
        <v>10000</v>
      </c>
      <c r="D431" s="845">
        <f t="shared" si="53"/>
        <v>10000</v>
      </c>
      <c r="E431" s="1380">
        <f>SUM(E432)</f>
        <v>5000</v>
      </c>
      <c r="F431" s="1381">
        <f aca="true" t="shared" si="54" ref="F431:F494">E431/D431*100</f>
        <v>50</v>
      </c>
      <c r="G431" s="1438">
        <f>SUM(G432)</f>
        <v>10000</v>
      </c>
      <c r="H431" s="845">
        <f>SUM(H432)</f>
        <v>5000</v>
      </c>
      <c r="I431" s="1475">
        <f aca="true" t="shared" si="55" ref="I431:I491">H431/G431*100</f>
        <v>50</v>
      </c>
      <c r="J431" s="1440"/>
      <c r="K431" s="1380"/>
      <c r="L431" s="1441"/>
      <c r="M431" s="856"/>
      <c r="N431" s="1380"/>
      <c r="O431" s="1442"/>
      <c r="P431" s="1438"/>
      <c r="Q431" s="1380"/>
      <c r="R431" s="1478"/>
    </row>
    <row r="432" spans="1:18" ht="48.75" customHeight="1">
      <c r="A432" s="1492">
        <v>2820</v>
      </c>
      <c r="B432" s="1493" t="s">
        <v>848</v>
      </c>
      <c r="C432" s="1389">
        <v>10000</v>
      </c>
      <c r="D432" s="830">
        <f t="shared" si="53"/>
        <v>10000</v>
      </c>
      <c r="E432" s="1390">
        <f>SUM(H432+K432+N432+Q432)</f>
        <v>5000</v>
      </c>
      <c r="F432" s="1366">
        <f t="shared" si="54"/>
        <v>50</v>
      </c>
      <c r="G432" s="1632">
        <v>10000</v>
      </c>
      <c r="H432" s="1496">
        <v>5000</v>
      </c>
      <c r="I432" s="1369">
        <f t="shared" si="55"/>
        <v>50</v>
      </c>
      <c r="J432" s="1633"/>
      <c r="K432" s="1496"/>
      <c r="L432" s="1497"/>
      <c r="M432" s="1496"/>
      <c r="N432" s="1496"/>
      <c r="O432" s="1634"/>
      <c r="P432" s="1632"/>
      <c r="Q432" s="1496"/>
      <c r="R432" s="1635"/>
    </row>
    <row r="433" spans="1:18" ht="12.75" customHeight="1">
      <c r="A433" s="1436">
        <v>75414</v>
      </c>
      <c r="B433" s="1529" t="s">
        <v>239</v>
      </c>
      <c r="C433" s="1438">
        <f>SUM(C434:C439)</f>
        <v>25500</v>
      </c>
      <c r="D433" s="845">
        <f t="shared" si="53"/>
        <v>40500</v>
      </c>
      <c r="E433" s="845">
        <f>H433+K433+Q433+N433</f>
        <v>11260</v>
      </c>
      <c r="F433" s="1381">
        <f t="shared" si="54"/>
        <v>27.802469135802472</v>
      </c>
      <c r="G433" s="1438">
        <f>SUM(G434:G439)</f>
        <v>35500</v>
      </c>
      <c r="H433" s="1380">
        <f>SUM(H434:H439)</f>
        <v>11260</v>
      </c>
      <c r="I433" s="1475">
        <f t="shared" si="55"/>
        <v>31.71830985915493</v>
      </c>
      <c r="J433" s="1380">
        <f>SUM(J437:J439)</f>
        <v>5000</v>
      </c>
      <c r="K433" s="1380">
        <f>SUM(K437:K439)</f>
        <v>0</v>
      </c>
      <c r="L433" s="1475">
        <f>K433/J433*100</f>
        <v>0</v>
      </c>
      <c r="M433" s="1380"/>
      <c r="N433" s="1380"/>
      <c r="O433" s="1442"/>
      <c r="P433" s="1438"/>
      <c r="Q433" s="1380"/>
      <c r="R433" s="1478"/>
    </row>
    <row r="434" spans="1:18" ht="36" hidden="1">
      <c r="A434" s="1443">
        <v>3020</v>
      </c>
      <c r="B434" s="1451" t="s">
        <v>739</v>
      </c>
      <c r="C434" s="1389">
        <v>0</v>
      </c>
      <c r="D434" s="830">
        <f t="shared" si="53"/>
        <v>0</v>
      </c>
      <c r="E434" s="1390">
        <f aca="true" t="shared" si="56" ref="E434:E441">SUM(H434+K434+N434+Q434)</f>
        <v>0</v>
      </c>
      <c r="F434" s="1366" t="e">
        <f t="shared" si="54"/>
        <v>#DIV/0!</v>
      </c>
      <c r="G434" s="1389">
        <v>0</v>
      </c>
      <c r="H434" s="1390"/>
      <c r="I434" s="1369" t="e">
        <f t="shared" si="55"/>
        <v>#DIV/0!</v>
      </c>
      <c r="J434" s="1445"/>
      <c r="K434" s="1449"/>
      <c r="L434" s="1475"/>
      <c r="M434" s="1390"/>
      <c r="N434" s="1390"/>
      <c r="O434" s="1447"/>
      <c r="P434" s="1389"/>
      <c r="Q434" s="1390"/>
      <c r="R434" s="1454"/>
    </row>
    <row r="435" spans="1:18" ht="24" hidden="1">
      <c r="A435" s="1443">
        <v>4110</v>
      </c>
      <c r="B435" s="1451" t="s">
        <v>686</v>
      </c>
      <c r="C435" s="1389">
        <v>0</v>
      </c>
      <c r="D435" s="830">
        <f t="shared" si="53"/>
        <v>0</v>
      </c>
      <c r="E435" s="1390">
        <f t="shared" si="56"/>
        <v>0</v>
      </c>
      <c r="F435" s="1366" t="e">
        <f t="shared" si="54"/>
        <v>#DIV/0!</v>
      </c>
      <c r="G435" s="1389">
        <v>0</v>
      </c>
      <c r="H435" s="1390"/>
      <c r="I435" s="1369" t="e">
        <f t="shared" si="55"/>
        <v>#DIV/0!</v>
      </c>
      <c r="J435" s="1445"/>
      <c r="K435" s="1449"/>
      <c r="L435" s="1475"/>
      <c r="M435" s="1390"/>
      <c r="N435" s="1390"/>
      <c r="O435" s="1447"/>
      <c r="P435" s="1389"/>
      <c r="Q435" s="1390"/>
      <c r="R435" s="1454"/>
    </row>
    <row r="436" spans="1:18" ht="48" hidden="1">
      <c r="A436" s="1443">
        <v>6060</v>
      </c>
      <c r="B436" s="1451" t="s">
        <v>849</v>
      </c>
      <c r="C436" s="1389"/>
      <c r="D436" s="830">
        <f t="shared" si="53"/>
        <v>0</v>
      </c>
      <c r="E436" s="1390">
        <f t="shared" si="56"/>
        <v>0</v>
      </c>
      <c r="F436" s="1366" t="e">
        <f t="shared" si="54"/>
        <v>#DIV/0!</v>
      </c>
      <c r="G436" s="1389"/>
      <c r="H436" s="1390"/>
      <c r="I436" s="1369"/>
      <c r="J436" s="1445"/>
      <c r="K436" s="1449"/>
      <c r="L436" s="1410"/>
      <c r="M436" s="1390"/>
      <c r="N436" s="1390"/>
      <c r="O436" s="1447"/>
      <c r="P436" s="1389"/>
      <c r="Q436" s="1390"/>
      <c r="R436" s="1454" t="e">
        <f>Q436/P436*100</f>
        <v>#DIV/0!</v>
      </c>
    </row>
    <row r="437" spans="1:18" ht="23.25" customHeight="1">
      <c r="A437" s="1443">
        <v>4210</v>
      </c>
      <c r="B437" s="1451" t="s">
        <v>690</v>
      </c>
      <c r="C437" s="1389">
        <v>15000</v>
      </c>
      <c r="D437" s="830">
        <f t="shared" si="53"/>
        <v>25000</v>
      </c>
      <c r="E437" s="1390">
        <f t="shared" si="56"/>
        <v>8373</v>
      </c>
      <c r="F437" s="1366">
        <f t="shared" si="54"/>
        <v>33.492</v>
      </c>
      <c r="G437" s="1389">
        <f>15000+10000</f>
        <v>25000</v>
      </c>
      <c r="H437" s="1390">
        <v>8373</v>
      </c>
      <c r="I437" s="1369">
        <f t="shared" si="55"/>
        <v>33.492</v>
      </c>
      <c r="J437" s="1445"/>
      <c r="K437" s="1449"/>
      <c r="L437" s="1369"/>
      <c r="M437" s="1390"/>
      <c r="N437" s="1390"/>
      <c r="O437" s="1447"/>
      <c r="P437" s="1389"/>
      <c r="Q437" s="1390"/>
      <c r="R437" s="1454"/>
    </row>
    <row r="438" spans="1:18" ht="15" customHeight="1" hidden="1">
      <c r="A438" s="1443">
        <v>4270</v>
      </c>
      <c r="B438" s="1451" t="s">
        <v>696</v>
      </c>
      <c r="C438" s="1389"/>
      <c r="D438" s="830"/>
      <c r="E438" s="1390"/>
      <c r="F438" s="1366"/>
      <c r="G438" s="1389"/>
      <c r="H438" s="1390"/>
      <c r="I438" s="1369"/>
      <c r="J438" s="1445"/>
      <c r="K438" s="1449"/>
      <c r="L438" s="1369"/>
      <c r="M438" s="1390"/>
      <c r="N438" s="1390"/>
      <c r="O438" s="1447"/>
      <c r="P438" s="1389"/>
      <c r="Q438" s="1390"/>
      <c r="R438" s="1454"/>
    </row>
    <row r="439" spans="1:18" ht="35.25" thickBot="1">
      <c r="A439" s="1443">
        <v>4300</v>
      </c>
      <c r="B439" s="1444" t="s">
        <v>850</v>
      </c>
      <c r="C439" s="1389">
        <v>10500</v>
      </c>
      <c r="D439" s="862">
        <f>G439+J439+P439+M439</f>
        <v>15500</v>
      </c>
      <c r="E439" s="1487">
        <f t="shared" si="56"/>
        <v>2887</v>
      </c>
      <c r="F439" s="1439">
        <f t="shared" si="54"/>
        <v>18.625806451612902</v>
      </c>
      <c r="G439" s="1389">
        <v>10500</v>
      </c>
      <c r="H439" s="1449">
        <v>2887</v>
      </c>
      <c r="I439" s="1439">
        <f t="shared" si="55"/>
        <v>27.495238095238093</v>
      </c>
      <c r="J439" s="1484">
        <v>5000</v>
      </c>
      <c r="K439" s="1449"/>
      <c r="L439" s="1369">
        <f>K439/J439*100</f>
        <v>0</v>
      </c>
      <c r="M439" s="1449"/>
      <c r="N439" s="1449"/>
      <c r="O439" s="1636"/>
      <c r="P439" s="1448"/>
      <c r="Q439" s="1449"/>
      <c r="R439" s="1450"/>
    </row>
    <row r="440" spans="1:18" s="1471" customFormat="1" ht="13.5" hidden="1" thickBot="1">
      <c r="A440" s="1479">
        <v>75495</v>
      </c>
      <c r="B440" s="1480" t="s">
        <v>299</v>
      </c>
      <c r="C440" s="823"/>
      <c r="D440" s="845">
        <f>G440+J440+P440+M440</f>
        <v>0</v>
      </c>
      <c r="E440" s="845">
        <f t="shared" si="56"/>
        <v>0</v>
      </c>
      <c r="F440" s="1475" t="e">
        <f t="shared" si="54"/>
        <v>#DIV/0!</v>
      </c>
      <c r="G440" s="823">
        <f>SUM(G441)</f>
        <v>0</v>
      </c>
      <c r="H440" s="1379">
        <f>SUM(H441)</f>
        <v>0</v>
      </c>
      <c r="I440" s="1475" t="e">
        <f t="shared" si="55"/>
        <v>#DIV/0!</v>
      </c>
      <c r="J440" s="1481"/>
      <c r="K440" s="1379"/>
      <c r="L440" s="1400"/>
      <c r="M440" s="1379"/>
      <c r="N440" s="1379"/>
      <c r="O440" s="1637"/>
      <c r="P440" s="876"/>
      <c r="Q440" s="1379"/>
      <c r="R440" s="878"/>
    </row>
    <row r="441" spans="1:18" ht="36.75" hidden="1" thickBot="1">
      <c r="A441" s="1443">
        <v>6060</v>
      </c>
      <c r="B441" s="1444" t="s">
        <v>753</v>
      </c>
      <c r="C441" s="1389"/>
      <c r="D441" s="830">
        <f>G441+J441+P441+M441</f>
        <v>0</v>
      </c>
      <c r="E441" s="1390">
        <f t="shared" si="56"/>
        <v>0</v>
      </c>
      <c r="F441" s="1366" t="e">
        <f t="shared" si="54"/>
        <v>#DIV/0!</v>
      </c>
      <c r="G441" s="1389"/>
      <c r="H441" s="1449"/>
      <c r="I441" s="1369" t="e">
        <f t="shared" si="55"/>
        <v>#DIV/0!</v>
      </c>
      <c r="J441" s="1484"/>
      <c r="K441" s="1449"/>
      <c r="L441" s="1369"/>
      <c r="M441" s="1449"/>
      <c r="N441" s="1449"/>
      <c r="O441" s="1636"/>
      <c r="P441" s="1448"/>
      <c r="Q441" s="1449"/>
      <c r="R441" s="1450"/>
    </row>
    <row r="442" spans="1:18" s="1471" customFormat="1" ht="109.5" customHeight="1" thickBot="1" thickTop="1">
      <c r="A442" s="1455">
        <v>756</v>
      </c>
      <c r="B442" s="1638" t="s">
        <v>138</v>
      </c>
      <c r="C442" s="812">
        <f>C443</f>
        <v>434400</v>
      </c>
      <c r="D442" s="813">
        <f>G442</f>
        <v>467900</v>
      </c>
      <c r="E442" s="813">
        <f>H442</f>
        <v>182142</v>
      </c>
      <c r="F442" s="1457">
        <f>E442/D442*100</f>
        <v>38.92754862150032</v>
      </c>
      <c r="G442" s="812">
        <f>G443</f>
        <v>467900</v>
      </c>
      <c r="H442" s="1639">
        <f>H443</f>
        <v>182142</v>
      </c>
      <c r="I442" s="1458">
        <f>H442/G442*100</f>
        <v>38.92754862150032</v>
      </c>
      <c r="J442" s="1640"/>
      <c r="K442" s="1639"/>
      <c r="L442" s="1458"/>
      <c r="M442" s="1639"/>
      <c r="N442" s="1639"/>
      <c r="O442" s="1641"/>
      <c r="P442" s="1642"/>
      <c r="Q442" s="1639"/>
      <c r="R442" s="1643"/>
    </row>
    <row r="443" spans="1:18" ht="36.75" thickTop="1">
      <c r="A443" s="1616">
        <v>75647</v>
      </c>
      <c r="B443" s="1553" t="s">
        <v>851</v>
      </c>
      <c r="C443" s="820">
        <f>SUM(C444:C453)</f>
        <v>434400</v>
      </c>
      <c r="D443" s="821">
        <f aca="true" t="shared" si="57" ref="D443:D453">G443+J443+P443+M443</f>
        <v>467900</v>
      </c>
      <c r="E443" s="821">
        <f>H443+K443+Q443+N443</f>
        <v>182142</v>
      </c>
      <c r="F443" s="1644">
        <f>E443/D443*100</f>
        <v>38.92754862150032</v>
      </c>
      <c r="G443" s="820">
        <f>SUM(G444:G453)</f>
        <v>467900</v>
      </c>
      <c r="H443" s="821">
        <f>SUM(H444:H453)</f>
        <v>182142</v>
      </c>
      <c r="I443" s="1439">
        <f>H443/G443*100</f>
        <v>38.92754862150032</v>
      </c>
      <c r="J443" s="1554"/>
      <c r="K443" s="821"/>
      <c r="L443" s="1581"/>
      <c r="M443" s="821"/>
      <c r="N443" s="821"/>
      <c r="O443" s="1555"/>
      <c r="P443" s="821"/>
      <c r="Q443" s="821"/>
      <c r="R443" s="1645"/>
    </row>
    <row r="444" spans="1:18" s="1286" customFormat="1" ht="36" hidden="1">
      <c r="A444" s="1613">
        <v>4010</v>
      </c>
      <c r="B444" s="1541" t="s">
        <v>852</v>
      </c>
      <c r="C444" s="864"/>
      <c r="D444" s="830">
        <f t="shared" si="57"/>
        <v>0</v>
      </c>
      <c r="E444" s="1390">
        <f aca="true" t="shared" si="58" ref="E444:E453">SUM(H444+K444+N444+Q444)</f>
        <v>0</v>
      </c>
      <c r="F444" s="1366" t="e">
        <f aca="true" t="shared" si="59" ref="F444:F453">E444/D444*100</f>
        <v>#DIV/0!</v>
      </c>
      <c r="G444" s="864"/>
      <c r="H444" s="869"/>
      <c r="I444" s="1369" t="e">
        <f aca="true" t="shared" si="60" ref="I444:I453">H444/G444*100</f>
        <v>#DIV/0!</v>
      </c>
      <c r="J444" s="1542"/>
      <c r="K444" s="869"/>
      <c r="L444" s="1410"/>
      <c r="M444" s="869"/>
      <c r="N444" s="869"/>
      <c r="O444" s="1544"/>
      <c r="P444" s="869"/>
      <c r="Q444" s="869"/>
      <c r="R444" s="1614"/>
    </row>
    <row r="445" spans="1:18" ht="24">
      <c r="A445" s="1527">
        <v>4100</v>
      </c>
      <c r="B445" s="1451" t="s">
        <v>853</v>
      </c>
      <c r="C445" s="1389">
        <v>55000</v>
      </c>
      <c r="D445" s="830">
        <f t="shared" si="57"/>
        <v>76000</v>
      </c>
      <c r="E445" s="1390">
        <f t="shared" si="58"/>
        <v>38447</v>
      </c>
      <c r="F445" s="1366">
        <f t="shared" si="59"/>
        <v>50.58815789473684</v>
      </c>
      <c r="G445" s="1389">
        <f>55000+21000</f>
        <v>76000</v>
      </c>
      <c r="H445" s="1646">
        <v>38447</v>
      </c>
      <c r="I445" s="1369">
        <f t="shared" si="60"/>
        <v>50.58815789473684</v>
      </c>
      <c r="J445" s="1445"/>
      <c r="K445" s="1390"/>
      <c r="L445" s="1369"/>
      <c r="M445" s="1390"/>
      <c r="N445" s="1390"/>
      <c r="O445" s="1447"/>
      <c r="P445" s="1390"/>
      <c r="Q445" s="1390"/>
      <c r="R445" s="1395"/>
    </row>
    <row r="446" spans="1:18" ht="24">
      <c r="A446" s="1527">
        <v>4100</v>
      </c>
      <c r="B446" s="1451" t="s">
        <v>854</v>
      </c>
      <c r="C446" s="1389">
        <v>35000</v>
      </c>
      <c r="D446" s="830">
        <f t="shared" si="57"/>
        <v>35000</v>
      </c>
      <c r="E446" s="1390">
        <f t="shared" si="58"/>
        <v>8400</v>
      </c>
      <c r="F446" s="1366">
        <f t="shared" si="59"/>
        <v>24</v>
      </c>
      <c r="G446" s="1389">
        <v>35000</v>
      </c>
      <c r="H446" s="1390">
        <v>8400</v>
      </c>
      <c r="I446" s="1369">
        <f t="shared" si="60"/>
        <v>24</v>
      </c>
      <c r="J446" s="1445"/>
      <c r="K446" s="1390"/>
      <c r="L446" s="1369"/>
      <c r="M446" s="1390"/>
      <c r="N446" s="1390"/>
      <c r="O446" s="1447"/>
      <c r="P446" s="1390"/>
      <c r="Q446" s="1390"/>
      <c r="R446" s="1395"/>
    </row>
    <row r="447" spans="1:18" ht="24">
      <c r="A447" s="1443">
        <v>4110</v>
      </c>
      <c r="B447" s="1451" t="s">
        <v>855</v>
      </c>
      <c r="C447" s="1389">
        <v>10000</v>
      </c>
      <c r="D447" s="830">
        <f t="shared" si="57"/>
        <v>10000</v>
      </c>
      <c r="E447" s="1390">
        <f t="shared" si="58"/>
        <v>1451</v>
      </c>
      <c r="F447" s="1366">
        <f t="shared" si="59"/>
        <v>14.510000000000002</v>
      </c>
      <c r="G447" s="1389">
        <v>10000</v>
      </c>
      <c r="H447" s="1390">
        <v>1451</v>
      </c>
      <c r="I447" s="1369">
        <f t="shared" si="60"/>
        <v>14.510000000000002</v>
      </c>
      <c r="J447" s="1445"/>
      <c r="K447" s="1390"/>
      <c r="L447" s="1369"/>
      <c r="M447" s="1390"/>
      <c r="N447" s="1390"/>
      <c r="O447" s="1447"/>
      <c r="P447" s="1390"/>
      <c r="Q447" s="1390"/>
      <c r="R447" s="1395"/>
    </row>
    <row r="448" spans="1:18" ht="24">
      <c r="A448" s="1443">
        <v>4110</v>
      </c>
      <c r="B448" s="1451" t="s">
        <v>856</v>
      </c>
      <c r="C448" s="1389">
        <v>9500</v>
      </c>
      <c r="D448" s="830">
        <f t="shared" si="57"/>
        <v>11500</v>
      </c>
      <c r="E448" s="1390">
        <f t="shared" si="58"/>
        <v>4797</v>
      </c>
      <c r="F448" s="1366">
        <f t="shared" si="59"/>
        <v>41.71304347826087</v>
      </c>
      <c r="G448" s="1389">
        <f>9500+2000</f>
        <v>11500</v>
      </c>
      <c r="H448" s="1390">
        <v>4797</v>
      </c>
      <c r="I448" s="1369">
        <f t="shared" si="60"/>
        <v>41.71304347826087</v>
      </c>
      <c r="J448" s="1445"/>
      <c r="K448" s="1390"/>
      <c r="L448" s="1369"/>
      <c r="M448" s="1390"/>
      <c r="N448" s="1390"/>
      <c r="O448" s="1447"/>
      <c r="P448" s="1390"/>
      <c r="Q448" s="1390"/>
      <c r="R448" s="1395"/>
    </row>
    <row r="449" spans="1:18" ht="12.75">
      <c r="A449" s="1443">
        <v>4120</v>
      </c>
      <c r="B449" s="1451" t="s">
        <v>857</v>
      </c>
      <c r="C449" s="1389">
        <v>1600</v>
      </c>
      <c r="D449" s="830">
        <f t="shared" si="57"/>
        <v>1600</v>
      </c>
      <c r="E449" s="1390">
        <f t="shared" si="58"/>
        <v>175</v>
      </c>
      <c r="F449" s="1366">
        <f t="shared" si="59"/>
        <v>10.9375</v>
      </c>
      <c r="G449" s="1389">
        <v>1600</v>
      </c>
      <c r="H449" s="1390">
        <v>175</v>
      </c>
      <c r="I449" s="1369">
        <f t="shared" si="60"/>
        <v>10.9375</v>
      </c>
      <c r="J449" s="1445"/>
      <c r="K449" s="1390"/>
      <c r="L449" s="1369"/>
      <c r="M449" s="1390"/>
      <c r="N449" s="1390"/>
      <c r="O449" s="1447"/>
      <c r="P449" s="1390"/>
      <c r="Q449" s="1390"/>
      <c r="R449" s="1395"/>
    </row>
    <row r="450" spans="1:18" ht="12.75">
      <c r="A450" s="1443">
        <v>4120</v>
      </c>
      <c r="B450" s="1451" t="s">
        <v>858</v>
      </c>
      <c r="C450" s="1389">
        <v>1300</v>
      </c>
      <c r="D450" s="830">
        <f t="shared" si="57"/>
        <v>1800</v>
      </c>
      <c r="E450" s="1390">
        <f t="shared" si="58"/>
        <v>682</v>
      </c>
      <c r="F450" s="1366">
        <f t="shared" si="59"/>
        <v>37.888888888888886</v>
      </c>
      <c r="G450" s="1389">
        <f>1300+500</f>
        <v>1800</v>
      </c>
      <c r="H450" s="1390">
        <f>683-1</f>
        <v>682</v>
      </c>
      <c r="I450" s="1369">
        <f t="shared" si="60"/>
        <v>37.888888888888886</v>
      </c>
      <c r="J450" s="1445"/>
      <c r="K450" s="1390"/>
      <c r="L450" s="1369"/>
      <c r="M450" s="1390"/>
      <c r="N450" s="1390"/>
      <c r="O450" s="1447"/>
      <c r="P450" s="1390"/>
      <c r="Q450" s="1390"/>
      <c r="R450" s="1395"/>
    </row>
    <row r="451" spans="1:18" ht="24">
      <c r="A451" s="1443">
        <v>4170</v>
      </c>
      <c r="B451" s="1451" t="s">
        <v>859</v>
      </c>
      <c r="C451" s="1389">
        <v>22000</v>
      </c>
      <c r="D451" s="830">
        <f t="shared" si="57"/>
        <v>22000</v>
      </c>
      <c r="E451" s="1390">
        <f t="shared" si="58"/>
        <v>10162</v>
      </c>
      <c r="F451" s="1366">
        <f t="shared" si="59"/>
        <v>46.190909090909095</v>
      </c>
      <c r="G451" s="1389">
        <v>22000</v>
      </c>
      <c r="H451" s="1390">
        <v>10162</v>
      </c>
      <c r="I451" s="1369">
        <f t="shared" si="60"/>
        <v>46.190909090909095</v>
      </c>
      <c r="J451" s="1445"/>
      <c r="K451" s="1390"/>
      <c r="L451" s="1369"/>
      <c r="M451" s="1390"/>
      <c r="N451" s="1390"/>
      <c r="O451" s="1447"/>
      <c r="P451" s="1390"/>
      <c r="Q451" s="1390"/>
      <c r="R451" s="1395"/>
    </row>
    <row r="452" spans="1:18" ht="24">
      <c r="A452" s="1443">
        <v>4300</v>
      </c>
      <c r="B452" s="1451" t="s">
        <v>860</v>
      </c>
      <c r="C452" s="1389"/>
      <c r="D452" s="830">
        <f t="shared" si="57"/>
        <v>60000</v>
      </c>
      <c r="E452" s="1390">
        <f t="shared" si="58"/>
        <v>29632</v>
      </c>
      <c r="F452" s="1366">
        <f t="shared" si="59"/>
        <v>49.38666666666667</v>
      </c>
      <c r="G452" s="1389">
        <f>50000+10000</f>
        <v>60000</v>
      </c>
      <c r="H452" s="1390">
        <v>29632</v>
      </c>
      <c r="I452" s="1369">
        <f t="shared" si="60"/>
        <v>49.38666666666667</v>
      </c>
      <c r="J452" s="1445"/>
      <c r="K452" s="1390"/>
      <c r="L452" s="1369"/>
      <c r="M452" s="1390"/>
      <c r="N452" s="1390"/>
      <c r="O452" s="1447"/>
      <c r="P452" s="1390"/>
      <c r="Q452" s="1390"/>
      <c r="R452" s="1395"/>
    </row>
    <row r="453" spans="1:18" ht="24.75" thickBot="1">
      <c r="A453" s="1443">
        <v>4300</v>
      </c>
      <c r="B453" s="1451" t="s">
        <v>861</v>
      </c>
      <c r="C453" s="1494">
        <v>300000</v>
      </c>
      <c r="D453" s="830">
        <f t="shared" si="57"/>
        <v>250000</v>
      </c>
      <c r="E453" s="1390">
        <f t="shared" si="58"/>
        <v>88396</v>
      </c>
      <c r="F453" s="1366">
        <f t="shared" si="59"/>
        <v>35.3584</v>
      </c>
      <c r="G453" s="1494">
        <f>300000-50000</f>
        <v>250000</v>
      </c>
      <c r="H453" s="1487">
        <v>88396</v>
      </c>
      <c r="I453" s="1369">
        <f t="shared" si="60"/>
        <v>35.3584</v>
      </c>
      <c r="J453" s="1495"/>
      <c r="K453" s="1487"/>
      <c r="L453" s="1439"/>
      <c r="M453" s="1487"/>
      <c r="N453" s="1487"/>
      <c r="O453" s="1498"/>
      <c r="P453" s="1487"/>
      <c r="Q453" s="1487"/>
      <c r="R453" s="1420"/>
    </row>
    <row r="454" spans="1:18" s="1435" customFormat="1" ht="27" customHeight="1" thickBot="1" thickTop="1">
      <c r="A454" s="1429">
        <v>757</v>
      </c>
      <c r="B454" s="1430" t="s">
        <v>140</v>
      </c>
      <c r="C454" s="1431">
        <f>SUM(C455)</f>
        <v>3770000</v>
      </c>
      <c r="D454" s="813">
        <f>G454+J454+P454+M454</f>
        <v>3770000</v>
      </c>
      <c r="E454" s="1416">
        <f>H454+K454+Q454+N454</f>
        <v>1417017</v>
      </c>
      <c r="F454" s="1342">
        <f t="shared" si="54"/>
        <v>37.58665782493369</v>
      </c>
      <c r="G454" s="1431">
        <f>SUM(G455)</f>
        <v>3770000</v>
      </c>
      <c r="H454" s="1416">
        <f>SUM(H455)</f>
        <v>1417017</v>
      </c>
      <c r="I454" s="1344">
        <f t="shared" si="55"/>
        <v>37.58665782493369</v>
      </c>
      <c r="J454" s="1432"/>
      <c r="K454" s="1416"/>
      <c r="L454" s="1433"/>
      <c r="M454" s="1416"/>
      <c r="N454" s="1416"/>
      <c r="O454" s="1434"/>
      <c r="P454" s="1431"/>
      <c r="Q454" s="1416"/>
      <c r="R454" s="1528"/>
    </row>
    <row r="455" spans="1:18" ht="36.75" thickTop="1">
      <c r="A455" s="1436">
        <v>75702</v>
      </c>
      <c r="B455" s="1529" t="s">
        <v>1262</v>
      </c>
      <c r="C455" s="1438">
        <f>SUM(C456:C457)</f>
        <v>3770000</v>
      </c>
      <c r="D455" s="821">
        <f>G455+J455+P455+M455</f>
        <v>3770000</v>
      </c>
      <c r="E455" s="1530">
        <f>H455+K455+Q455+N455</f>
        <v>1417017</v>
      </c>
      <c r="F455" s="1419">
        <f t="shared" si="54"/>
        <v>37.58665782493369</v>
      </c>
      <c r="G455" s="1438">
        <f>SUM(G456:G457)</f>
        <v>3770000</v>
      </c>
      <c r="H455" s="1380">
        <f>SUM(H456:H457)</f>
        <v>1417017</v>
      </c>
      <c r="I455" s="1439">
        <f t="shared" si="55"/>
        <v>37.58665782493369</v>
      </c>
      <c r="J455" s="1440"/>
      <c r="K455" s="1380"/>
      <c r="L455" s="1441"/>
      <c r="M455" s="1380"/>
      <c r="N455" s="1380"/>
      <c r="O455" s="1442"/>
      <c r="P455" s="1438"/>
      <c r="Q455" s="1380"/>
      <c r="R455" s="1478"/>
    </row>
    <row r="456" spans="1:18" s="1286" customFormat="1" ht="60">
      <c r="A456" s="1422">
        <v>8079</v>
      </c>
      <c r="B456" s="2929" t="s">
        <v>1263</v>
      </c>
      <c r="C456" s="832"/>
      <c r="D456" s="869">
        <f aca="true" t="shared" si="61" ref="D456:E484">G456+J456+P456+M456</f>
        <v>20000</v>
      </c>
      <c r="E456" s="1407">
        <f>SUM(H456+K456+N456+Q456)</f>
        <v>13805</v>
      </c>
      <c r="F456" s="1391">
        <f t="shared" si="54"/>
        <v>69.025</v>
      </c>
      <c r="G456" s="864">
        <v>20000</v>
      </c>
      <c r="H456" s="869">
        <v>13805</v>
      </c>
      <c r="I456" s="1369">
        <f t="shared" si="55"/>
        <v>69.025</v>
      </c>
      <c r="J456" s="1514"/>
      <c r="K456" s="830"/>
      <c r="L456" s="1446"/>
      <c r="M456" s="830"/>
      <c r="N456" s="830"/>
      <c r="O456" s="1515"/>
      <c r="P456" s="832"/>
      <c r="Q456" s="830"/>
      <c r="R456" s="834"/>
    </row>
    <row r="457" spans="1:18" s="1435" customFormat="1" ht="60.75" thickBot="1">
      <c r="A457" s="2930">
        <v>8070</v>
      </c>
      <c r="B457" s="2929" t="s">
        <v>1263</v>
      </c>
      <c r="C457" s="1452">
        <v>3770000</v>
      </c>
      <c r="D457" s="1453">
        <f t="shared" si="61"/>
        <v>3750000</v>
      </c>
      <c r="E457" s="1579">
        <f>SUM(H457+K457+N457+Q457)</f>
        <v>1403212</v>
      </c>
      <c r="F457" s="2931">
        <f t="shared" si="54"/>
        <v>37.41898666666666</v>
      </c>
      <c r="G457" s="1452">
        <f>3770000-20000</f>
        <v>3750000</v>
      </c>
      <c r="H457" s="1579">
        <v>1403212</v>
      </c>
      <c r="I457" s="1369">
        <f t="shared" si="55"/>
        <v>37.41898666666666</v>
      </c>
      <c r="J457" s="1495"/>
      <c r="K457" s="1487"/>
      <c r="L457" s="1551"/>
      <c r="M457" s="1487"/>
      <c r="N457" s="1487"/>
      <c r="O457" s="1447"/>
      <c r="P457" s="1494"/>
      <c r="Q457" s="1487"/>
      <c r="R457" s="1539"/>
    </row>
    <row r="458" spans="1:18" ht="19.5" customHeight="1" thickBot="1" thickTop="1">
      <c r="A458" s="1429">
        <v>758</v>
      </c>
      <c r="B458" s="1430" t="s">
        <v>142</v>
      </c>
      <c r="C458" s="1431">
        <f>C461+C459</f>
        <v>5180460</v>
      </c>
      <c r="D458" s="813">
        <f t="shared" si="61"/>
        <v>4775062</v>
      </c>
      <c r="E458" s="1416">
        <f>E461+E459</f>
        <v>623400</v>
      </c>
      <c r="F458" s="1342">
        <f t="shared" si="54"/>
        <v>13.055327867994174</v>
      </c>
      <c r="G458" s="1580">
        <f>G461+G459</f>
        <v>3528287</v>
      </c>
      <c r="H458" s="1416">
        <f>H461+H459</f>
        <v>0</v>
      </c>
      <c r="I458" s="1344">
        <f t="shared" si="55"/>
        <v>0</v>
      </c>
      <c r="J458" s="1432"/>
      <c r="K458" s="1416"/>
      <c r="L458" s="1433"/>
      <c r="M458" s="1416">
        <f>M459</f>
        <v>1246775</v>
      </c>
      <c r="N458" s="1416">
        <f>N459</f>
        <v>623400</v>
      </c>
      <c r="O458" s="1647">
        <f>N458/M458*100</f>
        <v>50.001002586673614</v>
      </c>
      <c r="P458" s="1431"/>
      <c r="Q458" s="1416"/>
      <c r="R458" s="1528"/>
    </row>
    <row r="459" spans="1:18" ht="36.75" thickTop="1">
      <c r="A459" s="1623">
        <v>75832</v>
      </c>
      <c r="B459" s="1624" t="s">
        <v>862</v>
      </c>
      <c r="C459" s="1625">
        <f>C460</f>
        <v>1246775</v>
      </c>
      <c r="D459" s="843">
        <f t="shared" si="61"/>
        <v>1246775</v>
      </c>
      <c r="E459" s="1530">
        <f>E460</f>
        <v>623400</v>
      </c>
      <c r="F459" s="1354">
        <f t="shared" si="54"/>
        <v>50.001002586673614</v>
      </c>
      <c r="G459" s="1625"/>
      <c r="H459" s="1648"/>
      <c r="I459" s="1357"/>
      <c r="J459" s="1648"/>
      <c r="K459" s="1530"/>
      <c r="L459" s="1569"/>
      <c r="M459" s="1530">
        <f>M460</f>
        <v>1246775</v>
      </c>
      <c r="N459" s="1530">
        <f>N460</f>
        <v>623400</v>
      </c>
      <c r="O459" s="1649">
        <f>N459/M459*100</f>
        <v>50.001002586673614</v>
      </c>
      <c r="P459" s="1625"/>
      <c r="Q459" s="1530"/>
      <c r="R459" s="1650"/>
    </row>
    <row r="460" spans="1:18" s="1286" customFormat="1" ht="36">
      <c r="A460" s="1512">
        <v>2930</v>
      </c>
      <c r="B460" s="1574" t="s">
        <v>863</v>
      </c>
      <c r="C460" s="832">
        <v>1246775</v>
      </c>
      <c r="D460" s="862">
        <f t="shared" si="61"/>
        <v>1246775</v>
      </c>
      <c r="E460" s="1407">
        <f aca="true" t="shared" si="62" ref="E460:E465">SUM(H460+K460+N460+Q460)</f>
        <v>623400</v>
      </c>
      <c r="F460" s="1419">
        <f t="shared" si="54"/>
        <v>50.001002586673614</v>
      </c>
      <c r="G460" s="832"/>
      <c r="H460" s="830"/>
      <c r="I460" s="1439"/>
      <c r="J460" s="1514"/>
      <c r="K460" s="830"/>
      <c r="L460" s="1446"/>
      <c r="M460" s="830">
        <v>1246775</v>
      </c>
      <c r="N460" s="830">
        <v>623400</v>
      </c>
      <c r="O460" s="1515">
        <f>N460/M460*100</f>
        <v>50.001002586673614</v>
      </c>
      <c r="P460" s="832"/>
      <c r="Q460" s="830"/>
      <c r="R460" s="834"/>
    </row>
    <row r="461" spans="1:18" ht="12.75">
      <c r="A461" s="1436">
        <v>75818</v>
      </c>
      <c r="B461" s="1529" t="s">
        <v>864</v>
      </c>
      <c r="C461" s="1438">
        <f>SUM(C462:C465)</f>
        <v>3933685</v>
      </c>
      <c r="D461" s="821">
        <f t="shared" si="61"/>
        <v>3528287</v>
      </c>
      <c r="E461" s="1534">
        <f t="shared" si="62"/>
        <v>0</v>
      </c>
      <c r="F461" s="1419">
        <f t="shared" si="54"/>
        <v>0</v>
      </c>
      <c r="G461" s="1438">
        <f>SUM(G462:G465)</f>
        <v>3528287</v>
      </c>
      <c r="H461" s="1440">
        <f>SUM(H462:H465)</f>
        <v>0</v>
      </c>
      <c r="I461" s="1439">
        <f t="shared" si="55"/>
        <v>0</v>
      </c>
      <c r="J461" s="1440"/>
      <c r="K461" s="1380"/>
      <c r="L461" s="1441"/>
      <c r="M461" s="1380"/>
      <c r="N461" s="1380"/>
      <c r="O461" s="1442"/>
      <c r="P461" s="1438"/>
      <c r="Q461" s="1380"/>
      <c r="R461" s="1478"/>
    </row>
    <row r="462" spans="1:18" s="1286" customFormat="1" ht="24">
      <c r="A462" s="1540">
        <v>4810</v>
      </c>
      <c r="B462" s="1541" t="s">
        <v>865</v>
      </c>
      <c r="C462" s="864">
        <v>1321285</v>
      </c>
      <c r="D462" s="869">
        <f t="shared" si="61"/>
        <v>1138287</v>
      </c>
      <c r="E462" s="869">
        <f t="shared" si="62"/>
        <v>0</v>
      </c>
      <c r="F462" s="1391">
        <f t="shared" si="54"/>
        <v>0</v>
      </c>
      <c r="G462" s="864">
        <f>1321285-37588-10000-100000-6000-39410+10000</f>
        <v>1138287</v>
      </c>
      <c r="H462" s="869"/>
      <c r="I462" s="1410">
        <f t="shared" si="55"/>
        <v>0</v>
      </c>
      <c r="J462" s="1542"/>
      <c r="K462" s="869"/>
      <c r="L462" s="1543"/>
      <c r="M462" s="869"/>
      <c r="N462" s="869"/>
      <c r="O462" s="1544"/>
      <c r="P462" s="864"/>
      <c r="Q462" s="869"/>
      <c r="R462" s="884"/>
    </row>
    <row r="463" spans="1:18" s="1286" customFormat="1" ht="24">
      <c r="A463" s="1512">
        <v>4810</v>
      </c>
      <c r="B463" s="2927" t="s">
        <v>1264</v>
      </c>
      <c r="C463" s="832">
        <v>212400</v>
      </c>
      <c r="D463" s="830">
        <f t="shared" si="61"/>
        <v>0</v>
      </c>
      <c r="E463" s="1390">
        <f t="shared" si="62"/>
        <v>0</v>
      </c>
      <c r="F463" s="1369"/>
      <c r="G463" s="832">
        <f>212400-212400</f>
        <v>0</v>
      </c>
      <c r="H463" s="830"/>
      <c r="I463" s="1369"/>
      <c r="J463" s="1514"/>
      <c r="K463" s="830"/>
      <c r="L463" s="1446"/>
      <c r="M463" s="830"/>
      <c r="N463" s="830"/>
      <c r="O463" s="1515"/>
      <c r="P463" s="832"/>
      <c r="Q463" s="830"/>
      <c r="R463" s="834"/>
    </row>
    <row r="464" spans="1:18" s="1286" customFormat="1" ht="24">
      <c r="A464" s="1512">
        <v>4810</v>
      </c>
      <c r="B464" s="1574" t="s">
        <v>1265</v>
      </c>
      <c r="C464" s="832">
        <v>400000</v>
      </c>
      <c r="D464" s="830">
        <f t="shared" si="61"/>
        <v>400000</v>
      </c>
      <c r="E464" s="1390">
        <f t="shared" si="62"/>
        <v>0</v>
      </c>
      <c r="F464" s="1366">
        <f t="shared" si="54"/>
        <v>0</v>
      </c>
      <c r="G464" s="832">
        <v>400000</v>
      </c>
      <c r="H464" s="830"/>
      <c r="I464" s="1369">
        <f t="shared" si="55"/>
        <v>0</v>
      </c>
      <c r="J464" s="1514"/>
      <c r="K464" s="830"/>
      <c r="L464" s="1446"/>
      <c r="M464" s="830"/>
      <c r="N464" s="830"/>
      <c r="O464" s="1515"/>
      <c r="P464" s="832"/>
      <c r="Q464" s="830"/>
      <c r="R464" s="834"/>
    </row>
    <row r="465" spans="1:18" ht="24.75" thickBot="1">
      <c r="A465" s="1443">
        <v>4810</v>
      </c>
      <c r="B465" s="1451" t="s">
        <v>866</v>
      </c>
      <c r="C465" s="1389">
        <v>2000000</v>
      </c>
      <c r="D465" s="830">
        <f t="shared" si="61"/>
        <v>1990000</v>
      </c>
      <c r="E465" s="1390">
        <f t="shared" si="62"/>
        <v>0</v>
      </c>
      <c r="F465" s="1366">
        <f t="shared" si="54"/>
        <v>0</v>
      </c>
      <c r="G465" s="1389">
        <f>2000000-10000</f>
        <v>1990000</v>
      </c>
      <c r="H465" s="1390"/>
      <c r="I465" s="1369">
        <f t="shared" si="55"/>
        <v>0</v>
      </c>
      <c r="J465" s="1445"/>
      <c r="K465" s="1390"/>
      <c r="L465" s="1446"/>
      <c r="M465" s="1390"/>
      <c r="N465" s="1390"/>
      <c r="O465" s="1447"/>
      <c r="P465" s="1389"/>
      <c r="Q465" s="1390"/>
      <c r="R465" s="1454"/>
    </row>
    <row r="466" spans="1:18" s="1435" customFormat="1" ht="27" customHeight="1" thickBot="1" thickTop="1">
      <c r="A466" s="1429">
        <v>801</v>
      </c>
      <c r="B466" s="1430" t="s">
        <v>144</v>
      </c>
      <c r="C466" s="1431">
        <f>C467+C492+C519+C535+C557+C574+C597+C614+C635+C651+C666+C682+C685+C697+C521+C510</f>
        <v>97405123</v>
      </c>
      <c r="D466" s="813">
        <f t="shared" si="61"/>
        <v>98394545</v>
      </c>
      <c r="E466" s="813">
        <f>H466+K466+Q466+N466</f>
        <v>52875100</v>
      </c>
      <c r="F466" s="1342">
        <f t="shared" si="54"/>
        <v>53.73783678759834</v>
      </c>
      <c r="G466" s="1431">
        <f>G467+G492+G519+G535+G557+G574+G597+G614+G635+G651+G666+G682+G685+G697+G521+G510</f>
        <v>57567016</v>
      </c>
      <c r="H466" s="1416">
        <f>H467+H492+H519+H535+H557+H574+H597+H614+H635+H651+H666+H682+H685+H697+H521+H510</f>
        <v>31440658</v>
      </c>
      <c r="I466" s="1344">
        <f t="shared" si="55"/>
        <v>54.61575079729683</v>
      </c>
      <c r="J466" s="1416"/>
      <c r="K466" s="1416"/>
      <c r="L466" s="1344"/>
      <c r="M466" s="1416">
        <f>M467+M492+M519+M535+M557+M574+M597+M614+M635+M651+M666+M682+M685+M697+M521</f>
        <v>40827529</v>
      </c>
      <c r="N466" s="1416">
        <f>N467+N492+N519+N535+N557+N574+N597+N614+N635+N651+N666+N682+N685+N697+N521</f>
        <v>21434442</v>
      </c>
      <c r="O466" s="1349">
        <f>N466/M466*100</f>
        <v>52.499973730959816</v>
      </c>
      <c r="P466" s="1431"/>
      <c r="Q466" s="1416"/>
      <c r="R466" s="1528"/>
    </row>
    <row r="467" spans="1:18" ht="18.75" customHeight="1" thickTop="1">
      <c r="A467" s="1436">
        <v>80101</v>
      </c>
      <c r="B467" s="1529" t="s">
        <v>301</v>
      </c>
      <c r="C467" s="1438">
        <f>SUM(C468:C489)</f>
        <v>25731100</v>
      </c>
      <c r="D467" s="821">
        <f t="shared" si="61"/>
        <v>25804551</v>
      </c>
      <c r="E467" s="1530">
        <f>H467+K467+Q467+N467</f>
        <v>14098696</v>
      </c>
      <c r="F467" s="1419">
        <f t="shared" si="54"/>
        <v>54.63647090778677</v>
      </c>
      <c r="G467" s="1438">
        <f>SUM(G468:G489)</f>
        <v>25804551</v>
      </c>
      <c r="H467" s="1380">
        <f>SUM(H468:H489)</f>
        <v>14098696</v>
      </c>
      <c r="I467" s="1439">
        <f t="shared" si="55"/>
        <v>54.63647090778677</v>
      </c>
      <c r="J467" s="1380"/>
      <c r="K467" s="1380"/>
      <c r="L467" s="1439"/>
      <c r="M467" s="1380"/>
      <c r="N467" s="1380"/>
      <c r="O467" s="1442"/>
      <c r="P467" s="1438"/>
      <c r="Q467" s="1380"/>
      <c r="R467" s="1478"/>
    </row>
    <row r="468" spans="1:18" ht="36">
      <c r="A468" s="1443">
        <v>2540</v>
      </c>
      <c r="B468" s="1451" t="s">
        <v>867</v>
      </c>
      <c r="C468" s="1389">
        <v>633000</v>
      </c>
      <c r="D468" s="830">
        <f t="shared" si="61"/>
        <v>636351</v>
      </c>
      <c r="E468" s="1390">
        <f>SUM(H468+K468+N468+Q468)</f>
        <v>295528</v>
      </c>
      <c r="F468" s="1366">
        <f t="shared" si="54"/>
        <v>46.44103647200994</v>
      </c>
      <c r="G468" s="1389">
        <f>633000-58460+77610-15799</f>
        <v>636351</v>
      </c>
      <c r="H468" s="1390">
        <v>295528</v>
      </c>
      <c r="I468" s="1369">
        <f t="shared" si="55"/>
        <v>46.44103647200994</v>
      </c>
      <c r="J468" s="1445"/>
      <c r="K468" s="1390"/>
      <c r="L468" s="1446"/>
      <c r="M468" s="1390"/>
      <c r="N468" s="1390"/>
      <c r="O468" s="1447"/>
      <c r="P468" s="1389"/>
      <c r="Q468" s="1390"/>
      <c r="R468" s="1454"/>
    </row>
    <row r="469" spans="1:18" ht="36">
      <c r="A469" s="1443">
        <v>3020</v>
      </c>
      <c r="B469" s="1451" t="s">
        <v>1266</v>
      </c>
      <c r="C469" s="1389">
        <v>65100</v>
      </c>
      <c r="D469" s="830">
        <f t="shared" si="61"/>
        <v>102550</v>
      </c>
      <c r="E469" s="1390">
        <f aca="true" t="shared" si="63" ref="E469:E482">SUM(H469+K469+N469+Q469)</f>
        <v>35088</v>
      </c>
      <c r="F469" s="1366">
        <f t="shared" si="54"/>
        <v>34.21550463188689</v>
      </c>
      <c r="G469" s="1389">
        <f>65100+700+36750</f>
        <v>102550</v>
      </c>
      <c r="H469" s="1390">
        <v>35088</v>
      </c>
      <c r="I469" s="1369">
        <f t="shared" si="55"/>
        <v>34.21550463188689</v>
      </c>
      <c r="J469" s="1445"/>
      <c r="K469" s="1390"/>
      <c r="L469" s="1446"/>
      <c r="M469" s="1390"/>
      <c r="N469" s="1390"/>
      <c r="O469" s="1447"/>
      <c r="P469" s="1389"/>
      <c r="Q469" s="1390"/>
      <c r="R469" s="1454"/>
    </row>
    <row r="470" spans="1:18" ht="24.75" customHeight="1">
      <c r="A470" s="1443">
        <v>4010</v>
      </c>
      <c r="B470" s="1451" t="s">
        <v>680</v>
      </c>
      <c r="C470" s="1389">
        <v>16243200</v>
      </c>
      <c r="D470" s="830">
        <f t="shared" si="61"/>
        <v>16195040</v>
      </c>
      <c r="E470" s="1390">
        <f t="shared" si="63"/>
        <v>8024838</v>
      </c>
      <c r="F470" s="1366">
        <f t="shared" si="54"/>
        <v>49.55120827117439</v>
      </c>
      <c r="G470" s="1389">
        <f>16243200+8190-27150-29200</f>
        <v>16195040</v>
      </c>
      <c r="H470" s="1390">
        <v>8024838</v>
      </c>
      <c r="I470" s="1369">
        <f t="shared" si="55"/>
        <v>49.55120827117439</v>
      </c>
      <c r="J470" s="1445"/>
      <c r="K470" s="1390"/>
      <c r="L470" s="1446"/>
      <c r="M470" s="1390"/>
      <c r="N470" s="1390"/>
      <c r="O470" s="1447"/>
      <c r="P470" s="1389"/>
      <c r="Q470" s="1390"/>
      <c r="R470" s="1454"/>
    </row>
    <row r="471" spans="1:18" ht="24.75" customHeight="1">
      <c r="A471" s="1443">
        <v>4040</v>
      </c>
      <c r="B471" s="1451" t="s">
        <v>740</v>
      </c>
      <c r="C471" s="1389">
        <v>1311200</v>
      </c>
      <c r="D471" s="830">
        <f t="shared" si="61"/>
        <v>1277500</v>
      </c>
      <c r="E471" s="1390">
        <f t="shared" si="63"/>
        <v>1275353</v>
      </c>
      <c r="F471" s="1366">
        <f t="shared" si="54"/>
        <v>99.8319373776908</v>
      </c>
      <c r="G471" s="1389">
        <f>1311200-11480-7750-14470</f>
        <v>1277500</v>
      </c>
      <c r="H471" s="1390">
        <v>1275353</v>
      </c>
      <c r="I471" s="1369">
        <f t="shared" si="55"/>
        <v>99.8319373776908</v>
      </c>
      <c r="J471" s="1445"/>
      <c r="K471" s="1390"/>
      <c r="L471" s="1446"/>
      <c r="M471" s="1390"/>
      <c r="N471" s="1390"/>
      <c r="O471" s="1447"/>
      <c r="P471" s="1389"/>
      <c r="Q471" s="1390"/>
      <c r="R471" s="1454"/>
    </row>
    <row r="472" spans="1:18" ht="23.25" customHeight="1">
      <c r="A472" s="1443">
        <v>4110</v>
      </c>
      <c r="B472" s="1451" t="s">
        <v>686</v>
      </c>
      <c r="C472" s="1389">
        <v>3046600</v>
      </c>
      <c r="D472" s="830">
        <f t="shared" si="61"/>
        <v>3042100</v>
      </c>
      <c r="E472" s="1390">
        <f>SUM(H472+K472+N472+Q472)</f>
        <v>1607902</v>
      </c>
      <c r="F472" s="1366">
        <f t="shared" si="54"/>
        <v>52.85500147924132</v>
      </c>
      <c r="G472" s="1389">
        <f>3046600-4500</f>
        <v>3042100</v>
      </c>
      <c r="H472" s="1390">
        <v>1607902</v>
      </c>
      <c r="I472" s="1369">
        <f t="shared" si="55"/>
        <v>52.85500147924132</v>
      </c>
      <c r="J472" s="1445"/>
      <c r="K472" s="1390"/>
      <c r="L472" s="1446"/>
      <c r="M472" s="1390"/>
      <c r="N472" s="1390"/>
      <c r="O472" s="1447"/>
      <c r="P472" s="1389"/>
      <c r="Q472" s="1390"/>
      <c r="R472" s="1454"/>
    </row>
    <row r="473" spans="1:18" ht="15" customHeight="1">
      <c r="A473" s="1443">
        <v>4120</v>
      </c>
      <c r="B473" s="1451" t="s">
        <v>781</v>
      </c>
      <c r="C473" s="1389">
        <v>417500</v>
      </c>
      <c r="D473" s="830">
        <f t="shared" si="61"/>
        <v>417100</v>
      </c>
      <c r="E473" s="1390">
        <f>SUM(H473+K473+N473+Q473)</f>
        <v>223235</v>
      </c>
      <c r="F473" s="1366">
        <f t="shared" si="54"/>
        <v>53.52073843203069</v>
      </c>
      <c r="G473" s="1389">
        <f>417500-400</f>
        <v>417100</v>
      </c>
      <c r="H473" s="1390">
        <v>223235</v>
      </c>
      <c r="I473" s="1369">
        <f t="shared" si="55"/>
        <v>53.52073843203069</v>
      </c>
      <c r="J473" s="1445"/>
      <c r="K473" s="1390"/>
      <c r="L473" s="1446"/>
      <c r="M473" s="1390"/>
      <c r="N473" s="1390"/>
      <c r="O473" s="1447"/>
      <c r="P473" s="1389"/>
      <c r="Q473" s="1390"/>
      <c r="R473" s="1454"/>
    </row>
    <row r="474" spans="1:18" ht="15" customHeight="1">
      <c r="A474" s="1443">
        <v>4140</v>
      </c>
      <c r="B474" s="1451" t="s">
        <v>743</v>
      </c>
      <c r="C474" s="1389">
        <v>88200</v>
      </c>
      <c r="D474" s="830">
        <f t="shared" si="61"/>
        <v>88200</v>
      </c>
      <c r="E474" s="1390">
        <f>SUM(H474+K474+N474+Q474)</f>
        <v>40837</v>
      </c>
      <c r="F474" s="1366">
        <f t="shared" si="54"/>
        <v>46.30045351473923</v>
      </c>
      <c r="G474" s="1389">
        <v>88200</v>
      </c>
      <c r="H474" s="1390">
        <v>40837</v>
      </c>
      <c r="I474" s="1369">
        <f t="shared" si="55"/>
        <v>46.30045351473923</v>
      </c>
      <c r="J474" s="1445"/>
      <c r="K474" s="1390"/>
      <c r="L474" s="1446"/>
      <c r="M474" s="1390"/>
      <c r="N474" s="1390"/>
      <c r="O474" s="1447"/>
      <c r="P474" s="1389"/>
      <c r="Q474" s="1390"/>
      <c r="R474" s="1454"/>
    </row>
    <row r="475" spans="1:18" ht="24">
      <c r="A475" s="1443">
        <v>4170</v>
      </c>
      <c r="B475" s="1451" t="s">
        <v>744</v>
      </c>
      <c r="C475" s="1389"/>
      <c r="D475" s="830">
        <f t="shared" si="61"/>
        <v>3450</v>
      </c>
      <c r="E475" s="1390">
        <f>SUM(H475+K475+N475+Q475)</f>
        <v>3450</v>
      </c>
      <c r="F475" s="1366">
        <f t="shared" si="54"/>
        <v>100</v>
      </c>
      <c r="G475" s="1389">
        <v>3450</v>
      </c>
      <c r="H475" s="1390">
        <v>3450</v>
      </c>
      <c r="I475" s="1369">
        <f t="shared" si="55"/>
        <v>100</v>
      </c>
      <c r="J475" s="1445"/>
      <c r="K475" s="1390"/>
      <c r="L475" s="1446"/>
      <c r="M475" s="1390"/>
      <c r="N475" s="1390"/>
      <c r="O475" s="1447"/>
      <c r="P475" s="1389"/>
      <c r="Q475" s="1390"/>
      <c r="R475" s="1454"/>
    </row>
    <row r="476" spans="1:18" ht="24" customHeight="1">
      <c r="A476" s="1443">
        <v>4210</v>
      </c>
      <c r="B476" s="1451" t="s">
        <v>690</v>
      </c>
      <c r="C476" s="1389">
        <v>512800</v>
      </c>
      <c r="D476" s="830">
        <f t="shared" si="61"/>
        <v>567240</v>
      </c>
      <c r="E476" s="1390">
        <f t="shared" si="63"/>
        <v>303139</v>
      </c>
      <c r="F476" s="1366">
        <f t="shared" si="54"/>
        <v>53.441047880967496</v>
      </c>
      <c r="G476" s="1389">
        <f>512800+27300+4000+5180-240+5800-8600+21000</f>
        <v>567240</v>
      </c>
      <c r="H476" s="1390">
        <v>303139</v>
      </c>
      <c r="I476" s="1369">
        <f t="shared" si="55"/>
        <v>53.441047880967496</v>
      </c>
      <c r="J476" s="1445"/>
      <c r="K476" s="1390"/>
      <c r="L476" s="1369"/>
      <c r="M476" s="1390"/>
      <c r="N476" s="1390"/>
      <c r="O476" s="1447"/>
      <c r="P476" s="1389"/>
      <c r="Q476" s="1390"/>
      <c r="R476" s="1454"/>
    </row>
    <row r="477" spans="1:18" ht="36" customHeight="1">
      <c r="A477" s="1443">
        <v>4240</v>
      </c>
      <c r="B477" s="1451" t="s">
        <v>868</v>
      </c>
      <c r="C477" s="1389">
        <v>70700</v>
      </c>
      <c r="D477" s="830">
        <f t="shared" si="61"/>
        <v>88480</v>
      </c>
      <c r="E477" s="1390">
        <f>SUM(H477+K477+N477+Q477)</f>
        <v>33422</v>
      </c>
      <c r="F477" s="1366">
        <f t="shared" si="54"/>
        <v>37.77350813743219</v>
      </c>
      <c r="G477" s="1389">
        <f>70700+5200-3000+5000+3580+7000</f>
        <v>88480</v>
      </c>
      <c r="H477" s="1390">
        <v>33422</v>
      </c>
      <c r="I477" s="1369">
        <f t="shared" si="55"/>
        <v>37.77350813743219</v>
      </c>
      <c r="J477" s="1445"/>
      <c r="K477" s="1390"/>
      <c r="L477" s="1446"/>
      <c r="M477" s="1390"/>
      <c r="N477" s="1390"/>
      <c r="O477" s="1447"/>
      <c r="P477" s="1389"/>
      <c r="Q477" s="1390"/>
      <c r="R477" s="1454"/>
    </row>
    <row r="478" spans="1:18" ht="15" customHeight="1">
      <c r="A478" s="1443">
        <v>4260</v>
      </c>
      <c r="B478" s="1571" t="s">
        <v>694</v>
      </c>
      <c r="C478" s="1389">
        <v>1567200</v>
      </c>
      <c r="D478" s="830">
        <f t="shared" si="61"/>
        <v>1567200</v>
      </c>
      <c r="E478" s="1390">
        <f t="shared" si="63"/>
        <v>1094267</v>
      </c>
      <c r="F478" s="1366">
        <f t="shared" si="54"/>
        <v>69.82306023481368</v>
      </c>
      <c r="G478" s="1389">
        <v>1567200</v>
      </c>
      <c r="H478" s="1390">
        <v>1094267</v>
      </c>
      <c r="I478" s="1369">
        <f t="shared" si="55"/>
        <v>69.82306023481368</v>
      </c>
      <c r="J478" s="1445"/>
      <c r="K478" s="1390"/>
      <c r="L478" s="1446"/>
      <c r="M478" s="1390"/>
      <c r="N478" s="1390"/>
      <c r="O478" s="1447"/>
      <c r="P478" s="1389"/>
      <c r="Q478" s="1390"/>
      <c r="R478" s="1454"/>
    </row>
    <row r="479" spans="1:18" ht="15" customHeight="1">
      <c r="A479" s="1443">
        <v>4270</v>
      </c>
      <c r="B479" s="1451" t="s">
        <v>696</v>
      </c>
      <c r="C479" s="1389">
        <v>64600</v>
      </c>
      <c r="D479" s="830">
        <f t="shared" si="61"/>
        <v>81410</v>
      </c>
      <c r="E479" s="1390">
        <f t="shared" si="63"/>
        <v>38901</v>
      </c>
      <c r="F479" s="1366">
        <f t="shared" si="54"/>
        <v>47.78405601277485</v>
      </c>
      <c r="G479" s="1389">
        <f>64600+15810+1000</f>
        <v>81410</v>
      </c>
      <c r="H479" s="1390">
        <v>38901</v>
      </c>
      <c r="I479" s="1369">
        <f t="shared" si="55"/>
        <v>47.78405601277485</v>
      </c>
      <c r="J479" s="1445"/>
      <c r="K479" s="1390"/>
      <c r="L479" s="1446"/>
      <c r="M479" s="1390"/>
      <c r="N479" s="1390"/>
      <c r="O479" s="1447"/>
      <c r="P479" s="1389"/>
      <c r="Q479" s="1390"/>
      <c r="R479" s="1454"/>
    </row>
    <row r="480" spans="1:18" ht="15" customHeight="1">
      <c r="A480" s="1443">
        <v>4280</v>
      </c>
      <c r="B480" s="1451" t="s">
        <v>745</v>
      </c>
      <c r="C480" s="1389">
        <v>22600</v>
      </c>
      <c r="D480" s="830">
        <f t="shared" si="61"/>
        <v>23900</v>
      </c>
      <c r="E480" s="1390">
        <f t="shared" si="63"/>
        <v>9903</v>
      </c>
      <c r="F480" s="1366">
        <f t="shared" si="54"/>
        <v>41.43514644351464</v>
      </c>
      <c r="G480" s="1389">
        <f>22600+1300</f>
        <v>23900</v>
      </c>
      <c r="H480" s="1390">
        <v>9903</v>
      </c>
      <c r="I480" s="1369">
        <f t="shared" si="55"/>
        <v>41.43514644351464</v>
      </c>
      <c r="J480" s="1445"/>
      <c r="K480" s="1390"/>
      <c r="L480" s="1446"/>
      <c r="M480" s="1390"/>
      <c r="N480" s="1390"/>
      <c r="O480" s="1447"/>
      <c r="P480" s="1389"/>
      <c r="Q480" s="1390"/>
      <c r="R480" s="1454"/>
    </row>
    <row r="481" spans="1:18" ht="14.25" customHeight="1">
      <c r="A481" s="1443">
        <v>4300</v>
      </c>
      <c r="B481" s="1451" t="s">
        <v>698</v>
      </c>
      <c r="C481" s="1389">
        <v>579100</v>
      </c>
      <c r="D481" s="830">
        <f t="shared" si="61"/>
        <v>589450</v>
      </c>
      <c r="E481" s="1390">
        <f t="shared" si="63"/>
        <v>298553</v>
      </c>
      <c r="F481" s="1366">
        <f t="shared" si="54"/>
        <v>50.64941894986852</v>
      </c>
      <c r="G481" s="1389">
        <f>579100+2500+8000+1730+800-7600-1800+6720</f>
        <v>589450</v>
      </c>
      <c r="H481" s="1390">
        <v>298553</v>
      </c>
      <c r="I481" s="1369">
        <f t="shared" si="55"/>
        <v>50.64941894986852</v>
      </c>
      <c r="J481" s="1445"/>
      <c r="K481" s="1390"/>
      <c r="L481" s="1446"/>
      <c r="M481" s="1390"/>
      <c r="N481" s="1390"/>
      <c r="O481" s="1447"/>
      <c r="P481" s="1389"/>
      <c r="Q481" s="1390"/>
      <c r="R481" s="1454"/>
    </row>
    <row r="482" spans="1:18" ht="24">
      <c r="A482" s="1443">
        <v>4350</v>
      </c>
      <c r="B482" s="1451" t="s">
        <v>869</v>
      </c>
      <c r="C482" s="1389">
        <v>32700</v>
      </c>
      <c r="D482" s="830">
        <f t="shared" si="61"/>
        <v>31140</v>
      </c>
      <c r="E482" s="1390">
        <f t="shared" si="63"/>
        <v>13537</v>
      </c>
      <c r="F482" s="1366">
        <f t="shared" si="54"/>
        <v>43.47141939627488</v>
      </c>
      <c r="G482" s="1389">
        <f>32700+1000-2560</f>
        <v>31140</v>
      </c>
      <c r="H482" s="1390">
        <v>13537</v>
      </c>
      <c r="I482" s="1369">
        <f t="shared" si="55"/>
        <v>43.47141939627488</v>
      </c>
      <c r="J482" s="1445"/>
      <c r="K482" s="1390"/>
      <c r="L482" s="1446"/>
      <c r="M482" s="1390"/>
      <c r="N482" s="1390"/>
      <c r="O482" s="1447"/>
      <c r="P482" s="1389"/>
      <c r="Q482" s="1390"/>
      <c r="R482" s="1454"/>
    </row>
    <row r="483" spans="1:18" ht="13.5" customHeight="1">
      <c r="A483" s="1443">
        <v>4410</v>
      </c>
      <c r="B483" s="1451" t="s">
        <v>672</v>
      </c>
      <c r="C483" s="1389">
        <v>29200</v>
      </c>
      <c r="D483" s="830">
        <f t="shared" si="61"/>
        <v>29200</v>
      </c>
      <c r="E483" s="1390">
        <f>SUM(H483+K483+N483+Q483)</f>
        <v>12051</v>
      </c>
      <c r="F483" s="1366">
        <f t="shared" si="54"/>
        <v>41.27054794520548</v>
      </c>
      <c r="G483" s="1389">
        <v>29200</v>
      </c>
      <c r="H483" s="1390">
        <v>12051</v>
      </c>
      <c r="I483" s="1369">
        <f t="shared" si="55"/>
        <v>41.27054794520548</v>
      </c>
      <c r="J483" s="1445"/>
      <c r="K483" s="1390"/>
      <c r="L483" s="1446"/>
      <c r="M483" s="1390"/>
      <c r="N483" s="1390"/>
      <c r="O483" s="1447"/>
      <c r="P483" s="1389"/>
      <c r="Q483" s="1390"/>
      <c r="R483" s="1454"/>
    </row>
    <row r="484" spans="1:18" ht="23.25" customHeight="1">
      <c r="A484" s="1443">
        <v>4420</v>
      </c>
      <c r="B484" s="1451" t="s">
        <v>785</v>
      </c>
      <c r="C484" s="1389">
        <v>2600</v>
      </c>
      <c r="D484" s="830">
        <f t="shared" si="61"/>
        <v>2600</v>
      </c>
      <c r="E484" s="830">
        <f t="shared" si="61"/>
        <v>0</v>
      </c>
      <c r="F484" s="1366">
        <f>E484/D484*100</f>
        <v>0</v>
      </c>
      <c r="G484" s="1389">
        <v>2600</v>
      </c>
      <c r="H484" s="1390"/>
      <c r="I484" s="1369">
        <f t="shared" si="55"/>
        <v>0</v>
      </c>
      <c r="J484" s="1445"/>
      <c r="K484" s="1390"/>
      <c r="L484" s="1446"/>
      <c r="M484" s="1390"/>
      <c r="N484" s="1390"/>
      <c r="O484" s="1447"/>
      <c r="P484" s="1389"/>
      <c r="Q484" s="1390"/>
      <c r="R484" s="1454"/>
    </row>
    <row r="485" spans="1:18" ht="12.75" customHeight="1">
      <c r="A485" s="1443">
        <v>4440</v>
      </c>
      <c r="B485" s="1451" t="s">
        <v>702</v>
      </c>
      <c r="C485" s="1389">
        <v>975800</v>
      </c>
      <c r="D485" s="830">
        <f>G485+J485+P485+M485</f>
        <v>974950</v>
      </c>
      <c r="E485" s="1390">
        <f>SUM(H485+K485+N485+Q485)</f>
        <v>761675</v>
      </c>
      <c r="F485" s="1366">
        <f>E485/D485*100</f>
        <v>78.12451920611313</v>
      </c>
      <c r="G485" s="1389">
        <f>975800-3000+4750-2600</f>
        <v>974950</v>
      </c>
      <c r="H485" s="1390">
        <v>761675</v>
      </c>
      <c r="I485" s="1369">
        <f>H485/G485*100</f>
        <v>78.12451920611313</v>
      </c>
      <c r="J485" s="1445"/>
      <c r="K485" s="1390"/>
      <c r="L485" s="1446"/>
      <c r="M485" s="1390"/>
      <c r="N485" s="1390"/>
      <c r="O485" s="1447"/>
      <c r="P485" s="1389"/>
      <c r="Q485" s="1390"/>
      <c r="R485" s="1454"/>
    </row>
    <row r="486" spans="1:18" ht="24">
      <c r="A486" s="1443">
        <v>6050</v>
      </c>
      <c r="B486" s="1451" t="s">
        <v>767</v>
      </c>
      <c r="C486" s="1389">
        <v>69000</v>
      </c>
      <c r="D486" s="830">
        <f aca="true" t="shared" si="64" ref="D486:E505">G486+J486+P486+M486</f>
        <v>86690</v>
      </c>
      <c r="E486" s="1390">
        <f aca="true" t="shared" si="65" ref="E486:E491">SUM(H486+K486+N486+Q486)</f>
        <v>27017</v>
      </c>
      <c r="F486" s="1366">
        <f t="shared" si="54"/>
        <v>31.16507094243857</v>
      </c>
      <c r="G486" s="1389">
        <f>69000+1690+16000</f>
        <v>86690</v>
      </c>
      <c r="H486" s="1390">
        <v>27017</v>
      </c>
      <c r="I486" s="1369">
        <f t="shared" si="55"/>
        <v>31.16507094243857</v>
      </c>
      <c r="J486" s="1445"/>
      <c r="K486" s="1390"/>
      <c r="L486" s="1446"/>
      <c r="M486" s="1390"/>
      <c r="N486" s="1390"/>
      <c r="O486" s="1447"/>
      <c r="P486" s="1389"/>
      <c r="Q486" s="1390"/>
      <c r="R486" s="1454"/>
    </row>
    <row r="487" spans="1:18" ht="36" hidden="1">
      <c r="A487" s="1443">
        <v>6060</v>
      </c>
      <c r="B487" s="1451" t="s">
        <v>841</v>
      </c>
      <c r="C487" s="1389"/>
      <c r="D487" s="830">
        <f t="shared" si="64"/>
        <v>0</v>
      </c>
      <c r="E487" s="1390">
        <f t="shared" si="65"/>
        <v>0</v>
      </c>
      <c r="F487" s="1366" t="e">
        <f t="shared" si="54"/>
        <v>#DIV/0!</v>
      </c>
      <c r="G487" s="1389">
        <f>3340-3340</f>
        <v>0</v>
      </c>
      <c r="H487" s="1390"/>
      <c r="I487" s="1369" t="e">
        <f t="shared" si="55"/>
        <v>#DIV/0!</v>
      </c>
      <c r="J487" s="1445"/>
      <c r="K487" s="1390"/>
      <c r="L487" s="1446"/>
      <c r="M487" s="1390"/>
      <c r="N487" s="1390"/>
      <c r="O487" s="1447"/>
      <c r="P487" s="1389"/>
      <c r="Q487" s="1390"/>
      <c r="R487" s="1454"/>
    </row>
    <row r="488" spans="1:18" ht="36" hidden="1">
      <c r="A488" s="1443">
        <v>4610</v>
      </c>
      <c r="B488" s="1451" t="s">
        <v>766</v>
      </c>
      <c r="C488" s="1389"/>
      <c r="D488" s="830">
        <f t="shared" si="64"/>
        <v>0</v>
      </c>
      <c r="E488" s="1390">
        <f t="shared" si="65"/>
        <v>0</v>
      </c>
      <c r="F488" s="1366" t="e">
        <f t="shared" si="54"/>
        <v>#DIV/0!</v>
      </c>
      <c r="G488" s="1389"/>
      <c r="H488" s="1390"/>
      <c r="I488" s="1369" t="e">
        <f t="shared" si="55"/>
        <v>#DIV/0!</v>
      </c>
      <c r="J488" s="1445"/>
      <c r="K488" s="1390"/>
      <c r="L488" s="1446"/>
      <c r="M488" s="1390"/>
      <c r="N488" s="1390"/>
      <c r="O488" s="1447"/>
      <c r="P488" s="1389"/>
      <c r="Q488" s="1390"/>
      <c r="R488" s="1454"/>
    </row>
    <row r="489" spans="1:18" s="1435" customFormat="1" ht="24" hidden="1">
      <c r="A489" s="1651">
        <v>6050</v>
      </c>
      <c r="B489" s="1493" t="s">
        <v>767</v>
      </c>
      <c r="C489" s="1494"/>
      <c r="D489" s="862">
        <f t="shared" si="64"/>
        <v>0</v>
      </c>
      <c r="E489" s="1487">
        <f t="shared" si="65"/>
        <v>0</v>
      </c>
      <c r="F489" s="1419" t="e">
        <f t="shared" si="54"/>
        <v>#DIV/0!</v>
      </c>
      <c r="G489" s="1494"/>
      <c r="H489" s="862"/>
      <c r="I489" s="1439" t="e">
        <f t="shared" si="55"/>
        <v>#DIV/0!</v>
      </c>
      <c r="J489" s="1495"/>
      <c r="K489" s="1487"/>
      <c r="L489" s="1551"/>
      <c r="M489" s="1487"/>
      <c r="N489" s="1487"/>
      <c r="O489" s="1498"/>
      <c r="P489" s="1494"/>
      <c r="Q489" s="1487"/>
      <c r="R489" s="1539"/>
    </row>
    <row r="490" spans="1:18" s="1654" customFormat="1" ht="20.25" customHeight="1" hidden="1">
      <c r="A490" s="1652"/>
      <c r="B490" s="1653" t="s">
        <v>870</v>
      </c>
      <c r="C490" s="1501">
        <v>600000</v>
      </c>
      <c r="D490" s="1502">
        <f t="shared" si="64"/>
        <v>0</v>
      </c>
      <c r="E490" s="1502">
        <f t="shared" si="65"/>
        <v>0</v>
      </c>
      <c r="F490" s="1366" t="e">
        <f t="shared" si="54"/>
        <v>#DIV/0!</v>
      </c>
      <c r="G490" s="1501"/>
      <c r="H490" s="1502"/>
      <c r="I490" s="1369" t="e">
        <f t="shared" si="55"/>
        <v>#DIV/0!</v>
      </c>
      <c r="J490" s="1504"/>
      <c r="K490" s="1502"/>
      <c r="L490" s="1503"/>
      <c r="M490" s="1502"/>
      <c r="N490" s="1502"/>
      <c r="O490" s="1506"/>
      <c r="P490" s="1501"/>
      <c r="Q490" s="1502"/>
      <c r="R490" s="1507"/>
    </row>
    <row r="491" spans="1:18" s="1654" customFormat="1" ht="14.25" customHeight="1" hidden="1">
      <c r="A491" s="1655"/>
      <c r="B491" s="1656" t="s">
        <v>871</v>
      </c>
      <c r="C491" s="1657">
        <v>300000</v>
      </c>
      <c r="D491" s="1502">
        <f t="shared" si="64"/>
        <v>0</v>
      </c>
      <c r="E491" s="1502">
        <f t="shared" si="65"/>
        <v>0</v>
      </c>
      <c r="F491" s="1419"/>
      <c r="G491" s="1657"/>
      <c r="H491" s="1658"/>
      <c r="I491" s="1369" t="e">
        <f t="shared" si="55"/>
        <v>#DIV/0!</v>
      </c>
      <c r="J491" s="1659"/>
      <c r="K491" s="1658"/>
      <c r="L491" s="1660"/>
      <c r="M491" s="1658"/>
      <c r="N491" s="1658"/>
      <c r="O491" s="1661"/>
      <c r="P491" s="1657"/>
      <c r="Q491" s="1658"/>
      <c r="R491" s="1662"/>
    </row>
    <row r="492" spans="1:18" s="1435" customFormat="1" ht="24">
      <c r="A492" s="1436">
        <v>80102</v>
      </c>
      <c r="B492" s="1529" t="s">
        <v>872</v>
      </c>
      <c r="C492" s="1438">
        <f>SUM(C493:C509)</f>
        <v>2053900</v>
      </c>
      <c r="D492" s="845">
        <f t="shared" si="64"/>
        <v>2047610</v>
      </c>
      <c r="E492" s="1380">
        <f t="shared" si="64"/>
        <v>1140768</v>
      </c>
      <c r="F492" s="1381">
        <f t="shared" si="54"/>
        <v>55.71217175145657</v>
      </c>
      <c r="G492" s="1474"/>
      <c r="H492" s="1477"/>
      <c r="I492" s="1575"/>
      <c r="J492" s="1476"/>
      <c r="K492" s="1477"/>
      <c r="L492" s="1575"/>
      <c r="M492" s="1380">
        <f>SUM(M493:M509)</f>
        <v>2047610</v>
      </c>
      <c r="N492" s="1380">
        <f>SUM(N493:N509)</f>
        <v>1140768</v>
      </c>
      <c r="O492" s="1388">
        <f aca="true" t="shared" si="66" ref="O492:O509">N492/M492*100</f>
        <v>55.71217175145657</v>
      </c>
      <c r="P492" s="1438"/>
      <c r="Q492" s="1380"/>
      <c r="R492" s="1478"/>
    </row>
    <row r="493" spans="1:18" s="1435" customFormat="1" ht="36">
      <c r="A493" s="1443">
        <v>3020</v>
      </c>
      <c r="B493" s="1451" t="s">
        <v>1266</v>
      </c>
      <c r="C493" s="1389">
        <v>7300</v>
      </c>
      <c r="D493" s="830">
        <f t="shared" si="64"/>
        <v>7300</v>
      </c>
      <c r="E493" s="1390">
        <f aca="true" t="shared" si="67" ref="E493:E509">SUM(H493+K493+N493+Q493)</f>
        <v>1694</v>
      </c>
      <c r="F493" s="1366">
        <f t="shared" si="54"/>
        <v>23.205479452054796</v>
      </c>
      <c r="G493" s="1389"/>
      <c r="H493" s="1390"/>
      <c r="I493" s="1446"/>
      <c r="J493" s="1445"/>
      <c r="K493" s="1390"/>
      <c r="L493" s="1446"/>
      <c r="M493" s="1389">
        <v>7300</v>
      </c>
      <c r="N493" s="1407">
        <v>1694</v>
      </c>
      <c r="O493" s="1395">
        <f t="shared" si="66"/>
        <v>23.205479452054796</v>
      </c>
      <c r="P493" s="1389"/>
      <c r="Q493" s="1390"/>
      <c r="R493" s="1454"/>
    </row>
    <row r="494" spans="1:18" s="1435" customFormat="1" ht="24">
      <c r="A494" s="1443">
        <v>4010</v>
      </c>
      <c r="B494" s="1451" t="s">
        <v>680</v>
      </c>
      <c r="C494" s="1389">
        <v>1390000</v>
      </c>
      <c r="D494" s="830">
        <f t="shared" si="64"/>
        <v>1386410</v>
      </c>
      <c r="E494" s="1390">
        <f t="shared" si="67"/>
        <v>733823</v>
      </c>
      <c r="F494" s="1366">
        <f t="shared" si="54"/>
        <v>52.92972497313204</v>
      </c>
      <c r="G494" s="1389"/>
      <c r="H494" s="1390"/>
      <c r="I494" s="1446"/>
      <c r="J494" s="1445"/>
      <c r="K494" s="1390"/>
      <c r="L494" s="1446"/>
      <c r="M494" s="1389">
        <f>1390000-3590</f>
        <v>1386410</v>
      </c>
      <c r="N494" s="1390">
        <v>733823</v>
      </c>
      <c r="O494" s="1395">
        <f t="shared" si="66"/>
        <v>52.92972497313204</v>
      </c>
      <c r="P494" s="1389"/>
      <c r="Q494" s="1390"/>
      <c r="R494" s="1454"/>
    </row>
    <row r="495" spans="1:18" s="1435" customFormat="1" ht="24">
      <c r="A495" s="1443">
        <v>4040</v>
      </c>
      <c r="B495" s="1451" t="s">
        <v>684</v>
      </c>
      <c r="C495" s="1389">
        <v>110000</v>
      </c>
      <c r="D495" s="830">
        <f t="shared" si="64"/>
        <v>108550</v>
      </c>
      <c r="E495" s="1390">
        <f t="shared" si="67"/>
        <v>108513</v>
      </c>
      <c r="F495" s="1366">
        <f aca="true" t="shared" si="68" ref="F495:F533">E495/D495*100</f>
        <v>99.96591432519575</v>
      </c>
      <c r="G495" s="1389"/>
      <c r="H495" s="1390"/>
      <c r="I495" s="1446"/>
      <c r="J495" s="1445"/>
      <c r="K495" s="1390"/>
      <c r="L495" s="1446"/>
      <c r="M495" s="1389">
        <f>110000-1450</f>
        <v>108550</v>
      </c>
      <c r="N495" s="1390">
        <v>108513</v>
      </c>
      <c r="O495" s="1584">
        <f t="shared" si="66"/>
        <v>99.96591432519575</v>
      </c>
      <c r="P495" s="1389"/>
      <c r="Q495" s="1390"/>
      <c r="R495" s="1454"/>
    </row>
    <row r="496" spans="1:18" s="1435" customFormat="1" ht="24">
      <c r="A496" s="1443">
        <v>4110</v>
      </c>
      <c r="B496" s="1451" t="s">
        <v>686</v>
      </c>
      <c r="C496" s="1389">
        <v>265000</v>
      </c>
      <c r="D496" s="830">
        <f t="shared" si="64"/>
        <v>263300</v>
      </c>
      <c r="E496" s="1390">
        <f t="shared" si="67"/>
        <v>135244</v>
      </c>
      <c r="F496" s="1366">
        <f t="shared" si="68"/>
        <v>51.36498290922902</v>
      </c>
      <c r="G496" s="1389"/>
      <c r="H496" s="1390"/>
      <c r="I496" s="1446"/>
      <c r="J496" s="1445"/>
      <c r="K496" s="1390"/>
      <c r="L496" s="1446"/>
      <c r="M496" s="1389">
        <f>265000-1700</f>
        <v>263300</v>
      </c>
      <c r="N496" s="1390">
        <v>135244</v>
      </c>
      <c r="O496" s="1395">
        <f t="shared" si="66"/>
        <v>51.36498290922902</v>
      </c>
      <c r="P496" s="1389"/>
      <c r="Q496" s="1390"/>
      <c r="R496" s="1454"/>
    </row>
    <row r="497" spans="1:18" s="1435" customFormat="1" ht="15" customHeight="1">
      <c r="A497" s="1443">
        <v>4120</v>
      </c>
      <c r="B497" s="1451" t="s">
        <v>781</v>
      </c>
      <c r="C497" s="1389">
        <v>35000</v>
      </c>
      <c r="D497" s="830">
        <f t="shared" si="64"/>
        <v>34750</v>
      </c>
      <c r="E497" s="1390">
        <f t="shared" si="67"/>
        <v>18279</v>
      </c>
      <c r="F497" s="1366">
        <f t="shared" si="68"/>
        <v>52.601438848920864</v>
      </c>
      <c r="G497" s="1389"/>
      <c r="H497" s="1390"/>
      <c r="I497" s="1446"/>
      <c r="J497" s="1445"/>
      <c r="K497" s="1390"/>
      <c r="L497" s="1446"/>
      <c r="M497" s="1389">
        <f>35000-250</f>
        <v>34750</v>
      </c>
      <c r="N497" s="1390">
        <v>18279</v>
      </c>
      <c r="O497" s="1395">
        <f t="shared" si="66"/>
        <v>52.601438848920864</v>
      </c>
      <c r="P497" s="1389"/>
      <c r="Q497" s="1390"/>
      <c r="R497" s="1454"/>
    </row>
    <row r="498" spans="1:18" s="1435" customFormat="1" ht="24">
      <c r="A498" s="1443">
        <v>4130</v>
      </c>
      <c r="B498" s="1451" t="s">
        <v>873</v>
      </c>
      <c r="C498" s="1389">
        <v>900</v>
      </c>
      <c r="D498" s="830">
        <f t="shared" si="64"/>
        <v>900</v>
      </c>
      <c r="E498" s="1390">
        <f t="shared" si="67"/>
        <v>439</v>
      </c>
      <c r="F498" s="1366">
        <f t="shared" si="68"/>
        <v>48.77777777777778</v>
      </c>
      <c r="G498" s="1389"/>
      <c r="H498" s="1390"/>
      <c r="I498" s="1446"/>
      <c r="J498" s="1445"/>
      <c r="K498" s="1390"/>
      <c r="L498" s="1446"/>
      <c r="M498" s="1389">
        <v>900</v>
      </c>
      <c r="N498" s="1390">
        <v>439</v>
      </c>
      <c r="O498" s="1395">
        <f t="shared" si="66"/>
        <v>48.77777777777778</v>
      </c>
      <c r="P498" s="1389"/>
      <c r="Q498" s="1390"/>
      <c r="R498" s="1454"/>
    </row>
    <row r="499" spans="1:18" s="1435" customFormat="1" ht="24">
      <c r="A499" s="1443">
        <v>4210</v>
      </c>
      <c r="B499" s="1451" t="s">
        <v>690</v>
      </c>
      <c r="C499" s="1389">
        <v>24000</v>
      </c>
      <c r="D499" s="830">
        <f t="shared" si="64"/>
        <v>24000</v>
      </c>
      <c r="E499" s="1390">
        <f t="shared" si="67"/>
        <v>14586</v>
      </c>
      <c r="F499" s="1366">
        <f t="shared" si="68"/>
        <v>60.775</v>
      </c>
      <c r="G499" s="1389"/>
      <c r="H499" s="1390"/>
      <c r="I499" s="1446"/>
      <c r="J499" s="1445"/>
      <c r="K499" s="1390"/>
      <c r="L499" s="1446"/>
      <c r="M499" s="1389">
        <v>24000</v>
      </c>
      <c r="N499" s="1390">
        <v>14586</v>
      </c>
      <c r="O499" s="1395">
        <f t="shared" si="66"/>
        <v>60.775</v>
      </c>
      <c r="P499" s="1389"/>
      <c r="Q499" s="1390"/>
      <c r="R499" s="1454"/>
    </row>
    <row r="500" spans="1:18" s="1435" customFormat="1" ht="36">
      <c r="A500" s="1443">
        <v>4240</v>
      </c>
      <c r="B500" s="1451" t="s">
        <v>758</v>
      </c>
      <c r="C500" s="1389">
        <v>5500</v>
      </c>
      <c r="D500" s="830">
        <f t="shared" si="64"/>
        <v>5500</v>
      </c>
      <c r="E500" s="1390">
        <f t="shared" si="67"/>
        <v>970</v>
      </c>
      <c r="F500" s="1366">
        <f t="shared" si="68"/>
        <v>17.636363636363637</v>
      </c>
      <c r="G500" s="1389"/>
      <c r="H500" s="1390"/>
      <c r="I500" s="1446"/>
      <c r="J500" s="1445"/>
      <c r="K500" s="1390"/>
      <c r="L500" s="1446"/>
      <c r="M500" s="1389">
        <v>5500</v>
      </c>
      <c r="N500" s="1390">
        <v>970</v>
      </c>
      <c r="O500" s="1395">
        <f t="shared" si="66"/>
        <v>17.636363636363637</v>
      </c>
      <c r="P500" s="1389"/>
      <c r="Q500" s="1390"/>
      <c r="R500" s="1454"/>
    </row>
    <row r="501" spans="1:18" s="1435" customFormat="1" ht="13.5" customHeight="1">
      <c r="A501" s="1443">
        <v>4260</v>
      </c>
      <c r="B501" s="1451" t="s">
        <v>694</v>
      </c>
      <c r="C501" s="1389">
        <v>82700</v>
      </c>
      <c r="D501" s="830">
        <f t="shared" si="64"/>
        <v>82700</v>
      </c>
      <c r="E501" s="1390">
        <f t="shared" si="67"/>
        <v>47280</v>
      </c>
      <c r="F501" s="1366">
        <f t="shared" si="68"/>
        <v>57.17049576783555</v>
      </c>
      <c r="G501" s="1389"/>
      <c r="H501" s="1390"/>
      <c r="I501" s="1446"/>
      <c r="J501" s="1445"/>
      <c r="K501" s="1390"/>
      <c r="L501" s="1446"/>
      <c r="M501" s="1389">
        <v>82700</v>
      </c>
      <c r="N501" s="1390">
        <v>47280</v>
      </c>
      <c r="O501" s="1395">
        <f t="shared" si="66"/>
        <v>57.17049576783555</v>
      </c>
      <c r="P501" s="1389"/>
      <c r="Q501" s="1390"/>
      <c r="R501" s="1454"/>
    </row>
    <row r="502" spans="1:18" s="1435" customFormat="1" ht="13.5" customHeight="1">
      <c r="A502" s="1443">
        <v>4270</v>
      </c>
      <c r="B502" s="1451" t="s">
        <v>696</v>
      </c>
      <c r="C502" s="1389">
        <v>8000</v>
      </c>
      <c r="D502" s="830">
        <f t="shared" si="64"/>
        <v>8000</v>
      </c>
      <c r="E502" s="1390">
        <f t="shared" si="67"/>
        <v>3552</v>
      </c>
      <c r="F502" s="1366">
        <f t="shared" si="68"/>
        <v>44.4</v>
      </c>
      <c r="G502" s="1389"/>
      <c r="H502" s="1390"/>
      <c r="I502" s="1446"/>
      <c r="J502" s="1445"/>
      <c r="K502" s="1390"/>
      <c r="L502" s="1446"/>
      <c r="M502" s="1389">
        <v>8000</v>
      </c>
      <c r="N502" s="1390">
        <v>3552</v>
      </c>
      <c r="O502" s="1584">
        <f t="shared" si="66"/>
        <v>44.4</v>
      </c>
      <c r="P502" s="1389"/>
      <c r="Q502" s="1390"/>
      <c r="R502" s="1454"/>
    </row>
    <row r="503" spans="1:18" s="1435" customFormat="1" ht="13.5" customHeight="1">
      <c r="A503" s="1443">
        <v>4280</v>
      </c>
      <c r="B503" s="1451" t="s">
        <v>745</v>
      </c>
      <c r="C503" s="1389">
        <v>3000</v>
      </c>
      <c r="D503" s="830">
        <f t="shared" si="64"/>
        <v>3000</v>
      </c>
      <c r="E503" s="1390">
        <f t="shared" si="67"/>
        <v>162</v>
      </c>
      <c r="F503" s="1366">
        <f t="shared" si="68"/>
        <v>5.4</v>
      </c>
      <c r="G503" s="1389"/>
      <c r="H503" s="1390"/>
      <c r="I503" s="1446"/>
      <c r="J503" s="1445"/>
      <c r="K503" s="1390"/>
      <c r="L503" s="1446"/>
      <c r="M503" s="1389">
        <v>3000</v>
      </c>
      <c r="N503" s="1390">
        <v>162</v>
      </c>
      <c r="O503" s="1584">
        <f t="shared" si="66"/>
        <v>5.4</v>
      </c>
      <c r="P503" s="1389"/>
      <c r="Q503" s="1390"/>
      <c r="R503" s="1454"/>
    </row>
    <row r="504" spans="1:18" s="1435" customFormat="1" ht="16.5" customHeight="1">
      <c r="A504" s="1443">
        <v>4300</v>
      </c>
      <c r="B504" s="1451" t="s">
        <v>698</v>
      </c>
      <c r="C504" s="1389">
        <v>54900</v>
      </c>
      <c r="D504" s="830">
        <f t="shared" si="64"/>
        <v>54900</v>
      </c>
      <c r="E504" s="1390">
        <f t="shared" si="67"/>
        <v>25606</v>
      </c>
      <c r="F504" s="1366">
        <f t="shared" si="68"/>
        <v>46.64116575591986</v>
      </c>
      <c r="G504" s="1389"/>
      <c r="H504" s="1390"/>
      <c r="I504" s="1446"/>
      <c r="J504" s="1445"/>
      <c r="K504" s="1390"/>
      <c r="L504" s="1446"/>
      <c r="M504" s="1389">
        <v>54900</v>
      </c>
      <c r="N504" s="1390">
        <v>25606</v>
      </c>
      <c r="O504" s="1395">
        <f t="shared" si="66"/>
        <v>46.64116575591986</v>
      </c>
      <c r="P504" s="1389"/>
      <c r="Q504" s="1390"/>
      <c r="R504" s="1454"/>
    </row>
    <row r="505" spans="1:18" s="1435" customFormat="1" ht="24">
      <c r="A505" s="1443">
        <v>4350</v>
      </c>
      <c r="B505" s="1451" t="s">
        <v>869</v>
      </c>
      <c r="C505" s="1389">
        <v>1200</v>
      </c>
      <c r="D505" s="830">
        <f t="shared" si="64"/>
        <v>1200</v>
      </c>
      <c r="E505" s="1390">
        <f t="shared" si="67"/>
        <v>504</v>
      </c>
      <c r="F505" s="1366">
        <f t="shared" si="68"/>
        <v>42</v>
      </c>
      <c r="G505" s="1389"/>
      <c r="H505" s="1390"/>
      <c r="I505" s="1446"/>
      <c r="J505" s="1445"/>
      <c r="K505" s="1390"/>
      <c r="L505" s="1446"/>
      <c r="M505" s="1389">
        <v>1200</v>
      </c>
      <c r="N505" s="1390">
        <v>504</v>
      </c>
      <c r="O505" s="1395">
        <f t="shared" si="66"/>
        <v>42</v>
      </c>
      <c r="P505" s="1389"/>
      <c r="Q505" s="1390"/>
      <c r="R505" s="1454"/>
    </row>
    <row r="506" spans="1:18" s="1435" customFormat="1" ht="18" customHeight="1">
      <c r="A506" s="1443">
        <v>4410</v>
      </c>
      <c r="B506" s="1451" t="s">
        <v>672</v>
      </c>
      <c r="C506" s="1389">
        <v>1400</v>
      </c>
      <c r="D506" s="830">
        <f aca="true" t="shared" si="69" ref="D506:D570">G506+J506+P506+M506</f>
        <v>1400</v>
      </c>
      <c r="E506" s="1390">
        <f t="shared" si="67"/>
        <v>466</v>
      </c>
      <c r="F506" s="1366">
        <f t="shared" si="68"/>
        <v>33.285714285714285</v>
      </c>
      <c r="G506" s="1389"/>
      <c r="H506" s="1390"/>
      <c r="I506" s="1446"/>
      <c r="J506" s="1445"/>
      <c r="K506" s="1390"/>
      <c r="L506" s="1446"/>
      <c r="M506" s="1389">
        <v>1400</v>
      </c>
      <c r="N506" s="1390">
        <v>466</v>
      </c>
      <c r="O506" s="1395">
        <f t="shared" si="66"/>
        <v>33.285714285714285</v>
      </c>
      <c r="P506" s="1389"/>
      <c r="Q506" s="1390"/>
      <c r="R506" s="1454"/>
    </row>
    <row r="507" spans="1:18" s="1435" customFormat="1" ht="24" hidden="1">
      <c r="A507" s="1443">
        <v>6050</v>
      </c>
      <c r="B507" s="1451" t="s">
        <v>767</v>
      </c>
      <c r="C507" s="1389"/>
      <c r="D507" s="830">
        <f t="shared" si="69"/>
        <v>0</v>
      </c>
      <c r="E507" s="1390">
        <f t="shared" si="67"/>
        <v>0</v>
      </c>
      <c r="F507" s="1366" t="e">
        <f t="shared" si="68"/>
        <v>#DIV/0!</v>
      </c>
      <c r="G507" s="1389"/>
      <c r="H507" s="1390"/>
      <c r="I507" s="1446"/>
      <c r="J507" s="1445"/>
      <c r="K507" s="1390"/>
      <c r="L507" s="1446"/>
      <c r="M507" s="1389"/>
      <c r="N507" s="1390"/>
      <c r="O507" s="1395" t="e">
        <f t="shared" si="66"/>
        <v>#DIV/0!</v>
      </c>
      <c r="P507" s="1389"/>
      <c r="Q507" s="1390"/>
      <c r="R507" s="1454"/>
    </row>
    <row r="508" spans="1:18" s="1435" customFormat="1" ht="36" hidden="1">
      <c r="A508" s="1443">
        <v>6060</v>
      </c>
      <c r="B508" s="1451" t="s">
        <v>841</v>
      </c>
      <c r="C508" s="1389"/>
      <c r="D508" s="830">
        <f t="shared" si="69"/>
        <v>0</v>
      </c>
      <c r="E508" s="1390">
        <f t="shared" si="67"/>
        <v>0</v>
      </c>
      <c r="F508" s="1366"/>
      <c r="G508" s="1389"/>
      <c r="H508" s="1390"/>
      <c r="I508" s="1446"/>
      <c r="J508" s="1445"/>
      <c r="K508" s="1390"/>
      <c r="L508" s="1446"/>
      <c r="M508" s="1389"/>
      <c r="N508" s="1390"/>
      <c r="O508" s="1369" t="e">
        <f t="shared" si="66"/>
        <v>#DIV/0!</v>
      </c>
      <c r="P508" s="1389"/>
      <c r="Q508" s="1390"/>
      <c r="R508" s="1454"/>
    </row>
    <row r="509" spans="1:18" s="1435" customFormat="1" ht="12.75" customHeight="1">
      <c r="A509" s="1443">
        <v>4440</v>
      </c>
      <c r="B509" s="1451" t="s">
        <v>702</v>
      </c>
      <c r="C509" s="1389">
        <v>65000</v>
      </c>
      <c r="D509" s="862">
        <f t="shared" si="69"/>
        <v>65700</v>
      </c>
      <c r="E509" s="1487">
        <f t="shared" si="67"/>
        <v>49650</v>
      </c>
      <c r="F509" s="1419">
        <f t="shared" si="68"/>
        <v>75.57077625570776</v>
      </c>
      <c r="G509" s="1389"/>
      <c r="H509" s="1390"/>
      <c r="I509" s="1446"/>
      <c r="J509" s="1445"/>
      <c r="K509" s="1390"/>
      <c r="L509" s="1446"/>
      <c r="M509" s="1389">
        <f>65000+700</f>
        <v>65700</v>
      </c>
      <c r="N509" s="1390">
        <v>49650</v>
      </c>
      <c r="O509" s="1584">
        <f t="shared" si="66"/>
        <v>75.57077625570776</v>
      </c>
      <c r="P509" s="1389"/>
      <c r="Q509" s="1390"/>
      <c r="R509" s="1454"/>
    </row>
    <row r="510" spans="1:18" s="1435" customFormat="1" ht="24">
      <c r="A510" s="1479">
        <v>80103</v>
      </c>
      <c r="B510" s="1576" t="s">
        <v>302</v>
      </c>
      <c r="C510" s="823">
        <f>SUM(C511:C518)</f>
        <v>296900</v>
      </c>
      <c r="D510" s="821">
        <f t="shared" si="69"/>
        <v>300056</v>
      </c>
      <c r="E510" s="821">
        <f>SUM(H510+K510+N510+Q510)</f>
        <v>151081</v>
      </c>
      <c r="F510" s="1419">
        <f>E510/D510*100</f>
        <v>50.35093449222812</v>
      </c>
      <c r="G510" s="823">
        <f>SUM(G511:G518)</f>
        <v>300056</v>
      </c>
      <c r="H510" s="845">
        <f>SUM(H511:H518)</f>
        <v>151081</v>
      </c>
      <c r="I510" s="1441">
        <f>H510/G510*100</f>
        <v>50.35093449222812</v>
      </c>
      <c r="J510" s="1510"/>
      <c r="K510" s="845"/>
      <c r="L510" s="1441"/>
      <c r="M510" s="1577"/>
      <c r="N510" s="845"/>
      <c r="O510" s="1663"/>
      <c r="P510" s="823"/>
      <c r="Q510" s="845"/>
      <c r="R510" s="826"/>
    </row>
    <row r="511" spans="1:18" s="1435" customFormat="1" ht="36">
      <c r="A511" s="1527">
        <v>2540</v>
      </c>
      <c r="B511" s="1451" t="s">
        <v>867</v>
      </c>
      <c r="C511" s="832">
        <v>67500</v>
      </c>
      <c r="D511" s="830">
        <f t="shared" si="69"/>
        <v>70776</v>
      </c>
      <c r="E511" s="1390">
        <f aca="true" t="shared" si="70" ref="E511:E518">SUM(H511+K511+N511+Q511)</f>
        <v>34317</v>
      </c>
      <c r="F511" s="1366">
        <f t="shared" si="68"/>
        <v>48.48677517802645</v>
      </c>
      <c r="G511" s="832">
        <f>67500-1020+5520-1224</f>
        <v>70776</v>
      </c>
      <c r="H511" s="1390">
        <v>34317</v>
      </c>
      <c r="I511" s="1446">
        <f>H511/G511*100</f>
        <v>48.48677517802645</v>
      </c>
      <c r="J511" s="1514"/>
      <c r="K511" s="830"/>
      <c r="L511" s="1446"/>
      <c r="M511" s="1583"/>
      <c r="N511" s="830"/>
      <c r="O511" s="1584"/>
      <c r="P511" s="832"/>
      <c r="Q511" s="830"/>
      <c r="R511" s="834"/>
    </row>
    <row r="512" spans="1:18" s="1435" customFormat="1" ht="36">
      <c r="A512" s="1664">
        <v>3020</v>
      </c>
      <c r="B512" s="1451" t="s">
        <v>1266</v>
      </c>
      <c r="C512" s="832">
        <v>400</v>
      </c>
      <c r="D512" s="830">
        <f t="shared" si="69"/>
        <v>400</v>
      </c>
      <c r="E512" s="1390">
        <f t="shared" si="70"/>
        <v>19</v>
      </c>
      <c r="F512" s="1366">
        <f>E512/D512*100</f>
        <v>4.75</v>
      </c>
      <c r="G512" s="832">
        <v>400</v>
      </c>
      <c r="H512" s="830">
        <v>19</v>
      </c>
      <c r="I512" s="1446">
        <f>H512/G512*100</f>
        <v>4.75</v>
      </c>
      <c r="J512" s="1514"/>
      <c r="K512" s="830"/>
      <c r="L512" s="1446"/>
      <c r="M512" s="1583"/>
      <c r="N512" s="830"/>
      <c r="O512" s="1584"/>
      <c r="P512" s="832"/>
      <c r="Q512" s="830"/>
      <c r="R512" s="834"/>
    </row>
    <row r="513" spans="1:18" s="1435" customFormat="1" ht="24">
      <c r="A513" s="1664">
        <v>4010</v>
      </c>
      <c r="B513" s="1451" t="s">
        <v>680</v>
      </c>
      <c r="C513" s="832">
        <v>169600</v>
      </c>
      <c r="D513" s="830">
        <f t="shared" si="69"/>
        <v>169600</v>
      </c>
      <c r="E513" s="1390">
        <f t="shared" si="70"/>
        <v>79673</v>
      </c>
      <c r="F513" s="1366">
        <f t="shared" si="68"/>
        <v>46.97700471698113</v>
      </c>
      <c r="G513" s="832">
        <v>169600</v>
      </c>
      <c r="H513" s="1390">
        <v>79673</v>
      </c>
      <c r="I513" s="1446">
        <f aca="true" t="shared" si="71" ref="I513:I556">H513/G513*100</f>
        <v>46.97700471698113</v>
      </c>
      <c r="J513" s="1514"/>
      <c r="K513" s="830"/>
      <c r="L513" s="1446"/>
      <c r="M513" s="1583"/>
      <c r="N513" s="830"/>
      <c r="O513" s="1584"/>
      <c r="P513" s="832"/>
      <c r="Q513" s="830"/>
      <c r="R513" s="834"/>
    </row>
    <row r="514" spans="1:18" s="1435" customFormat="1" ht="24">
      <c r="A514" s="1664">
        <v>4040</v>
      </c>
      <c r="B514" s="1451" t="s">
        <v>740</v>
      </c>
      <c r="C514" s="832">
        <v>10600</v>
      </c>
      <c r="D514" s="830">
        <f t="shared" si="69"/>
        <v>10480</v>
      </c>
      <c r="E514" s="1390">
        <f t="shared" si="70"/>
        <v>10475</v>
      </c>
      <c r="F514" s="1366">
        <f t="shared" si="68"/>
        <v>99.95229007633588</v>
      </c>
      <c r="G514" s="832">
        <f>10600-120</f>
        <v>10480</v>
      </c>
      <c r="H514" s="1390">
        <v>10475</v>
      </c>
      <c r="I514" s="1446">
        <f t="shared" si="71"/>
        <v>99.95229007633588</v>
      </c>
      <c r="J514" s="1514"/>
      <c r="K514" s="830"/>
      <c r="L514" s="1446"/>
      <c r="M514" s="1583"/>
      <c r="N514" s="830"/>
      <c r="O514" s="1584"/>
      <c r="P514" s="832"/>
      <c r="Q514" s="830"/>
      <c r="R514" s="834"/>
    </row>
    <row r="515" spans="1:18" s="1435" customFormat="1" ht="24">
      <c r="A515" s="1664">
        <v>4110</v>
      </c>
      <c r="B515" s="1451" t="s">
        <v>686</v>
      </c>
      <c r="C515" s="832">
        <v>31600</v>
      </c>
      <c r="D515" s="830">
        <f t="shared" si="69"/>
        <v>31600</v>
      </c>
      <c r="E515" s="1390">
        <f t="shared" si="70"/>
        <v>15300</v>
      </c>
      <c r="F515" s="1366">
        <f t="shared" si="68"/>
        <v>48.41772151898734</v>
      </c>
      <c r="G515" s="832">
        <v>31600</v>
      </c>
      <c r="H515" s="1390">
        <v>15300</v>
      </c>
      <c r="I515" s="1446">
        <f t="shared" si="71"/>
        <v>48.41772151898734</v>
      </c>
      <c r="J515" s="1514"/>
      <c r="K515" s="830"/>
      <c r="L515" s="1446"/>
      <c r="M515" s="1583"/>
      <c r="N515" s="830"/>
      <c r="O515" s="1584"/>
      <c r="P515" s="832"/>
      <c r="Q515" s="830"/>
      <c r="R515" s="834"/>
    </row>
    <row r="516" spans="1:18" s="1435" customFormat="1" ht="12.75" customHeight="1">
      <c r="A516" s="1664">
        <v>4120</v>
      </c>
      <c r="B516" s="1451" t="s">
        <v>781</v>
      </c>
      <c r="C516" s="832">
        <v>4400</v>
      </c>
      <c r="D516" s="830">
        <f t="shared" si="69"/>
        <v>4400</v>
      </c>
      <c r="E516" s="1390">
        <f t="shared" si="70"/>
        <v>1989</v>
      </c>
      <c r="F516" s="1366">
        <f t="shared" si="68"/>
        <v>45.20454545454545</v>
      </c>
      <c r="G516" s="832">
        <v>4400</v>
      </c>
      <c r="H516" s="1390">
        <v>1989</v>
      </c>
      <c r="I516" s="1446">
        <f t="shared" si="71"/>
        <v>45.20454545454545</v>
      </c>
      <c r="J516" s="1514"/>
      <c r="K516" s="830"/>
      <c r="L516" s="1446"/>
      <c r="M516" s="1583"/>
      <c r="N516" s="830"/>
      <c r="O516" s="1584"/>
      <c r="P516" s="832"/>
      <c r="Q516" s="830"/>
      <c r="R516" s="834"/>
    </row>
    <row r="517" spans="1:18" s="1435" customFormat="1" ht="12.75" customHeight="1">
      <c r="A517" s="1664">
        <v>4140</v>
      </c>
      <c r="B517" s="1451" t="s">
        <v>743</v>
      </c>
      <c r="C517" s="832">
        <v>1400</v>
      </c>
      <c r="D517" s="830">
        <f t="shared" si="69"/>
        <v>1400</v>
      </c>
      <c r="E517" s="1390">
        <f t="shared" si="70"/>
        <v>357</v>
      </c>
      <c r="F517" s="1366">
        <f t="shared" si="68"/>
        <v>25.5</v>
      </c>
      <c r="G517" s="832">
        <v>1400</v>
      </c>
      <c r="H517" s="1390">
        <v>357</v>
      </c>
      <c r="I517" s="1446">
        <f t="shared" si="71"/>
        <v>25.5</v>
      </c>
      <c r="J517" s="1514"/>
      <c r="K517" s="830"/>
      <c r="L517" s="1446"/>
      <c r="M517" s="1583"/>
      <c r="N517" s="830"/>
      <c r="O517" s="1584"/>
      <c r="P517" s="832"/>
      <c r="Q517" s="830"/>
      <c r="R517" s="834"/>
    </row>
    <row r="518" spans="1:18" s="1435" customFormat="1" ht="12.75" customHeight="1">
      <c r="A518" s="1651">
        <v>4440</v>
      </c>
      <c r="B518" s="1493" t="s">
        <v>702</v>
      </c>
      <c r="C518" s="861">
        <v>11400</v>
      </c>
      <c r="D518" s="830">
        <f t="shared" si="69"/>
        <v>11400</v>
      </c>
      <c r="E518" s="1390">
        <f t="shared" si="70"/>
        <v>8951</v>
      </c>
      <c r="F518" s="1366">
        <f t="shared" si="68"/>
        <v>78.51754385964912</v>
      </c>
      <c r="G518" s="861">
        <v>11400</v>
      </c>
      <c r="H518" s="1487">
        <v>8951</v>
      </c>
      <c r="I518" s="1446">
        <f t="shared" si="71"/>
        <v>78.51754385964912</v>
      </c>
      <c r="J518" s="1516"/>
      <c r="K518" s="862"/>
      <c r="L518" s="1551"/>
      <c r="M518" s="1665"/>
      <c r="N518" s="862"/>
      <c r="O518" s="1666"/>
      <c r="P518" s="861"/>
      <c r="Q518" s="862"/>
      <c r="R518" s="1519"/>
    </row>
    <row r="519" spans="1:18" ht="12.75">
      <c r="A519" s="1667">
        <v>80104</v>
      </c>
      <c r="B519" s="1529" t="s">
        <v>875</v>
      </c>
      <c r="C519" s="1438">
        <f>SUM(C520:C520)</f>
        <v>9900000</v>
      </c>
      <c r="D519" s="845">
        <f t="shared" si="69"/>
        <v>9976600</v>
      </c>
      <c r="E519" s="1380">
        <f>H519+K519+Q519+N519</f>
        <v>5691400</v>
      </c>
      <c r="F519" s="1381">
        <f t="shared" si="68"/>
        <v>57.047491129242424</v>
      </c>
      <c r="G519" s="1438">
        <f>SUM(G520:G520)</f>
        <v>9976600</v>
      </c>
      <c r="H519" s="1380">
        <f>SUM(H520:H520)</f>
        <v>5691400</v>
      </c>
      <c r="I519" s="1475">
        <f t="shared" si="71"/>
        <v>57.047491129242424</v>
      </c>
      <c r="J519" s="1440"/>
      <c r="K519" s="1380"/>
      <c r="L519" s="1441"/>
      <c r="M519" s="1380"/>
      <c r="N519" s="1380"/>
      <c r="O519" s="1442"/>
      <c r="P519" s="1438"/>
      <c r="Q519" s="1380"/>
      <c r="R519" s="1478"/>
    </row>
    <row r="520" spans="1:18" s="1435" customFormat="1" ht="36">
      <c r="A520" s="1664">
        <v>2510</v>
      </c>
      <c r="B520" s="1451" t="s">
        <v>297</v>
      </c>
      <c r="C520" s="1389">
        <v>9900000</v>
      </c>
      <c r="D520" s="830">
        <f t="shared" si="69"/>
        <v>9976600</v>
      </c>
      <c r="E520" s="1390">
        <f>SUM(H520+K520+N520+Q520)</f>
        <v>5691400</v>
      </c>
      <c r="F520" s="1366">
        <f t="shared" si="68"/>
        <v>57.047491129242424</v>
      </c>
      <c r="G520" s="1389">
        <f>9900000+76600</f>
        <v>9976600</v>
      </c>
      <c r="H520" s="1390">
        <v>5691400</v>
      </c>
      <c r="I520" s="1369">
        <f t="shared" si="71"/>
        <v>57.047491129242424</v>
      </c>
      <c r="J520" s="1445"/>
      <c r="K520" s="1390"/>
      <c r="L520" s="1446"/>
      <c r="M520" s="1390"/>
      <c r="N520" s="1390"/>
      <c r="O520" s="1447"/>
      <c r="P520" s="1389"/>
      <c r="Q520" s="1390"/>
      <c r="R520" s="1454"/>
    </row>
    <row r="521" spans="1:18" s="1435" customFormat="1" ht="15" customHeight="1">
      <c r="A521" s="1436">
        <v>80105</v>
      </c>
      <c r="B521" s="1668" t="s">
        <v>876</v>
      </c>
      <c r="C521" s="1438">
        <f>SUM(C522:C534)</f>
        <v>466300</v>
      </c>
      <c r="D521" s="845">
        <f t="shared" si="69"/>
        <v>466700</v>
      </c>
      <c r="E521" s="1380">
        <f>H521+K521+Q521+N521</f>
        <v>245021</v>
      </c>
      <c r="F521" s="1381">
        <f t="shared" si="68"/>
        <v>52.5007499464324</v>
      </c>
      <c r="G521" s="1380"/>
      <c r="H521" s="1440"/>
      <c r="I521" s="1575"/>
      <c r="J521" s="1440"/>
      <c r="K521" s="1380"/>
      <c r="L521" s="1441"/>
      <c r="M521" s="1380">
        <f>SUM(M522:M534)</f>
        <v>466700</v>
      </c>
      <c r="N521" s="1380">
        <f>SUM(N522:N534)</f>
        <v>245021</v>
      </c>
      <c r="O521" s="1388">
        <f aca="true" t="shared" si="72" ref="O521:O533">N521/M521*100</f>
        <v>52.5007499464324</v>
      </c>
      <c r="P521" s="1380"/>
      <c r="Q521" s="1380"/>
      <c r="R521" s="1478"/>
    </row>
    <row r="522" spans="1:18" s="1435" customFormat="1" ht="36">
      <c r="A522" s="1443">
        <v>3020</v>
      </c>
      <c r="B522" s="1451" t="s">
        <v>1266</v>
      </c>
      <c r="C522" s="1389">
        <v>1600</v>
      </c>
      <c r="D522" s="830">
        <f t="shared" si="69"/>
        <v>1600</v>
      </c>
      <c r="E522" s="1390">
        <f aca="true" t="shared" si="73" ref="E522:E532">SUM(H522+K522+N522+Q522)</f>
        <v>310</v>
      </c>
      <c r="F522" s="1366">
        <f t="shared" si="68"/>
        <v>19.375</v>
      </c>
      <c r="G522" s="1390"/>
      <c r="H522" s="1445"/>
      <c r="I522" s="1446"/>
      <c r="J522" s="1445"/>
      <c r="K522" s="1390"/>
      <c r="L522" s="1446"/>
      <c r="M522" s="1389">
        <v>1600</v>
      </c>
      <c r="N522" s="1407">
        <v>310</v>
      </c>
      <c r="O522" s="1395">
        <f t="shared" si="72"/>
        <v>19.375</v>
      </c>
      <c r="P522" s="1390"/>
      <c r="Q522" s="1390"/>
      <c r="R522" s="1454"/>
    </row>
    <row r="523" spans="1:18" s="1435" customFormat="1" ht="24">
      <c r="A523" s="1443">
        <v>4010</v>
      </c>
      <c r="B523" s="1669" t="s">
        <v>680</v>
      </c>
      <c r="C523" s="1389">
        <v>320000</v>
      </c>
      <c r="D523" s="830">
        <f t="shared" si="69"/>
        <v>320000</v>
      </c>
      <c r="E523" s="1390">
        <f t="shared" si="73"/>
        <v>163175</v>
      </c>
      <c r="F523" s="1366">
        <f t="shared" si="68"/>
        <v>50.9921875</v>
      </c>
      <c r="G523" s="1390"/>
      <c r="H523" s="1445"/>
      <c r="I523" s="1446"/>
      <c r="J523" s="1445"/>
      <c r="K523" s="1390"/>
      <c r="L523" s="1446"/>
      <c r="M523" s="1389">
        <v>320000</v>
      </c>
      <c r="N523" s="1390">
        <v>163175</v>
      </c>
      <c r="O523" s="1395">
        <f t="shared" si="72"/>
        <v>50.9921875</v>
      </c>
      <c r="P523" s="1390"/>
      <c r="Q523" s="1390"/>
      <c r="R523" s="1454"/>
    </row>
    <row r="524" spans="1:18" s="1435" customFormat="1" ht="24">
      <c r="A524" s="1443">
        <v>4040</v>
      </c>
      <c r="B524" s="1669" t="s">
        <v>684</v>
      </c>
      <c r="C524" s="1389">
        <v>22000</v>
      </c>
      <c r="D524" s="830">
        <f t="shared" si="69"/>
        <v>22000</v>
      </c>
      <c r="E524" s="1390">
        <f t="shared" si="73"/>
        <v>22000</v>
      </c>
      <c r="F524" s="1366">
        <f t="shared" si="68"/>
        <v>100</v>
      </c>
      <c r="G524" s="1390"/>
      <c r="H524" s="1445"/>
      <c r="I524" s="1446"/>
      <c r="J524" s="1445"/>
      <c r="K524" s="1390"/>
      <c r="L524" s="1446"/>
      <c r="M524" s="1389">
        <v>22000</v>
      </c>
      <c r="N524" s="1390">
        <v>22000</v>
      </c>
      <c r="O524" s="1369">
        <f t="shared" si="72"/>
        <v>100</v>
      </c>
      <c r="P524" s="1390"/>
      <c r="Q524" s="1390"/>
      <c r="R524" s="1454"/>
    </row>
    <row r="525" spans="1:18" s="1435" customFormat="1" ht="24">
      <c r="A525" s="1443">
        <v>4110</v>
      </c>
      <c r="B525" s="1669" t="s">
        <v>686</v>
      </c>
      <c r="C525" s="1389">
        <v>61000</v>
      </c>
      <c r="D525" s="830">
        <f t="shared" si="69"/>
        <v>61000</v>
      </c>
      <c r="E525" s="1390">
        <f t="shared" si="73"/>
        <v>29890</v>
      </c>
      <c r="F525" s="1366">
        <f t="shared" si="68"/>
        <v>49</v>
      </c>
      <c r="G525" s="1390"/>
      <c r="H525" s="1445"/>
      <c r="I525" s="1446"/>
      <c r="J525" s="1445"/>
      <c r="K525" s="1390"/>
      <c r="L525" s="1446"/>
      <c r="M525" s="1389">
        <v>61000</v>
      </c>
      <c r="N525" s="1390">
        <v>29890</v>
      </c>
      <c r="O525" s="1395">
        <f t="shared" si="72"/>
        <v>49</v>
      </c>
      <c r="P525" s="1390"/>
      <c r="Q525" s="1390"/>
      <c r="R525" s="1454"/>
    </row>
    <row r="526" spans="1:18" s="1435" customFormat="1" ht="12.75">
      <c r="A526" s="1443">
        <v>4120</v>
      </c>
      <c r="B526" s="1669" t="s">
        <v>781</v>
      </c>
      <c r="C526" s="1389">
        <v>8000</v>
      </c>
      <c r="D526" s="830">
        <f t="shared" si="69"/>
        <v>8000</v>
      </c>
      <c r="E526" s="1390">
        <f t="shared" si="73"/>
        <v>4075</v>
      </c>
      <c r="F526" s="1366">
        <f t="shared" si="68"/>
        <v>50.9375</v>
      </c>
      <c r="G526" s="1390"/>
      <c r="H526" s="1445"/>
      <c r="I526" s="1446"/>
      <c r="J526" s="1445"/>
      <c r="K526" s="1390"/>
      <c r="L526" s="1446"/>
      <c r="M526" s="1389">
        <v>8000</v>
      </c>
      <c r="N526" s="1390">
        <v>4075</v>
      </c>
      <c r="O526" s="1395">
        <f t="shared" si="72"/>
        <v>50.9375</v>
      </c>
      <c r="P526" s="1390"/>
      <c r="Q526" s="1390"/>
      <c r="R526" s="1454"/>
    </row>
    <row r="527" spans="1:18" s="1435" customFormat="1" ht="24">
      <c r="A527" s="1443">
        <v>4210</v>
      </c>
      <c r="B527" s="1669" t="s">
        <v>690</v>
      </c>
      <c r="C527" s="1389">
        <v>8000</v>
      </c>
      <c r="D527" s="830">
        <f t="shared" si="69"/>
        <v>8000</v>
      </c>
      <c r="E527" s="1390">
        <f t="shared" si="73"/>
        <v>2336</v>
      </c>
      <c r="F527" s="1366">
        <f t="shared" si="68"/>
        <v>29.2</v>
      </c>
      <c r="G527" s="1390"/>
      <c r="H527" s="1445"/>
      <c r="I527" s="1446"/>
      <c r="J527" s="1445"/>
      <c r="K527" s="1390"/>
      <c r="L527" s="1446"/>
      <c r="M527" s="1389">
        <v>8000</v>
      </c>
      <c r="N527" s="1390">
        <v>2336</v>
      </c>
      <c r="O527" s="1369">
        <f t="shared" si="72"/>
        <v>29.2</v>
      </c>
      <c r="P527" s="1390"/>
      <c r="Q527" s="1390"/>
      <c r="R527" s="1454"/>
    </row>
    <row r="528" spans="1:18" s="1435" customFormat="1" ht="36">
      <c r="A528" s="1443">
        <v>4240</v>
      </c>
      <c r="B528" s="1669" t="s">
        <v>877</v>
      </c>
      <c r="C528" s="1389">
        <v>1600</v>
      </c>
      <c r="D528" s="830">
        <f t="shared" si="69"/>
        <v>1600</v>
      </c>
      <c r="E528" s="1390">
        <f t="shared" si="73"/>
        <v>233</v>
      </c>
      <c r="F528" s="1366">
        <f t="shared" si="68"/>
        <v>14.5625</v>
      </c>
      <c r="G528" s="1390"/>
      <c r="H528" s="1445"/>
      <c r="I528" s="1446"/>
      <c r="J528" s="1445"/>
      <c r="K528" s="1390"/>
      <c r="L528" s="1446"/>
      <c r="M528" s="1389">
        <v>1600</v>
      </c>
      <c r="N528" s="1390">
        <v>233</v>
      </c>
      <c r="O528" s="1395">
        <f t="shared" si="72"/>
        <v>14.5625</v>
      </c>
      <c r="P528" s="1390"/>
      <c r="Q528" s="1390"/>
      <c r="R528" s="1454"/>
    </row>
    <row r="529" spans="1:18" s="1435" customFormat="1" ht="12.75">
      <c r="A529" s="1443">
        <v>4260</v>
      </c>
      <c r="B529" s="1669" t="s">
        <v>694</v>
      </c>
      <c r="C529" s="1389">
        <v>19000</v>
      </c>
      <c r="D529" s="830">
        <f t="shared" si="69"/>
        <v>19000</v>
      </c>
      <c r="E529" s="1390">
        <f t="shared" si="73"/>
        <v>7500</v>
      </c>
      <c r="F529" s="1366">
        <f t="shared" si="68"/>
        <v>39.473684210526315</v>
      </c>
      <c r="G529" s="1390"/>
      <c r="H529" s="1445"/>
      <c r="I529" s="1446"/>
      <c r="J529" s="1445"/>
      <c r="K529" s="1390"/>
      <c r="L529" s="1446"/>
      <c r="M529" s="1389">
        <v>19000</v>
      </c>
      <c r="N529" s="1390">
        <f>7501-1</f>
        <v>7500</v>
      </c>
      <c r="O529" s="1395">
        <f t="shared" si="72"/>
        <v>39.473684210526315</v>
      </c>
      <c r="P529" s="1390"/>
      <c r="Q529" s="1390"/>
      <c r="R529" s="1454"/>
    </row>
    <row r="530" spans="1:18" s="1435" customFormat="1" ht="15" customHeight="1">
      <c r="A530" s="1443">
        <v>4270</v>
      </c>
      <c r="B530" s="1669" t="s">
        <v>696</v>
      </c>
      <c r="C530" s="1389">
        <v>2000</v>
      </c>
      <c r="D530" s="830">
        <f t="shared" si="69"/>
        <v>2000</v>
      </c>
      <c r="E530" s="1390">
        <f t="shared" si="73"/>
        <v>75</v>
      </c>
      <c r="F530" s="1366">
        <f t="shared" si="68"/>
        <v>3.75</v>
      </c>
      <c r="G530" s="1390"/>
      <c r="H530" s="1445"/>
      <c r="I530" s="1446"/>
      <c r="J530" s="1445"/>
      <c r="K530" s="1390"/>
      <c r="L530" s="1446"/>
      <c r="M530" s="1389">
        <v>2000</v>
      </c>
      <c r="N530" s="1390">
        <v>75</v>
      </c>
      <c r="O530" s="1395">
        <f t="shared" si="72"/>
        <v>3.75</v>
      </c>
      <c r="P530" s="1390"/>
      <c r="Q530" s="1390"/>
      <c r="R530" s="1454"/>
    </row>
    <row r="531" spans="1:18" s="1435" customFormat="1" ht="15" customHeight="1">
      <c r="A531" s="1443">
        <v>4280</v>
      </c>
      <c r="B531" s="1451" t="s">
        <v>745</v>
      </c>
      <c r="C531" s="1389">
        <v>1400</v>
      </c>
      <c r="D531" s="830">
        <f t="shared" si="69"/>
        <v>1400</v>
      </c>
      <c r="E531" s="1390">
        <f t="shared" si="73"/>
        <v>68</v>
      </c>
      <c r="F531" s="1366">
        <f t="shared" si="68"/>
        <v>4.857142857142857</v>
      </c>
      <c r="G531" s="1390"/>
      <c r="H531" s="1445"/>
      <c r="I531" s="1446"/>
      <c r="J531" s="1445"/>
      <c r="K531" s="1390"/>
      <c r="L531" s="1446"/>
      <c r="M531" s="1389">
        <v>1400</v>
      </c>
      <c r="N531" s="1390">
        <v>68</v>
      </c>
      <c r="O531" s="1395">
        <f t="shared" si="72"/>
        <v>4.857142857142857</v>
      </c>
      <c r="P531" s="1390"/>
      <c r="Q531" s="1390"/>
      <c r="R531" s="1454"/>
    </row>
    <row r="532" spans="1:18" s="1435" customFormat="1" ht="15" customHeight="1">
      <c r="A532" s="1443">
        <v>4300</v>
      </c>
      <c r="B532" s="1669" t="s">
        <v>698</v>
      </c>
      <c r="C532" s="1389">
        <v>5000</v>
      </c>
      <c r="D532" s="830">
        <f t="shared" si="69"/>
        <v>5000</v>
      </c>
      <c r="E532" s="1390">
        <f t="shared" si="73"/>
        <v>2359</v>
      </c>
      <c r="F532" s="1366">
        <f t="shared" si="68"/>
        <v>47.18</v>
      </c>
      <c r="G532" s="1390"/>
      <c r="H532" s="1445"/>
      <c r="I532" s="1446"/>
      <c r="J532" s="1445"/>
      <c r="K532" s="1390"/>
      <c r="L532" s="1446"/>
      <c r="M532" s="1389">
        <v>5000</v>
      </c>
      <c r="N532" s="1390">
        <v>2359</v>
      </c>
      <c r="O532" s="1395">
        <f t="shared" si="72"/>
        <v>47.18</v>
      </c>
      <c r="P532" s="1390"/>
      <c r="Q532" s="1390"/>
      <c r="R532" s="1454"/>
    </row>
    <row r="533" spans="1:18" s="1435" customFormat="1" ht="36" hidden="1">
      <c r="A533" s="1443">
        <v>6060</v>
      </c>
      <c r="B533" s="1669" t="s">
        <v>841</v>
      </c>
      <c r="C533" s="1389"/>
      <c r="D533" s="830">
        <f t="shared" si="69"/>
        <v>0</v>
      </c>
      <c r="E533" s="1390"/>
      <c r="F533" s="1366" t="e">
        <f t="shared" si="68"/>
        <v>#DIV/0!</v>
      </c>
      <c r="G533" s="1390"/>
      <c r="H533" s="1445"/>
      <c r="I533" s="1446"/>
      <c r="J533" s="1445"/>
      <c r="K533" s="1390"/>
      <c r="L533" s="1446"/>
      <c r="M533" s="1389"/>
      <c r="N533" s="1390"/>
      <c r="O533" s="1395" t="e">
        <f t="shared" si="72"/>
        <v>#DIV/0!</v>
      </c>
      <c r="P533" s="1390"/>
      <c r="Q533" s="1390"/>
      <c r="R533" s="1454"/>
    </row>
    <row r="534" spans="1:18" s="1435" customFormat="1" ht="15" customHeight="1">
      <c r="A534" s="1492">
        <v>4440</v>
      </c>
      <c r="B534" s="1670" t="s">
        <v>702</v>
      </c>
      <c r="C534" s="1494">
        <v>16700</v>
      </c>
      <c r="D534" s="862">
        <f t="shared" si="69"/>
        <v>17100</v>
      </c>
      <c r="E534" s="1487">
        <f>SUM(H534+K534+N534+Q534)</f>
        <v>13000</v>
      </c>
      <c r="F534" s="1419">
        <f>E534/D534*100</f>
        <v>76.0233918128655</v>
      </c>
      <c r="G534" s="1487"/>
      <c r="H534" s="1495"/>
      <c r="I534" s="1551"/>
      <c r="J534" s="1495"/>
      <c r="K534" s="1487"/>
      <c r="L534" s="1551"/>
      <c r="M534" s="1494">
        <f>16700+400</f>
        <v>17100</v>
      </c>
      <c r="N534" s="1487">
        <v>13000</v>
      </c>
      <c r="O534" s="1666">
        <f>N534/M534*100</f>
        <v>76.0233918128655</v>
      </c>
      <c r="P534" s="1487"/>
      <c r="Q534" s="1487"/>
      <c r="R534" s="1539"/>
    </row>
    <row r="535" spans="1:18" ht="12.75">
      <c r="A535" s="1436">
        <v>80110</v>
      </c>
      <c r="B535" s="1529" t="s">
        <v>304</v>
      </c>
      <c r="C535" s="1438">
        <f>SUM(C536:C555)</f>
        <v>17115000</v>
      </c>
      <c r="D535" s="845">
        <f t="shared" si="69"/>
        <v>17124383</v>
      </c>
      <c r="E535" s="845">
        <f>H535+K535+Q535+N535</f>
        <v>9450152</v>
      </c>
      <c r="F535" s="1671">
        <f>E535/D535*100</f>
        <v>55.18535762719159</v>
      </c>
      <c r="G535" s="1438">
        <f>SUM(G536:G556)</f>
        <v>17124383</v>
      </c>
      <c r="H535" s="1440">
        <f>SUM(H536:H556)</f>
        <v>9450152</v>
      </c>
      <c r="I535" s="1475">
        <f t="shared" si="71"/>
        <v>55.18535762719159</v>
      </c>
      <c r="J535" s="1440"/>
      <c r="K535" s="1380"/>
      <c r="L535" s="1441"/>
      <c r="M535" s="1380"/>
      <c r="N535" s="1380"/>
      <c r="O535" s="1442"/>
      <c r="P535" s="1438"/>
      <c r="Q535" s="1380"/>
      <c r="R535" s="1478"/>
    </row>
    <row r="536" spans="1:18" s="1435" customFormat="1" ht="36">
      <c r="A536" s="1443">
        <v>2540</v>
      </c>
      <c r="B536" s="1451" t="s">
        <v>867</v>
      </c>
      <c r="C536" s="1389">
        <v>284000</v>
      </c>
      <c r="D536" s="830">
        <f t="shared" si="69"/>
        <v>287203</v>
      </c>
      <c r="E536" s="1390">
        <f>SUM(H536+K536+N536+Q536)</f>
        <v>137994</v>
      </c>
      <c r="F536" s="1366">
        <f>E536/D536*100</f>
        <v>48.04754824984418</v>
      </c>
      <c r="G536" s="1389">
        <f>284000-25240+36160-7717</f>
        <v>287203</v>
      </c>
      <c r="H536" s="1390">
        <v>137994</v>
      </c>
      <c r="I536" s="1369">
        <f t="shared" si="71"/>
        <v>48.04754824984418</v>
      </c>
      <c r="J536" s="1445"/>
      <c r="K536" s="1390"/>
      <c r="L536" s="1446"/>
      <c r="M536" s="1390"/>
      <c r="N536" s="1390"/>
      <c r="O536" s="1447"/>
      <c r="P536" s="1389"/>
      <c r="Q536" s="1390"/>
      <c r="R536" s="1454"/>
    </row>
    <row r="537" spans="1:18" ht="36">
      <c r="A537" s="1443">
        <v>3020</v>
      </c>
      <c r="B537" s="1451" t="s">
        <v>1266</v>
      </c>
      <c r="C537" s="1389">
        <v>59100</v>
      </c>
      <c r="D537" s="830">
        <f t="shared" si="69"/>
        <v>72200</v>
      </c>
      <c r="E537" s="1390">
        <f>SUM(H537+K537+N537+Q537)</f>
        <v>10496</v>
      </c>
      <c r="F537" s="1366">
        <f>E537/D537*100</f>
        <v>14.537396121883656</v>
      </c>
      <c r="G537" s="1389">
        <f>59100+600+12500</f>
        <v>72200</v>
      </c>
      <c r="H537" s="1390">
        <v>10496</v>
      </c>
      <c r="I537" s="1369">
        <f t="shared" si="71"/>
        <v>14.537396121883656</v>
      </c>
      <c r="J537" s="1445"/>
      <c r="K537" s="1390"/>
      <c r="L537" s="1446"/>
      <c r="M537" s="1390"/>
      <c r="N537" s="1390"/>
      <c r="O537" s="1447"/>
      <c r="P537" s="1389"/>
      <c r="Q537" s="1390"/>
      <c r="R537" s="1454"/>
    </row>
    <row r="538" spans="1:18" ht="24">
      <c r="A538" s="1443">
        <v>4010</v>
      </c>
      <c r="B538" s="1451" t="s">
        <v>680</v>
      </c>
      <c r="C538" s="1389">
        <v>11050500</v>
      </c>
      <c r="D538" s="830">
        <f t="shared" si="69"/>
        <v>11038000</v>
      </c>
      <c r="E538" s="1390">
        <f>SUM(H538+K538+N538+Q538)</f>
        <v>5539465</v>
      </c>
      <c r="F538" s="1366">
        <f aca="true" t="shared" si="74" ref="F538:F601">E538/D538*100</f>
        <v>50.18540496466751</v>
      </c>
      <c r="G538" s="1389">
        <f>11050500-12500</f>
        <v>11038000</v>
      </c>
      <c r="H538" s="1390">
        <v>5539465</v>
      </c>
      <c r="I538" s="1369">
        <f t="shared" si="71"/>
        <v>50.18540496466751</v>
      </c>
      <c r="J538" s="1445"/>
      <c r="K538" s="1390"/>
      <c r="L538" s="1446"/>
      <c r="M538" s="1390"/>
      <c r="N538" s="1390"/>
      <c r="O538" s="1447"/>
      <c r="P538" s="1389"/>
      <c r="Q538" s="1390"/>
      <c r="R538" s="1454"/>
    </row>
    <row r="539" spans="1:18" ht="25.5" customHeight="1">
      <c r="A539" s="1443">
        <v>4040</v>
      </c>
      <c r="B539" s="1451" t="s">
        <v>740</v>
      </c>
      <c r="C539" s="1389">
        <v>900400</v>
      </c>
      <c r="D539" s="830">
        <f t="shared" si="69"/>
        <v>879380</v>
      </c>
      <c r="E539" s="1390">
        <f>SUM(H539+K539+N539+Q539)</f>
        <v>867392</v>
      </c>
      <c r="F539" s="1366">
        <f t="shared" si="74"/>
        <v>98.63676681298188</v>
      </c>
      <c r="G539" s="1389">
        <f>900400-7510-10970-2540</f>
        <v>879380</v>
      </c>
      <c r="H539" s="1390">
        <v>867392</v>
      </c>
      <c r="I539" s="1369">
        <f t="shared" si="71"/>
        <v>98.63676681298188</v>
      </c>
      <c r="J539" s="1445"/>
      <c r="K539" s="1390"/>
      <c r="L539" s="1446"/>
      <c r="M539" s="1390"/>
      <c r="N539" s="1390"/>
      <c r="O539" s="1447"/>
      <c r="P539" s="1389"/>
      <c r="Q539" s="1390"/>
      <c r="R539" s="1454"/>
    </row>
    <row r="540" spans="1:18" ht="24">
      <c r="A540" s="1443">
        <v>4110</v>
      </c>
      <c r="B540" s="1451" t="s">
        <v>686</v>
      </c>
      <c r="C540" s="1389">
        <v>2067000</v>
      </c>
      <c r="D540" s="830">
        <f t="shared" si="69"/>
        <v>2067000</v>
      </c>
      <c r="E540" s="1390">
        <f aca="true" t="shared" si="75" ref="E540:E555">SUM(H540+K540+N540+Q540)</f>
        <v>1102333</v>
      </c>
      <c r="F540" s="1366">
        <f t="shared" si="74"/>
        <v>53.330091920657964</v>
      </c>
      <c r="G540" s="1389">
        <v>2067000</v>
      </c>
      <c r="H540" s="1390">
        <v>1102333</v>
      </c>
      <c r="I540" s="1369">
        <f t="shared" si="71"/>
        <v>53.330091920657964</v>
      </c>
      <c r="J540" s="1445"/>
      <c r="K540" s="1390"/>
      <c r="L540" s="1446"/>
      <c r="M540" s="1390"/>
      <c r="N540" s="1390"/>
      <c r="O540" s="1447"/>
      <c r="P540" s="1389"/>
      <c r="Q540" s="1390"/>
      <c r="R540" s="1454"/>
    </row>
    <row r="541" spans="1:18" ht="12.75">
      <c r="A541" s="1443">
        <v>4120</v>
      </c>
      <c r="B541" s="1451" t="s">
        <v>781</v>
      </c>
      <c r="C541" s="1389">
        <v>281600</v>
      </c>
      <c r="D541" s="830">
        <f t="shared" si="69"/>
        <v>281600</v>
      </c>
      <c r="E541" s="830">
        <f t="shared" si="75"/>
        <v>150056</v>
      </c>
      <c r="F541" s="1366">
        <f t="shared" si="74"/>
        <v>53.28693181818181</v>
      </c>
      <c r="G541" s="1389">
        <v>281600</v>
      </c>
      <c r="H541" s="1390">
        <v>150056</v>
      </c>
      <c r="I541" s="1369">
        <f t="shared" si="71"/>
        <v>53.28693181818181</v>
      </c>
      <c r="J541" s="1445"/>
      <c r="K541" s="1390"/>
      <c r="L541" s="1446"/>
      <c r="M541" s="1390"/>
      <c r="N541" s="1390"/>
      <c r="O541" s="1447"/>
      <c r="P541" s="1389"/>
      <c r="Q541" s="1390"/>
      <c r="R541" s="1454"/>
    </row>
    <row r="542" spans="1:18" s="1435" customFormat="1" ht="12.75">
      <c r="A542" s="1443">
        <v>4140</v>
      </c>
      <c r="B542" s="1451" t="s">
        <v>743</v>
      </c>
      <c r="C542" s="1389">
        <v>52900</v>
      </c>
      <c r="D542" s="830">
        <f t="shared" si="69"/>
        <v>52900</v>
      </c>
      <c r="E542" s="830">
        <f t="shared" si="75"/>
        <v>25083</v>
      </c>
      <c r="F542" s="1366">
        <f t="shared" si="74"/>
        <v>47.41587901701323</v>
      </c>
      <c r="G542" s="1389">
        <v>52900</v>
      </c>
      <c r="H542" s="1390">
        <v>25083</v>
      </c>
      <c r="I542" s="1369">
        <f t="shared" si="71"/>
        <v>47.41587901701323</v>
      </c>
      <c r="J542" s="1445"/>
      <c r="K542" s="1390"/>
      <c r="L542" s="1446"/>
      <c r="M542" s="1390"/>
      <c r="N542" s="1390"/>
      <c r="O542" s="1447"/>
      <c r="P542" s="1389"/>
      <c r="Q542" s="1390"/>
      <c r="R542" s="1454"/>
    </row>
    <row r="543" spans="1:18" s="1435" customFormat="1" ht="24">
      <c r="A543" s="1443">
        <v>4170</v>
      </c>
      <c r="B543" s="1451" t="s">
        <v>744</v>
      </c>
      <c r="C543" s="1389"/>
      <c r="D543" s="830">
        <f>G543+J543+P543+M543</f>
        <v>5550</v>
      </c>
      <c r="E543" s="830">
        <f>SUM(H543+K543+N543+Q543)</f>
        <v>4116</v>
      </c>
      <c r="F543" s="1366">
        <f>E543/D543*100</f>
        <v>74.16216216216216</v>
      </c>
      <c r="G543" s="1389">
        <f>3000+2550</f>
        <v>5550</v>
      </c>
      <c r="H543" s="1390">
        <v>4116</v>
      </c>
      <c r="I543" s="1369">
        <f t="shared" si="71"/>
        <v>74.16216216216216</v>
      </c>
      <c r="J543" s="1445"/>
      <c r="K543" s="1390"/>
      <c r="L543" s="1446"/>
      <c r="M543" s="1390"/>
      <c r="N543" s="1390"/>
      <c r="O543" s="1447"/>
      <c r="P543" s="1389"/>
      <c r="Q543" s="1390"/>
      <c r="R543" s="1454"/>
    </row>
    <row r="544" spans="1:18" ht="24">
      <c r="A544" s="1443">
        <v>4210</v>
      </c>
      <c r="B544" s="1451" t="s">
        <v>690</v>
      </c>
      <c r="C544" s="1389">
        <v>330500</v>
      </c>
      <c r="D544" s="830">
        <f t="shared" si="69"/>
        <v>333160</v>
      </c>
      <c r="E544" s="1390">
        <f t="shared" si="75"/>
        <v>172469</v>
      </c>
      <c r="F544" s="1366">
        <f t="shared" si="74"/>
        <v>51.76761916196422</v>
      </c>
      <c r="G544" s="1389">
        <f>330500+3820-2160+1000</f>
        <v>333160</v>
      </c>
      <c r="H544" s="1390">
        <v>172469</v>
      </c>
      <c r="I544" s="1369">
        <f t="shared" si="71"/>
        <v>51.76761916196422</v>
      </c>
      <c r="J544" s="1445"/>
      <c r="K544" s="1390"/>
      <c r="L544" s="1446"/>
      <c r="M544" s="1390"/>
      <c r="N544" s="1390"/>
      <c r="O544" s="1447"/>
      <c r="P544" s="1389"/>
      <c r="Q544" s="1390"/>
      <c r="R544" s="1454"/>
    </row>
    <row r="545" spans="1:18" ht="36">
      <c r="A545" s="1443">
        <v>4240</v>
      </c>
      <c r="B545" s="1451" t="s">
        <v>868</v>
      </c>
      <c r="C545" s="1389">
        <v>37300</v>
      </c>
      <c r="D545" s="830">
        <f t="shared" si="69"/>
        <v>37300</v>
      </c>
      <c r="E545" s="1390">
        <f t="shared" si="75"/>
        <v>14518</v>
      </c>
      <c r="F545" s="1366">
        <f t="shared" si="74"/>
        <v>38.92225201072386</v>
      </c>
      <c r="G545" s="1389">
        <v>37300</v>
      </c>
      <c r="H545" s="1390">
        <v>14518</v>
      </c>
      <c r="I545" s="1369">
        <f t="shared" si="71"/>
        <v>38.92225201072386</v>
      </c>
      <c r="J545" s="1445"/>
      <c r="K545" s="1390"/>
      <c r="L545" s="1446"/>
      <c r="M545" s="1390"/>
      <c r="N545" s="1390"/>
      <c r="O545" s="1447"/>
      <c r="P545" s="1389"/>
      <c r="Q545" s="1390"/>
      <c r="R545" s="1454"/>
    </row>
    <row r="546" spans="1:18" ht="12.75">
      <c r="A546" s="1443">
        <v>4260</v>
      </c>
      <c r="B546" s="1571" t="s">
        <v>694</v>
      </c>
      <c r="C546" s="1389">
        <v>886400</v>
      </c>
      <c r="D546" s="830">
        <f t="shared" si="69"/>
        <v>884920</v>
      </c>
      <c r="E546" s="1390">
        <f t="shared" si="75"/>
        <v>628899</v>
      </c>
      <c r="F546" s="1366">
        <f t="shared" si="74"/>
        <v>71.06845816570988</v>
      </c>
      <c r="G546" s="1389">
        <f>886400-1480</f>
        <v>884920</v>
      </c>
      <c r="H546" s="1390">
        <v>628899</v>
      </c>
      <c r="I546" s="1369">
        <f t="shared" si="71"/>
        <v>71.06845816570988</v>
      </c>
      <c r="J546" s="1445"/>
      <c r="K546" s="1390"/>
      <c r="L546" s="1446"/>
      <c r="M546" s="1390"/>
      <c r="N546" s="1390"/>
      <c r="O546" s="1447"/>
      <c r="P546" s="1389"/>
      <c r="Q546" s="1390"/>
      <c r="R546" s="1454"/>
    </row>
    <row r="547" spans="1:18" ht="12.75">
      <c r="A547" s="1443">
        <v>4270</v>
      </c>
      <c r="B547" s="1451" t="s">
        <v>696</v>
      </c>
      <c r="C547" s="1389">
        <v>43300</v>
      </c>
      <c r="D547" s="830">
        <f t="shared" si="69"/>
        <v>48340</v>
      </c>
      <c r="E547" s="1390">
        <f t="shared" si="75"/>
        <v>23765</v>
      </c>
      <c r="F547" s="1366">
        <f t="shared" si="74"/>
        <v>49.16218452627224</v>
      </c>
      <c r="G547" s="1389">
        <f>43300-610+5650</f>
        <v>48340</v>
      </c>
      <c r="H547" s="1390">
        <v>23765</v>
      </c>
      <c r="I547" s="1369">
        <f t="shared" si="71"/>
        <v>49.16218452627224</v>
      </c>
      <c r="J547" s="1445"/>
      <c r="K547" s="1390"/>
      <c r="L547" s="1446"/>
      <c r="M547" s="1390"/>
      <c r="N547" s="1390"/>
      <c r="O547" s="1447"/>
      <c r="P547" s="1389"/>
      <c r="Q547" s="1390"/>
      <c r="R547" s="1454"/>
    </row>
    <row r="548" spans="1:18" ht="12.75">
      <c r="A548" s="1443">
        <v>4280</v>
      </c>
      <c r="B548" s="1451" t="s">
        <v>745</v>
      </c>
      <c r="C548" s="1389">
        <v>12800</v>
      </c>
      <c r="D548" s="830">
        <f t="shared" si="69"/>
        <v>12800</v>
      </c>
      <c r="E548" s="1390">
        <f t="shared" si="75"/>
        <v>3095</v>
      </c>
      <c r="F548" s="1366">
        <f t="shared" si="74"/>
        <v>24.1796875</v>
      </c>
      <c r="G548" s="1389">
        <v>12800</v>
      </c>
      <c r="H548" s="1390">
        <v>3095</v>
      </c>
      <c r="I548" s="1369">
        <f t="shared" si="71"/>
        <v>24.1796875</v>
      </c>
      <c r="J548" s="1445"/>
      <c r="K548" s="1390"/>
      <c r="L548" s="1446"/>
      <c r="M548" s="1390"/>
      <c r="N548" s="1390"/>
      <c r="O548" s="1447"/>
      <c r="P548" s="1389"/>
      <c r="Q548" s="1390"/>
      <c r="R548" s="1454"/>
    </row>
    <row r="549" spans="1:18" ht="12.75">
      <c r="A549" s="1443">
        <v>4300</v>
      </c>
      <c r="B549" s="1451" t="s">
        <v>698</v>
      </c>
      <c r="C549" s="1389">
        <v>370400</v>
      </c>
      <c r="D549" s="830">
        <f t="shared" si="69"/>
        <v>355540</v>
      </c>
      <c r="E549" s="1390">
        <f t="shared" si="75"/>
        <v>179055</v>
      </c>
      <c r="F549" s="1366">
        <f t="shared" si="74"/>
        <v>50.36142206221522</v>
      </c>
      <c r="G549" s="1389">
        <f>370400-3000+1270-5480-1150-6500</f>
        <v>355540</v>
      </c>
      <c r="H549" s="1390">
        <v>179055</v>
      </c>
      <c r="I549" s="1369">
        <f t="shared" si="71"/>
        <v>50.36142206221522</v>
      </c>
      <c r="J549" s="1445"/>
      <c r="K549" s="1390"/>
      <c r="L549" s="1446"/>
      <c r="M549" s="1390"/>
      <c r="N549" s="1390"/>
      <c r="O549" s="1447"/>
      <c r="P549" s="1389"/>
      <c r="Q549" s="1390"/>
      <c r="R549" s="1454"/>
    </row>
    <row r="550" spans="1:18" ht="24">
      <c r="A550" s="1443">
        <v>4350</v>
      </c>
      <c r="B550" s="1451" t="s">
        <v>869</v>
      </c>
      <c r="C550" s="1389">
        <v>10800</v>
      </c>
      <c r="D550" s="830">
        <f t="shared" si="69"/>
        <v>9530</v>
      </c>
      <c r="E550" s="1390">
        <f t="shared" si="75"/>
        <v>4852</v>
      </c>
      <c r="F550" s="1366">
        <f t="shared" si="74"/>
        <v>50.91290661070305</v>
      </c>
      <c r="G550" s="1389">
        <f>10800+610-1880</f>
        <v>9530</v>
      </c>
      <c r="H550" s="1390">
        <v>4852</v>
      </c>
      <c r="I550" s="1369">
        <f t="shared" si="71"/>
        <v>50.91290661070305</v>
      </c>
      <c r="J550" s="1445"/>
      <c r="K550" s="1390"/>
      <c r="L550" s="1446"/>
      <c r="M550" s="1390"/>
      <c r="N550" s="1390"/>
      <c r="O550" s="1447"/>
      <c r="P550" s="1389"/>
      <c r="Q550" s="1390"/>
      <c r="R550" s="1454"/>
    </row>
    <row r="551" spans="1:18" ht="12.75">
      <c r="A551" s="1443">
        <v>4410</v>
      </c>
      <c r="B551" s="1451" t="s">
        <v>672</v>
      </c>
      <c r="C551" s="1389">
        <v>24300</v>
      </c>
      <c r="D551" s="830">
        <f t="shared" si="69"/>
        <v>24300</v>
      </c>
      <c r="E551" s="1390">
        <f t="shared" si="75"/>
        <v>9795</v>
      </c>
      <c r="F551" s="1366">
        <f t="shared" si="74"/>
        <v>40.30864197530864</v>
      </c>
      <c r="G551" s="1389">
        <f>24300-600+600</f>
        <v>24300</v>
      </c>
      <c r="H551" s="1390">
        <v>9795</v>
      </c>
      <c r="I551" s="1369">
        <f t="shared" si="71"/>
        <v>40.30864197530864</v>
      </c>
      <c r="J551" s="1445"/>
      <c r="K551" s="1390"/>
      <c r="L551" s="1446"/>
      <c r="M551" s="1390"/>
      <c r="N551" s="1390"/>
      <c r="O551" s="1447"/>
      <c r="P551" s="1389"/>
      <c r="Q551" s="1390"/>
      <c r="R551" s="1454"/>
    </row>
    <row r="552" spans="1:18" ht="24">
      <c r="A552" s="1443">
        <v>4420</v>
      </c>
      <c r="B552" s="1451" t="s">
        <v>785</v>
      </c>
      <c r="C552" s="1389">
        <v>2800</v>
      </c>
      <c r="D552" s="830">
        <f t="shared" si="69"/>
        <v>2200</v>
      </c>
      <c r="E552" s="1390">
        <f t="shared" si="75"/>
        <v>675</v>
      </c>
      <c r="F552" s="1366">
        <f t="shared" si="74"/>
        <v>30.681818181818183</v>
      </c>
      <c r="G552" s="1389">
        <f>2800-600</f>
        <v>2200</v>
      </c>
      <c r="H552" s="1390">
        <v>675</v>
      </c>
      <c r="I552" s="1369">
        <f t="shared" si="71"/>
        <v>30.681818181818183</v>
      </c>
      <c r="J552" s="1445"/>
      <c r="K552" s="1390"/>
      <c r="L552" s="1446"/>
      <c r="M552" s="1390"/>
      <c r="N552" s="1390"/>
      <c r="O552" s="1447"/>
      <c r="P552" s="1389"/>
      <c r="Q552" s="1390"/>
      <c r="R552" s="1454"/>
    </row>
    <row r="553" spans="1:18" ht="12.75" hidden="1">
      <c r="A553" s="1443">
        <v>4430</v>
      </c>
      <c r="B553" s="1451" t="s">
        <v>700</v>
      </c>
      <c r="C553" s="1389"/>
      <c r="D553" s="830">
        <f t="shared" si="69"/>
        <v>0</v>
      </c>
      <c r="E553" s="1390">
        <f t="shared" si="75"/>
        <v>0</v>
      </c>
      <c r="F553" s="1366" t="e">
        <f t="shared" si="74"/>
        <v>#DIV/0!</v>
      </c>
      <c r="G553" s="1389"/>
      <c r="H553" s="1390"/>
      <c r="I553" s="1369" t="e">
        <f t="shared" si="71"/>
        <v>#DIV/0!</v>
      </c>
      <c r="J553" s="1445"/>
      <c r="K553" s="1390"/>
      <c r="L553" s="1446"/>
      <c r="M553" s="1390"/>
      <c r="N553" s="1390"/>
      <c r="O553" s="1447"/>
      <c r="P553" s="1389"/>
      <c r="Q553" s="1390"/>
      <c r="R553" s="1454"/>
    </row>
    <row r="554" spans="1:18" s="1435" customFormat="1" ht="12.75">
      <c r="A554" s="1443">
        <v>4440</v>
      </c>
      <c r="B554" s="1451" t="s">
        <v>702</v>
      </c>
      <c r="C554" s="1389">
        <v>676500</v>
      </c>
      <c r="D554" s="830">
        <f t="shared" si="69"/>
        <v>678750</v>
      </c>
      <c r="E554" s="1390">
        <f t="shared" si="75"/>
        <v>561870</v>
      </c>
      <c r="F554" s="1366">
        <f t="shared" si="74"/>
        <v>82.78011049723757</v>
      </c>
      <c r="G554" s="1389">
        <f>676500+1100+1150</f>
        <v>678750</v>
      </c>
      <c r="H554" s="1390">
        <v>561870</v>
      </c>
      <c r="I554" s="1369">
        <f t="shared" si="71"/>
        <v>82.78011049723757</v>
      </c>
      <c r="J554" s="1445"/>
      <c r="K554" s="1390"/>
      <c r="L554" s="1446"/>
      <c r="M554" s="1390"/>
      <c r="N554" s="1390"/>
      <c r="O554" s="1447"/>
      <c r="P554" s="1389"/>
      <c r="Q554" s="1390"/>
      <c r="R554" s="1454"/>
    </row>
    <row r="555" spans="1:18" s="1435" customFormat="1" ht="24">
      <c r="A555" s="1443">
        <v>6050</v>
      </c>
      <c r="B555" s="1451" t="s">
        <v>767</v>
      </c>
      <c r="C555" s="1389">
        <v>24400</v>
      </c>
      <c r="D555" s="830">
        <f t="shared" si="69"/>
        <v>53710</v>
      </c>
      <c r="E555" s="1390">
        <f t="shared" si="75"/>
        <v>14224</v>
      </c>
      <c r="F555" s="1366">
        <f t="shared" si="74"/>
        <v>26.482964066281884</v>
      </c>
      <c r="G555" s="1389">
        <f>24400+1310+28000</f>
        <v>53710</v>
      </c>
      <c r="H555" s="1390">
        <v>14224</v>
      </c>
      <c r="I555" s="1369">
        <f t="shared" si="71"/>
        <v>26.482964066281884</v>
      </c>
      <c r="J555" s="1445"/>
      <c r="K555" s="1390"/>
      <c r="L555" s="1446"/>
      <c r="M555" s="1390"/>
      <c r="N555" s="1390"/>
      <c r="O555" s="1447"/>
      <c r="P555" s="1389"/>
      <c r="Q555" s="1390"/>
      <c r="R555" s="1454"/>
    </row>
    <row r="556" spans="1:18" s="1435" customFormat="1" ht="36" hidden="1">
      <c r="A556" s="1443">
        <v>6060</v>
      </c>
      <c r="B556" s="1451" t="s">
        <v>841</v>
      </c>
      <c r="C556" s="1389"/>
      <c r="D556" s="830">
        <f t="shared" si="69"/>
        <v>0</v>
      </c>
      <c r="E556" s="1390">
        <f>SUM(H556+K556+N556+Q556)</f>
        <v>0</v>
      </c>
      <c r="F556" s="1366" t="e">
        <f>E556/D556*100</f>
        <v>#DIV/0!</v>
      </c>
      <c r="G556" s="1389">
        <f>2460-2460</f>
        <v>0</v>
      </c>
      <c r="H556" s="1390"/>
      <c r="I556" s="1369" t="e">
        <f t="shared" si="71"/>
        <v>#DIV/0!</v>
      </c>
      <c r="J556" s="1445"/>
      <c r="K556" s="1390"/>
      <c r="L556" s="1446"/>
      <c r="M556" s="1390"/>
      <c r="N556" s="1390"/>
      <c r="O556" s="1447"/>
      <c r="P556" s="1389"/>
      <c r="Q556" s="1390"/>
      <c r="R556" s="1454"/>
    </row>
    <row r="557" spans="1:18" s="1564" customFormat="1" ht="12.75">
      <c r="A557" s="1436">
        <v>80111</v>
      </c>
      <c r="B557" s="1529" t="s">
        <v>878</v>
      </c>
      <c r="C557" s="1438">
        <f>SUM(C558:C573)</f>
        <v>1769500</v>
      </c>
      <c r="D557" s="845">
        <f t="shared" si="69"/>
        <v>1790017</v>
      </c>
      <c r="E557" s="1380">
        <f>H557+K557+Q557+N557</f>
        <v>943267</v>
      </c>
      <c r="F557" s="1381">
        <f t="shared" si="74"/>
        <v>52.69597998231301</v>
      </c>
      <c r="G557" s="1474"/>
      <c r="H557" s="1477"/>
      <c r="I557" s="1575"/>
      <c r="J557" s="1476"/>
      <c r="K557" s="1477"/>
      <c r="L557" s="1575"/>
      <c r="M557" s="1380">
        <f>SUM(M558:M573)</f>
        <v>1790017</v>
      </c>
      <c r="N557" s="1380">
        <f>SUM(N558:N573)</f>
        <v>943267</v>
      </c>
      <c r="O557" s="1388">
        <f aca="true" t="shared" si="76" ref="O557:O576">N557/M557*100</f>
        <v>52.69597998231301</v>
      </c>
      <c r="P557" s="1438"/>
      <c r="Q557" s="1380"/>
      <c r="R557" s="1478"/>
    </row>
    <row r="558" spans="1:18" s="1564" customFormat="1" ht="36">
      <c r="A558" s="1422">
        <v>3020</v>
      </c>
      <c r="B558" s="1451" t="s">
        <v>1266</v>
      </c>
      <c r="C558" s="1393">
        <v>10400</v>
      </c>
      <c r="D558" s="869">
        <f t="shared" si="69"/>
        <v>10400</v>
      </c>
      <c r="E558" s="1407">
        <f aca="true" t="shared" si="77" ref="E558:E573">SUM(H558+K558+N558+Q558)</f>
        <v>863</v>
      </c>
      <c r="F558" s="1391">
        <f t="shared" si="74"/>
        <v>8.298076923076923</v>
      </c>
      <c r="G558" s="1393"/>
      <c r="H558" s="1407"/>
      <c r="I558" s="1543"/>
      <c r="J558" s="1548"/>
      <c r="K558" s="1407"/>
      <c r="L558" s="1543"/>
      <c r="M558" s="1393">
        <v>10400</v>
      </c>
      <c r="N558" s="1407">
        <v>863</v>
      </c>
      <c r="O558" s="1374">
        <f t="shared" si="76"/>
        <v>8.298076923076923</v>
      </c>
      <c r="P558" s="1393"/>
      <c r="Q558" s="1407"/>
      <c r="R558" s="1550"/>
    </row>
    <row r="559" spans="1:18" s="1564" customFormat="1" ht="24">
      <c r="A559" s="1443">
        <v>4010</v>
      </c>
      <c r="B559" s="1451" t="s">
        <v>680</v>
      </c>
      <c r="C559" s="1389">
        <v>1182000</v>
      </c>
      <c r="D559" s="830">
        <f t="shared" si="69"/>
        <v>1182000</v>
      </c>
      <c r="E559" s="1390">
        <f t="shared" si="77"/>
        <v>563379</v>
      </c>
      <c r="F559" s="1366">
        <f t="shared" si="74"/>
        <v>47.66319796954315</v>
      </c>
      <c r="G559" s="1389"/>
      <c r="H559" s="1390"/>
      <c r="I559" s="1446"/>
      <c r="J559" s="1445"/>
      <c r="K559" s="1390"/>
      <c r="L559" s="1446"/>
      <c r="M559" s="1389">
        <v>1182000</v>
      </c>
      <c r="N559" s="1390">
        <v>563379</v>
      </c>
      <c r="O559" s="1395">
        <f t="shared" si="76"/>
        <v>47.66319796954315</v>
      </c>
      <c r="P559" s="1389"/>
      <c r="Q559" s="1390"/>
      <c r="R559" s="1454"/>
    </row>
    <row r="560" spans="1:18" s="1564" customFormat="1" ht="24">
      <c r="A560" s="1443">
        <v>4040</v>
      </c>
      <c r="B560" s="1451" t="s">
        <v>684</v>
      </c>
      <c r="C560" s="1389">
        <v>75500</v>
      </c>
      <c r="D560" s="830">
        <f t="shared" si="69"/>
        <v>93667</v>
      </c>
      <c r="E560" s="1390">
        <f t="shared" si="77"/>
        <v>93667</v>
      </c>
      <c r="F560" s="1366">
        <f t="shared" si="74"/>
        <v>100</v>
      </c>
      <c r="G560" s="1389"/>
      <c r="H560" s="1390"/>
      <c r="I560" s="1446"/>
      <c r="J560" s="1445"/>
      <c r="K560" s="1390"/>
      <c r="L560" s="1446"/>
      <c r="M560" s="1389">
        <f>75500+18167</f>
        <v>93667</v>
      </c>
      <c r="N560" s="1390">
        <v>93667</v>
      </c>
      <c r="O560" s="1369">
        <f t="shared" si="76"/>
        <v>100</v>
      </c>
      <c r="P560" s="1389"/>
      <c r="Q560" s="1390"/>
      <c r="R560" s="1454"/>
    </row>
    <row r="561" spans="1:18" s="1564" customFormat="1" ht="24">
      <c r="A561" s="1443">
        <v>4110</v>
      </c>
      <c r="B561" s="1451" t="s">
        <v>686</v>
      </c>
      <c r="C561" s="1389">
        <v>225000</v>
      </c>
      <c r="D561" s="830">
        <f t="shared" si="69"/>
        <v>226700</v>
      </c>
      <c r="E561" s="1390">
        <f t="shared" si="77"/>
        <v>117096</v>
      </c>
      <c r="F561" s="1366">
        <f t="shared" si="74"/>
        <v>51.65240405822673</v>
      </c>
      <c r="G561" s="1389"/>
      <c r="H561" s="1390"/>
      <c r="I561" s="1446"/>
      <c r="J561" s="1445"/>
      <c r="K561" s="1390"/>
      <c r="L561" s="1446"/>
      <c r="M561" s="1389">
        <f>225000+1700</f>
        <v>226700</v>
      </c>
      <c r="N561" s="1390">
        <v>117096</v>
      </c>
      <c r="O561" s="1395">
        <f t="shared" si="76"/>
        <v>51.65240405822673</v>
      </c>
      <c r="P561" s="1389"/>
      <c r="Q561" s="1390"/>
      <c r="R561" s="1454"/>
    </row>
    <row r="562" spans="1:18" s="1564" customFormat="1" ht="15.75" customHeight="1">
      <c r="A562" s="1443">
        <v>4120</v>
      </c>
      <c r="B562" s="1451" t="s">
        <v>781</v>
      </c>
      <c r="C562" s="1389">
        <v>31000</v>
      </c>
      <c r="D562" s="830">
        <f t="shared" si="69"/>
        <v>31250</v>
      </c>
      <c r="E562" s="1390">
        <f t="shared" si="77"/>
        <v>16483</v>
      </c>
      <c r="F562" s="1366">
        <f t="shared" si="74"/>
        <v>52.7456</v>
      </c>
      <c r="G562" s="1389"/>
      <c r="H562" s="1390"/>
      <c r="I562" s="1446"/>
      <c r="J562" s="1445"/>
      <c r="K562" s="1390"/>
      <c r="L562" s="1446"/>
      <c r="M562" s="1389">
        <f>31000+250</f>
        <v>31250</v>
      </c>
      <c r="N562" s="1390">
        <v>16483</v>
      </c>
      <c r="O562" s="1395">
        <f t="shared" si="76"/>
        <v>52.7456</v>
      </c>
      <c r="P562" s="1389"/>
      <c r="Q562" s="1390"/>
      <c r="R562" s="1454"/>
    </row>
    <row r="563" spans="1:18" s="1564" customFormat="1" ht="15.75" customHeight="1">
      <c r="A563" s="1443">
        <v>4140</v>
      </c>
      <c r="B563" s="1451" t="s">
        <v>743</v>
      </c>
      <c r="C563" s="1389">
        <v>1900</v>
      </c>
      <c r="D563" s="830">
        <f t="shared" si="69"/>
        <v>1900</v>
      </c>
      <c r="E563" s="1390">
        <f t="shared" si="77"/>
        <v>787</v>
      </c>
      <c r="F563" s="1366">
        <f t="shared" si="74"/>
        <v>41.421052631578945</v>
      </c>
      <c r="G563" s="1389"/>
      <c r="H563" s="1390"/>
      <c r="I563" s="1446"/>
      <c r="J563" s="1445"/>
      <c r="K563" s="1390"/>
      <c r="L563" s="1446"/>
      <c r="M563" s="1389">
        <v>1900</v>
      </c>
      <c r="N563" s="1390">
        <v>787</v>
      </c>
      <c r="O563" s="1395">
        <f t="shared" si="76"/>
        <v>41.421052631578945</v>
      </c>
      <c r="P563" s="1445"/>
      <c r="Q563" s="1390"/>
      <c r="R563" s="1454"/>
    </row>
    <row r="564" spans="1:18" s="1564" customFormat="1" ht="24">
      <c r="A564" s="1443">
        <v>4210</v>
      </c>
      <c r="B564" s="1451" t="s">
        <v>690</v>
      </c>
      <c r="C564" s="1389">
        <v>24400</v>
      </c>
      <c r="D564" s="830">
        <f t="shared" si="69"/>
        <v>24400</v>
      </c>
      <c r="E564" s="1390">
        <f t="shared" si="77"/>
        <v>13885</v>
      </c>
      <c r="F564" s="1366">
        <f t="shared" si="74"/>
        <v>56.90573770491804</v>
      </c>
      <c r="G564" s="1389"/>
      <c r="H564" s="1390"/>
      <c r="I564" s="1446"/>
      <c r="J564" s="1445"/>
      <c r="K564" s="1390"/>
      <c r="L564" s="1446"/>
      <c r="M564" s="1389">
        <v>24400</v>
      </c>
      <c r="N564" s="1390">
        <v>13885</v>
      </c>
      <c r="O564" s="1395">
        <f t="shared" si="76"/>
        <v>56.90573770491804</v>
      </c>
      <c r="P564" s="1390"/>
      <c r="Q564" s="1390"/>
      <c r="R564" s="1454"/>
    </row>
    <row r="565" spans="1:18" s="1564" customFormat="1" ht="36">
      <c r="A565" s="1443">
        <v>4240</v>
      </c>
      <c r="B565" s="1451" t="s">
        <v>877</v>
      </c>
      <c r="C565" s="1389">
        <v>5500</v>
      </c>
      <c r="D565" s="830">
        <f t="shared" si="69"/>
        <v>5500</v>
      </c>
      <c r="E565" s="1390">
        <f t="shared" si="77"/>
        <v>547</v>
      </c>
      <c r="F565" s="1366">
        <f t="shared" si="74"/>
        <v>9.945454545454545</v>
      </c>
      <c r="G565" s="1389"/>
      <c r="H565" s="1390"/>
      <c r="I565" s="1446"/>
      <c r="J565" s="1445"/>
      <c r="K565" s="1390"/>
      <c r="L565" s="1446"/>
      <c r="M565" s="1389">
        <v>5500</v>
      </c>
      <c r="N565" s="1390">
        <v>547</v>
      </c>
      <c r="O565" s="1395">
        <f t="shared" si="76"/>
        <v>9.945454545454545</v>
      </c>
      <c r="P565" s="1390"/>
      <c r="Q565" s="1390"/>
      <c r="R565" s="1454"/>
    </row>
    <row r="566" spans="1:18" s="1564" customFormat="1" ht="18.75" customHeight="1">
      <c r="A566" s="1443">
        <v>4260</v>
      </c>
      <c r="B566" s="1451" t="s">
        <v>694</v>
      </c>
      <c r="C566" s="1389">
        <v>89200</v>
      </c>
      <c r="D566" s="830">
        <f t="shared" si="69"/>
        <v>89200</v>
      </c>
      <c r="E566" s="1390">
        <f t="shared" si="77"/>
        <v>59961</v>
      </c>
      <c r="F566" s="1366">
        <f t="shared" si="74"/>
        <v>67.22085201793722</v>
      </c>
      <c r="G566" s="1389"/>
      <c r="H566" s="1390"/>
      <c r="I566" s="1446"/>
      <c r="J566" s="1445"/>
      <c r="K566" s="1390"/>
      <c r="L566" s="1446"/>
      <c r="M566" s="1389">
        <v>89200</v>
      </c>
      <c r="N566" s="1390">
        <v>59961</v>
      </c>
      <c r="O566" s="1395">
        <f t="shared" si="76"/>
        <v>67.22085201793722</v>
      </c>
      <c r="P566" s="1390"/>
      <c r="Q566" s="1390"/>
      <c r="R566" s="1454"/>
    </row>
    <row r="567" spans="1:18" s="1564" customFormat="1" ht="18.75" customHeight="1">
      <c r="A567" s="1443">
        <v>4270</v>
      </c>
      <c r="B567" s="1451" t="s">
        <v>696</v>
      </c>
      <c r="C567" s="1389">
        <v>5000</v>
      </c>
      <c r="D567" s="830">
        <f t="shared" si="69"/>
        <v>5000</v>
      </c>
      <c r="E567" s="1390">
        <f t="shared" si="77"/>
        <v>740</v>
      </c>
      <c r="F567" s="1366">
        <f t="shared" si="74"/>
        <v>14.799999999999999</v>
      </c>
      <c r="G567" s="1389"/>
      <c r="H567" s="1390"/>
      <c r="I567" s="1446"/>
      <c r="J567" s="1445"/>
      <c r="K567" s="1390"/>
      <c r="L567" s="1446"/>
      <c r="M567" s="1389">
        <v>5000</v>
      </c>
      <c r="N567" s="1390">
        <v>740</v>
      </c>
      <c r="O567" s="1369">
        <f t="shared" si="76"/>
        <v>14.799999999999999</v>
      </c>
      <c r="P567" s="1390"/>
      <c r="Q567" s="1390"/>
      <c r="R567" s="1454"/>
    </row>
    <row r="568" spans="1:18" s="1564" customFormat="1" ht="18.75" customHeight="1">
      <c r="A568" s="1443">
        <v>4280</v>
      </c>
      <c r="B568" s="1451" t="s">
        <v>745</v>
      </c>
      <c r="C568" s="1389">
        <v>2300</v>
      </c>
      <c r="D568" s="830">
        <f t="shared" si="69"/>
        <v>2300</v>
      </c>
      <c r="E568" s="1390">
        <f t="shared" si="77"/>
        <v>170</v>
      </c>
      <c r="F568" s="1366">
        <f t="shared" si="74"/>
        <v>7.391304347826087</v>
      </c>
      <c r="G568" s="1389"/>
      <c r="H568" s="1390"/>
      <c r="I568" s="1446"/>
      <c r="J568" s="1445"/>
      <c r="K568" s="1390"/>
      <c r="L568" s="1446"/>
      <c r="M568" s="1389">
        <v>2300</v>
      </c>
      <c r="N568" s="1390">
        <v>170</v>
      </c>
      <c r="O568" s="1369">
        <f t="shared" si="76"/>
        <v>7.391304347826087</v>
      </c>
      <c r="P568" s="1390"/>
      <c r="Q568" s="1390"/>
      <c r="R568" s="1454"/>
    </row>
    <row r="569" spans="1:18" s="1564" customFormat="1" ht="18.75" customHeight="1">
      <c r="A569" s="1443">
        <v>4300</v>
      </c>
      <c r="B569" s="1451" t="s">
        <v>698</v>
      </c>
      <c r="C569" s="1389">
        <v>49200</v>
      </c>
      <c r="D569" s="830">
        <f t="shared" si="69"/>
        <v>49200</v>
      </c>
      <c r="E569" s="1390">
        <f t="shared" si="77"/>
        <v>24406</v>
      </c>
      <c r="F569" s="1366">
        <f t="shared" si="74"/>
        <v>49.605691056910565</v>
      </c>
      <c r="G569" s="1389"/>
      <c r="H569" s="1390"/>
      <c r="I569" s="1446"/>
      <c r="J569" s="1445"/>
      <c r="K569" s="1390"/>
      <c r="L569" s="1446"/>
      <c r="M569" s="1389">
        <v>49200</v>
      </c>
      <c r="N569" s="1390">
        <v>24406</v>
      </c>
      <c r="O569" s="1395">
        <f t="shared" si="76"/>
        <v>49.605691056910565</v>
      </c>
      <c r="P569" s="1390"/>
      <c r="Q569" s="1390"/>
      <c r="R569" s="1454"/>
    </row>
    <row r="570" spans="1:18" s="1564" customFormat="1" ht="24">
      <c r="A570" s="1443">
        <v>4350</v>
      </c>
      <c r="B570" s="1451" t="s">
        <v>869</v>
      </c>
      <c r="C570" s="1389">
        <v>2200</v>
      </c>
      <c r="D570" s="830">
        <f t="shared" si="69"/>
        <v>2200</v>
      </c>
      <c r="E570" s="1390">
        <f t="shared" si="77"/>
        <v>724</v>
      </c>
      <c r="F570" s="1366">
        <f t="shared" si="74"/>
        <v>32.90909090909091</v>
      </c>
      <c r="G570" s="1389"/>
      <c r="H570" s="1390"/>
      <c r="I570" s="1446"/>
      <c r="J570" s="1445"/>
      <c r="K570" s="1390"/>
      <c r="L570" s="1446"/>
      <c r="M570" s="1389">
        <v>2200</v>
      </c>
      <c r="N570" s="1390">
        <v>724</v>
      </c>
      <c r="O570" s="1369">
        <f t="shared" si="76"/>
        <v>32.90909090909091</v>
      </c>
      <c r="P570" s="1390"/>
      <c r="Q570" s="1390"/>
      <c r="R570" s="1454"/>
    </row>
    <row r="571" spans="1:18" s="1564" customFormat="1" ht="18.75" customHeight="1">
      <c r="A571" s="1443">
        <v>4410</v>
      </c>
      <c r="B571" s="1451" t="s">
        <v>672</v>
      </c>
      <c r="C571" s="1389">
        <v>1000</v>
      </c>
      <c r="D571" s="830">
        <f aca="true" t="shared" si="78" ref="D571:D576">G571+J571+P571+M571</f>
        <v>1000</v>
      </c>
      <c r="E571" s="1390">
        <f t="shared" si="77"/>
        <v>253</v>
      </c>
      <c r="F571" s="1366">
        <f t="shared" si="74"/>
        <v>25.3</v>
      </c>
      <c r="G571" s="1389"/>
      <c r="H571" s="1390"/>
      <c r="I571" s="1446"/>
      <c r="J571" s="1445"/>
      <c r="K571" s="1390"/>
      <c r="L571" s="1446"/>
      <c r="M571" s="1389">
        <v>1000</v>
      </c>
      <c r="N571" s="1390">
        <v>253</v>
      </c>
      <c r="O571" s="1395">
        <f t="shared" si="76"/>
        <v>25.3</v>
      </c>
      <c r="P571" s="1390"/>
      <c r="Q571" s="1390"/>
      <c r="R571" s="1454"/>
    </row>
    <row r="572" spans="1:18" s="1564" customFormat="1" ht="36" hidden="1">
      <c r="A572" s="1443">
        <v>6060</v>
      </c>
      <c r="B572" s="1451" t="s">
        <v>841</v>
      </c>
      <c r="C572" s="1389"/>
      <c r="D572" s="830">
        <f t="shared" si="78"/>
        <v>0</v>
      </c>
      <c r="E572" s="1390">
        <f t="shared" si="77"/>
        <v>0</v>
      </c>
      <c r="F572" s="1366" t="e">
        <f t="shared" si="74"/>
        <v>#DIV/0!</v>
      </c>
      <c r="G572" s="1389"/>
      <c r="H572" s="1390"/>
      <c r="I572" s="1446"/>
      <c r="J572" s="1445"/>
      <c r="K572" s="1390"/>
      <c r="L572" s="1446"/>
      <c r="M572" s="1389"/>
      <c r="N572" s="1390"/>
      <c r="O572" s="1369" t="e">
        <f t="shared" si="76"/>
        <v>#DIV/0!</v>
      </c>
      <c r="P572" s="1390"/>
      <c r="Q572" s="1390"/>
      <c r="R572" s="1454"/>
    </row>
    <row r="573" spans="1:18" s="1564" customFormat="1" ht="18.75" customHeight="1">
      <c r="A573" s="1492">
        <v>4440</v>
      </c>
      <c r="B573" s="1493" t="s">
        <v>702</v>
      </c>
      <c r="C573" s="1494">
        <v>64900</v>
      </c>
      <c r="D573" s="862">
        <f t="shared" si="78"/>
        <v>65300</v>
      </c>
      <c r="E573" s="1487">
        <f t="shared" si="77"/>
        <v>50306</v>
      </c>
      <c r="F573" s="1419">
        <f t="shared" si="74"/>
        <v>77.03828483920367</v>
      </c>
      <c r="G573" s="1494"/>
      <c r="H573" s="1487"/>
      <c r="I573" s="1551"/>
      <c r="J573" s="1495"/>
      <c r="K573" s="1487"/>
      <c r="L573" s="1551"/>
      <c r="M573" s="1494">
        <f>64900+400</f>
        <v>65300</v>
      </c>
      <c r="N573" s="1487">
        <v>50306</v>
      </c>
      <c r="O573" s="1666">
        <f t="shared" si="76"/>
        <v>77.03828483920367</v>
      </c>
      <c r="P573" s="1487"/>
      <c r="Q573" s="1487"/>
      <c r="R573" s="1539"/>
    </row>
    <row r="574" spans="1:18" s="1564" customFormat="1" ht="15.75" customHeight="1">
      <c r="A574" s="1436">
        <v>80120</v>
      </c>
      <c r="B574" s="1529" t="s">
        <v>305</v>
      </c>
      <c r="C574" s="1438">
        <f>SUM(C575:C596)</f>
        <v>12050900</v>
      </c>
      <c r="D574" s="845">
        <f t="shared" si="78"/>
        <v>12456579</v>
      </c>
      <c r="E574" s="1380">
        <f>H574+K574+Q574+N574</f>
        <v>6667168</v>
      </c>
      <c r="F574" s="1381">
        <f t="shared" si="74"/>
        <v>53.52326670107419</v>
      </c>
      <c r="G574" s="1474"/>
      <c r="H574" s="1477"/>
      <c r="I574" s="1575"/>
      <c r="J574" s="1476"/>
      <c r="K574" s="1477"/>
      <c r="L574" s="1575"/>
      <c r="M574" s="1438">
        <f>SUM(M575:M596)</f>
        <v>12456579</v>
      </c>
      <c r="N574" s="1380">
        <f>SUM(N575:N596)</f>
        <v>6667168</v>
      </c>
      <c r="O574" s="1388">
        <f t="shared" si="76"/>
        <v>53.52326670107419</v>
      </c>
      <c r="P574" s="1380"/>
      <c r="Q574" s="1380"/>
      <c r="R574" s="1478"/>
    </row>
    <row r="575" spans="1:18" s="1564" customFormat="1" ht="36">
      <c r="A575" s="1443">
        <v>2540</v>
      </c>
      <c r="B575" s="1451" t="s">
        <v>867</v>
      </c>
      <c r="C575" s="1389">
        <v>1200000</v>
      </c>
      <c r="D575" s="830">
        <f t="shared" si="78"/>
        <v>1486385</v>
      </c>
      <c r="E575" s="1390">
        <f aca="true" t="shared" si="79" ref="E575:E596">SUM(H575+K575+N575+Q575)</f>
        <v>738016</v>
      </c>
      <c r="F575" s="1366">
        <f t="shared" si="74"/>
        <v>49.65173895054108</v>
      </c>
      <c r="G575" s="1389"/>
      <c r="H575" s="1390"/>
      <c r="I575" s="1446"/>
      <c r="J575" s="1445"/>
      <c r="K575" s="1390"/>
      <c r="L575" s="1446"/>
      <c r="M575" s="1389">
        <v>1486385</v>
      </c>
      <c r="N575" s="1390">
        <v>738016</v>
      </c>
      <c r="O575" s="1395">
        <f t="shared" si="76"/>
        <v>49.65173895054108</v>
      </c>
      <c r="P575" s="1390"/>
      <c r="Q575" s="1390"/>
      <c r="R575" s="1454"/>
    </row>
    <row r="576" spans="1:18" s="1564" customFormat="1" ht="36">
      <c r="A576" s="1443">
        <v>3020</v>
      </c>
      <c r="B576" s="1451" t="s">
        <v>1266</v>
      </c>
      <c r="C576" s="1389">
        <v>42300</v>
      </c>
      <c r="D576" s="830">
        <f t="shared" si="78"/>
        <v>54840</v>
      </c>
      <c r="E576" s="1390">
        <f t="shared" si="79"/>
        <v>11602</v>
      </c>
      <c r="F576" s="1366">
        <f t="shared" si="74"/>
        <v>21.156090444930708</v>
      </c>
      <c r="G576" s="1389"/>
      <c r="H576" s="1390"/>
      <c r="I576" s="1446"/>
      <c r="J576" s="1445"/>
      <c r="K576" s="1390"/>
      <c r="L576" s="1446"/>
      <c r="M576" s="1389">
        <v>54840</v>
      </c>
      <c r="N576" s="1390">
        <v>11602</v>
      </c>
      <c r="O576" s="1395">
        <f t="shared" si="76"/>
        <v>21.156090444930708</v>
      </c>
      <c r="P576" s="1390"/>
      <c r="Q576" s="1390"/>
      <c r="R576" s="1454"/>
    </row>
    <row r="577" spans="1:18" s="1564" customFormat="1" ht="24" hidden="1">
      <c r="A577" s="1443">
        <v>3030</v>
      </c>
      <c r="B577" s="1451" t="s">
        <v>678</v>
      </c>
      <c r="C577" s="1389"/>
      <c r="D577" s="830"/>
      <c r="E577" s="1390" t="s">
        <v>778</v>
      </c>
      <c r="F577" s="1366" t="s">
        <v>778</v>
      </c>
      <c r="G577" s="1389"/>
      <c r="H577" s="1390"/>
      <c r="I577" s="1446"/>
      <c r="J577" s="1445"/>
      <c r="K577" s="1390"/>
      <c r="L577" s="1446"/>
      <c r="M577" s="1389"/>
      <c r="N577" s="1390"/>
      <c r="O577" s="1395"/>
      <c r="P577" s="1390"/>
      <c r="Q577" s="1390"/>
      <c r="R577" s="1454"/>
    </row>
    <row r="578" spans="1:18" s="1564" customFormat="1" ht="24">
      <c r="A578" s="1443">
        <v>4010</v>
      </c>
      <c r="B578" s="1451" t="s">
        <v>680</v>
      </c>
      <c r="C578" s="1389">
        <v>7150000</v>
      </c>
      <c r="D578" s="830">
        <f aca="true" t="shared" si="80" ref="D578:D596">G578+J578+P578+M578</f>
        <v>7160102</v>
      </c>
      <c r="E578" s="1390">
        <f t="shared" si="79"/>
        <v>3544906</v>
      </c>
      <c r="F578" s="1366">
        <f t="shared" si="74"/>
        <v>49.509155037176846</v>
      </c>
      <c r="G578" s="1389"/>
      <c r="H578" s="1390"/>
      <c r="I578" s="1446"/>
      <c r="J578" s="1445"/>
      <c r="K578" s="1390"/>
      <c r="L578" s="1446"/>
      <c r="M578" s="1389">
        <f>7150000+7882+2220</f>
        <v>7160102</v>
      </c>
      <c r="N578" s="1390">
        <v>3544906</v>
      </c>
      <c r="O578" s="1395">
        <f aca="true" t="shared" si="81" ref="O578:O630">N578/M578*100</f>
        <v>49.509155037176846</v>
      </c>
      <c r="P578" s="1390"/>
      <c r="Q578" s="1390"/>
      <c r="R578" s="1454"/>
    </row>
    <row r="579" spans="1:18" s="1564" customFormat="1" ht="24">
      <c r="A579" s="1443">
        <v>4040</v>
      </c>
      <c r="B579" s="1451" t="s">
        <v>684</v>
      </c>
      <c r="C579" s="1389">
        <v>565000</v>
      </c>
      <c r="D579" s="830">
        <f t="shared" si="80"/>
        <v>550010</v>
      </c>
      <c r="E579" s="1390">
        <f t="shared" si="79"/>
        <v>550009</v>
      </c>
      <c r="F579" s="1366">
        <f t="shared" si="74"/>
        <v>99.99981818512391</v>
      </c>
      <c r="G579" s="1389"/>
      <c r="H579" s="1390"/>
      <c r="I579" s="1446"/>
      <c r="J579" s="1445"/>
      <c r="K579" s="1390"/>
      <c r="L579" s="1446"/>
      <c r="M579" s="1389">
        <f>565000-10128-4862</f>
        <v>550010</v>
      </c>
      <c r="N579" s="1390">
        <v>550009</v>
      </c>
      <c r="O579" s="1584">
        <f t="shared" si="81"/>
        <v>99.99981818512391</v>
      </c>
      <c r="P579" s="1390"/>
      <c r="Q579" s="1390"/>
      <c r="R579" s="1454"/>
    </row>
    <row r="580" spans="1:18" s="1564" customFormat="1" ht="24">
      <c r="A580" s="1443">
        <v>4110</v>
      </c>
      <c r="B580" s="1451" t="s">
        <v>686</v>
      </c>
      <c r="C580" s="1389">
        <v>1382000</v>
      </c>
      <c r="D580" s="830">
        <f t="shared" si="80"/>
        <v>1380673</v>
      </c>
      <c r="E580" s="1390">
        <f t="shared" si="79"/>
        <v>710071</v>
      </c>
      <c r="F580" s="1366">
        <f t="shared" si="74"/>
        <v>51.42933917010038</v>
      </c>
      <c r="G580" s="1389"/>
      <c r="H580" s="1390"/>
      <c r="I580" s="1446"/>
      <c r="J580" s="1445"/>
      <c r="K580" s="1390"/>
      <c r="L580" s="1446"/>
      <c r="M580" s="1389">
        <f>1382000-1327</f>
        <v>1380673</v>
      </c>
      <c r="N580" s="1390">
        <v>710071</v>
      </c>
      <c r="O580" s="1395">
        <f t="shared" si="81"/>
        <v>51.42933917010038</v>
      </c>
      <c r="P580" s="1390"/>
      <c r="Q580" s="1390"/>
      <c r="R580" s="1454"/>
    </row>
    <row r="581" spans="1:18" s="1564" customFormat="1" ht="12.75">
      <c r="A581" s="1443">
        <v>4120</v>
      </c>
      <c r="B581" s="1451" t="s">
        <v>781</v>
      </c>
      <c r="C581" s="1389">
        <v>186000</v>
      </c>
      <c r="D581" s="830">
        <f t="shared" si="80"/>
        <v>186000</v>
      </c>
      <c r="E581" s="1390">
        <f t="shared" si="79"/>
        <v>99287</v>
      </c>
      <c r="F581" s="1366">
        <f t="shared" si="74"/>
        <v>53.380107526881716</v>
      </c>
      <c r="G581" s="1389"/>
      <c r="H581" s="1390"/>
      <c r="I581" s="1446"/>
      <c r="J581" s="1445"/>
      <c r="K581" s="1390"/>
      <c r="L581" s="1446"/>
      <c r="M581" s="1389">
        <v>186000</v>
      </c>
      <c r="N581" s="1390">
        <v>99287</v>
      </c>
      <c r="O581" s="1395">
        <f t="shared" si="81"/>
        <v>53.380107526881716</v>
      </c>
      <c r="P581" s="1390"/>
      <c r="Q581" s="1390"/>
      <c r="R581" s="1454"/>
    </row>
    <row r="582" spans="1:18" s="1564" customFormat="1" ht="24" hidden="1">
      <c r="A582" s="1443">
        <v>4170</v>
      </c>
      <c r="B582" s="1451" t="s">
        <v>744</v>
      </c>
      <c r="C582" s="1389"/>
      <c r="D582" s="830">
        <f t="shared" si="80"/>
        <v>0</v>
      </c>
      <c r="E582" s="1390">
        <f t="shared" si="79"/>
        <v>0</v>
      </c>
      <c r="F582" s="1366" t="e">
        <f t="shared" si="74"/>
        <v>#DIV/0!</v>
      </c>
      <c r="G582" s="1389"/>
      <c r="H582" s="1390"/>
      <c r="I582" s="1446"/>
      <c r="J582" s="1445"/>
      <c r="K582" s="1390"/>
      <c r="L582" s="1446"/>
      <c r="M582" s="1389"/>
      <c r="N582" s="1390"/>
      <c r="O582" s="1395" t="e">
        <f t="shared" si="81"/>
        <v>#DIV/0!</v>
      </c>
      <c r="P582" s="1390"/>
      <c r="Q582" s="1390"/>
      <c r="R582" s="1454"/>
    </row>
    <row r="583" spans="1:18" s="1564" customFormat="1" ht="24">
      <c r="A583" s="1443">
        <v>4210</v>
      </c>
      <c r="B583" s="1451" t="s">
        <v>690</v>
      </c>
      <c r="C583" s="1389">
        <v>153200</v>
      </c>
      <c r="D583" s="830">
        <f t="shared" si="80"/>
        <v>198600</v>
      </c>
      <c r="E583" s="1390">
        <f t="shared" si="79"/>
        <v>81799</v>
      </c>
      <c r="F583" s="1366">
        <f t="shared" si="74"/>
        <v>41.18781470292044</v>
      </c>
      <c r="G583" s="1389"/>
      <c r="H583" s="1390"/>
      <c r="I583" s="1446"/>
      <c r="J583" s="1445"/>
      <c r="K583" s="1390"/>
      <c r="L583" s="1446"/>
      <c r="M583" s="1389">
        <f>153200+12300+33100</f>
        <v>198600</v>
      </c>
      <c r="N583" s="1390">
        <v>81799</v>
      </c>
      <c r="O583" s="1395">
        <f t="shared" si="81"/>
        <v>41.18781470292044</v>
      </c>
      <c r="P583" s="1390"/>
      <c r="Q583" s="1390"/>
      <c r="R583" s="1454"/>
    </row>
    <row r="584" spans="1:18" s="1564" customFormat="1" ht="36">
      <c r="A584" s="1443">
        <v>4240</v>
      </c>
      <c r="B584" s="1451" t="s">
        <v>758</v>
      </c>
      <c r="C584" s="1389">
        <v>86200</v>
      </c>
      <c r="D584" s="830">
        <f t="shared" si="80"/>
        <v>96200</v>
      </c>
      <c r="E584" s="830">
        <f>H584+K584+Q584+N584</f>
        <v>37537</v>
      </c>
      <c r="F584" s="1366">
        <f t="shared" si="74"/>
        <v>39.01975051975052</v>
      </c>
      <c r="G584" s="1389"/>
      <c r="H584" s="1390"/>
      <c r="I584" s="1446"/>
      <c r="J584" s="1445"/>
      <c r="K584" s="1390"/>
      <c r="L584" s="1446"/>
      <c r="M584" s="1389">
        <f>86200+10000</f>
        <v>96200</v>
      </c>
      <c r="N584" s="1390">
        <v>37537</v>
      </c>
      <c r="O584" s="1395">
        <f t="shared" si="81"/>
        <v>39.01975051975052</v>
      </c>
      <c r="P584" s="1390"/>
      <c r="Q584" s="1390"/>
      <c r="R584" s="1454"/>
    </row>
    <row r="585" spans="1:18" s="1564" customFormat="1" ht="18" customHeight="1">
      <c r="A585" s="1443">
        <v>4260</v>
      </c>
      <c r="B585" s="1451" t="s">
        <v>694</v>
      </c>
      <c r="C585" s="1389">
        <v>618000</v>
      </c>
      <c r="D585" s="830">
        <f t="shared" si="80"/>
        <v>618000</v>
      </c>
      <c r="E585" s="1390">
        <f t="shared" si="79"/>
        <v>411986</v>
      </c>
      <c r="F585" s="1366">
        <f t="shared" si="74"/>
        <v>66.66440129449838</v>
      </c>
      <c r="G585" s="1389"/>
      <c r="H585" s="1390"/>
      <c r="I585" s="1446"/>
      <c r="J585" s="1445"/>
      <c r="K585" s="1390"/>
      <c r="L585" s="1446"/>
      <c r="M585" s="1389">
        <v>618000</v>
      </c>
      <c r="N585" s="1390">
        <v>411986</v>
      </c>
      <c r="O585" s="1395">
        <f t="shared" si="81"/>
        <v>66.66440129449838</v>
      </c>
      <c r="P585" s="1390"/>
      <c r="Q585" s="1390"/>
      <c r="R585" s="1454"/>
    </row>
    <row r="586" spans="1:18" s="1564" customFormat="1" ht="18" customHeight="1">
      <c r="A586" s="1443">
        <v>4270</v>
      </c>
      <c r="B586" s="1451" t="s">
        <v>696</v>
      </c>
      <c r="C586" s="1389">
        <v>29500</v>
      </c>
      <c r="D586" s="830">
        <f t="shared" si="80"/>
        <v>37200</v>
      </c>
      <c r="E586" s="1390">
        <f t="shared" si="79"/>
        <v>19234</v>
      </c>
      <c r="F586" s="1366">
        <f t="shared" si="74"/>
        <v>51.70430107526882</v>
      </c>
      <c r="G586" s="1389"/>
      <c r="H586" s="1390"/>
      <c r="I586" s="1446"/>
      <c r="J586" s="1445"/>
      <c r="K586" s="1390"/>
      <c r="L586" s="1446"/>
      <c r="M586" s="1389">
        <f>29500+5200+2500</f>
        <v>37200</v>
      </c>
      <c r="N586" s="1390">
        <v>19234</v>
      </c>
      <c r="O586" s="1395">
        <f t="shared" si="81"/>
        <v>51.70430107526882</v>
      </c>
      <c r="P586" s="1390"/>
      <c r="Q586" s="1390"/>
      <c r="R586" s="1454"/>
    </row>
    <row r="587" spans="1:18" s="1564" customFormat="1" ht="18" customHeight="1" hidden="1">
      <c r="A587" s="1443">
        <v>4270</v>
      </c>
      <c r="B587" s="1451" t="s">
        <v>879</v>
      </c>
      <c r="C587" s="1389"/>
      <c r="D587" s="830">
        <f t="shared" si="80"/>
        <v>0</v>
      </c>
      <c r="E587" s="1390">
        <f t="shared" si="79"/>
        <v>0</v>
      </c>
      <c r="F587" s="1366" t="e">
        <f t="shared" si="74"/>
        <v>#DIV/0!</v>
      </c>
      <c r="G587" s="1389"/>
      <c r="H587" s="1390"/>
      <c r="I587" s="1446"/>
      <c r="J587" s="1445"/>
      <c r="K587" s="1390"/>
      <c r="L587" s="1446"/>
      <c r="M587" s="1389"/>
      <c r="N587" s="1390"/>
      <c r="O587" s="1395" t="e">
        <f t="shared" si="81"/>
        <v>#DIV/0!</v>
      </c>
      <c r="P587" s="1390"/>
      <c r="Q587" s="1390"/>
      <c r="R587" s="1454"/>
    </row>
    <row r="588" spans="1:18" s="1564" customFormat="1" ht="18" customHeight="1">
      <c r="A588" s="1443">
        <v>4280</v>
      </c>
      <c r="B588" s="1451" t="s">
        <v>745</v>
      </c>
      <c r="C588" s="1389">
        <v>9700</v>
      </c>
      <c r="D588" s="830">
        <f t="shared" si="80"/>
        <v>9700</v>
      </c>
      <c r="E588" s="1390">
        <f t="shared" si="79"/>
        <v>1292</v>
      </c>
      <c r="F588" s="1366">
        <f t="shared" si="74"/>
        <v>13.319587628865978</v>
      </c>
      <c r="G588" s="1389"/>
      <c r="H588" s="1390"/>
      <c r="I588" s="1446"/>
      <c r="J588" s="1445"/>
      <c r="K588" s="1390"/>
      <c r="L588" s="1446"/>
      <c r="M588" s="1389">
        <v>9700</v>
      </c>
      <c r="N588" s="1390">
        <v>1292</v>
      </c>
      <c r="O588" s="1395">
        <f t="shared" si="81"/>
        <v>13.319587628865978</v>
      </c>
      <c r="P588" s="1390"/>
      <c r="Q588" s="1390"/>
      <c r="R588" s="1454"/>
    </row>
    <row r="589" spans="1:18" s="1564" customFormat="1" ht="18" customHeight="1">
      <c r="A589" s="1443">
        <v>4300</v>
      </c>
      <c r="B589" s="1451" t="s">
        <v>698</v>
      </c>
      <c r="C589" s="1389">
        <v>177800</v>
      </c>
      <c r="D589" s="830">
        <f t="shared" si="80"/>
        <v>195200</v>
      </c>
      <c r="E589" s="1390">
        <f t="shared" si="79"/>
        <v>113141</v>
      </c>
      <c r="F589" s="1366">
        <f t="shared" si="74"/>
        <v>57.96157786885245</v>
      </c>
      <c r="G589" s="1389"/>
      <c r="H589" s="1390"/>
      <c r="I589" s="1446"/>
      <c r="J589" s="1445"/>
      <c r="K589" s="1390"/>
      <c r="L589" s="1446"/>
      <c r="M589" s="1389">
        <f>177800+6400+11000</f>
        <v>195200</v>
      </c>
      <c r="N589" s="1390">
        <v>113141</v>
      </c>
      <c r="O589" s="1395">
        <f t="shared" si="81"/>
        <v>57.96157786885245</v>
      </c>
      <c r="P589" s="1390"/>
      <c r="Q589" s="1390"/>
      <c r="R589" s="1454"/>
    </row>
    <row r="590" spans="1:18" s="1564" customFormat="1" ht="24">
      <c r="A590" s="1443">
        <v>4350</v>
      </c>
      <c r="B590" s="1451" t="s">
        <v>869</v>
      </c>
      <c r="C590" s="1389">
        <v>10100</v>
      </c>
      <c r="D590" s="830">
        <f t="shared" si="80"/>
        <v>10100</v>
      </c>
      <c r="E590" s="1390">
        <f t="shared" si="79"/>
        <v>3969</v>
      </c>
      <c r="F590" s="1366">
        <f t="shared" si="74"/>
        <v>39.2970297029703</v>
      </c>
      <c r="G590" s="1389"/>
      <c r="H590" s="1390"/>
      <c r="I590" s="1446"/>
      <c r="J590" s="1445"/>
      <c r="K590" s="1390"/>
      <c r="L590" s="1446"/>
      <c r="M590" s="1389">
        <v>10100</v>
      </c>
      <c r="N590" s="1390">
        <v>3969</v>
      </c>
      <c r="O590" s="1395">
        <f t="shared" si="81"/>
        <v>39.2970297029703</v>
      </c>
      <c r="P590" s="1390"/>
      <c r="Q590" s="1390"/>
      <c r="R590" s="1454"/>
    </row>
    <row r="591" spans="1:18" s="1564" customFormat="1" ht="15.75" customHeight="1">
      <c r="A591" s="1443">
        <v>4410</v>
      </c>
      <c r="B591" s="1451" t="s">
        <v>672</v>
      </c>
      <c r="C591" s="1389">
        <v>23100</v>
      </c>
      <c r="D591" s="830">
        <f t="shared" si="80"/>
        <v>22580</v>
      </c>
      <c r="E591" s="1390">
        <f t="shared" si="79"/>
        <v>13299</v>
      </c>
      <c r="F591" s="1366">
        <f t="shared" si="74"/>
        <v>58.89725420726306</v>
      </c>
      <c r="G591" s="1389"/>
      <c r="H591" s="1390"/>
      <c r="I591" s="1446"/>
      <c r="J591" s="1445"/>
      <c r="K591" s="1390"/>
      <c r="L591" s="1446"/>
      <c r="M591" s="1389">
        <f>23100-520</f>
        <v>22580</v>
      </c>
      <c r="N591" s="1390">
        <v>13299</v>
      </c>
      <c r="O591" s="1395">
        <f t="shared" si="81"/>
        <v>58.89725420726306</v>
      </c>
      <c r="P591" s="1390"/>
      <c r="Q591" s="1390"/>
      <c r="R591" s="1454"/>
    </row>
    <row r="592" spans="1:18" s="1564" customFormat="1" ht="27" customHeight="1">
      <c r="A592" s="1443">
        <v>4420</v>
      </c>
      <c r="B592" s="1451" t="s">
        <v>785</v>
      </c>
      <c r="C592" s="1389"/>
      <c r="D592" s="830">
        <f t="shared" si="80"/>
        <v>520</v>
      </c>
      <c r="E592" s="1390">
        <f t="shared" si="79"/>
        <v>520</v>
      </c>
      <c r="F592" s="1366">
        <f t="shared" si="74"/>
        <v>100</v>
      </c>
      <c r="G592" s="1389"/>
      <c r="H592" s="1390"/>
      <c r="I592" s="1446"/>
      <c r="J592" s="1445"/>
      <c r="K592" s="1390"/>
      <c r="L592" s="1446"/>
      <c r="M592" s="1389">
        <v>520</v>
      </c>
      <c r="N592" s="1390">
        <v>520</v>
      </c>
      <c r="O592" s="1584">
        <f t="shared" si="81"/>
        <v>100</v>
      </c>
      <c r="P592" s="1390"/>
      <c r="Q592" s="1390"/>
      <c r="R592" s="1454"/>
    </row>
    <row r="593" spans="1:18" s="1564" customFormat="1" ht="27" customHeight="1" hidden="1">
      <c r="A593" s="1443">
        <v>6050</v>
      </c>
      <c r="B593" s="1451" t="s">
        <v>767</v>
      </c>
      <c r="C593" s="1389"/>
      <c r="D593" s="830">
        <f t="shared" si="80"/>
        <v>0</v>
      </c>
      <c r="E593" s="1390">
        <f t="shared" si="79"/>
        <v>0</v>
      </c>
      <c r="F593" s="1366" t="e">
        <f t="shared" si="74"/>
        <v>#DIV/0!</v>
      </c>
      <c r="G593" s="1389"/>
      <c r="H593" s="1390"/>
      <c r="I593" s="1446"/>
      <c r="J593" s="1445"/>
      <c r="K593" s="1390"/>
      <c r="L593" s="1446"/>
      <c r="M593" s="1389"/>
      <c r="N593" s="1390"/>
      <c r="O593" s="1395" t="e">
        <f t="shared" si="81"/>
        <v>#DIV/0!</v>
      </c>
      <c r="P593" s="1390"/>
      <c r="Q593" s="1390"/>
      <c r="R593" s="1454"/>
    </row>
    <row r="594" spans="1:18" s="1564" customFormat="1" ht="36" hidden="1">
      <c r="A594" s="1443">
        <v>6060</v>
      </c>
      <c r="B594" s="1451" t="s">
        <v>841</v>
      </c>
      <c r="C594" s="1389"/>
      <c r="D594" s="830">
        <f t="shared" si="80"/>
        <v>0</v>
      </c>
      <c r="E594" s="1390">
        <f t="shared" si="79"/>
        <v>0</v>
      </c>
      <c r="F594" s="1366" t="e">
        <f t="shared" si="74"/>
        <v>#DIV/0!</v>
      </c>
      <c r="G594" s="1389"/>
      <c r="H594" s="1390"/>
      <c r="I594" s="1446"/>
      <c r="J594" s="1445"/>
      <c r="K594" s="1390"/>
      <c r="L594" s="1446"/>
      <c r="M594" s="1389"/>
      <c r="N594" s="1390"/>
      <c r="O594" s="1369" t="e">
        <f t="shared" si="81"/>
        <v>#DIV/0!</v>
      </c>
      <c r="P594" s="1390"/>
      <c r="Q594" s="1390"/>
      <c r="R594" s="1454"/>
    </row>
    <row r="595" spans="1:18" s="1564" customFormat="1" ht="18" customHeight="1">
      <c r="A595" s="1443">
        <v>4440</v>
      </c>
      <c r="B595" s="1451" t="s">
        <v>702</v>
      </c>
      <c r="C595" s="1389">
        <v>418000</v>
      </c>
      <c r="D595" s="830">
        <f t="shared" si="80"/>
        <v>425369</v>
      </c>
      <c r="E595" s="1390">
        <f t="shared" si="79"/>
        <v>326577</v>
      </c>
      <c r="F595" s="1366">
        <f t="shared" si="74"/>
        <v>76.7749883042723</v>
      </c>
      <c r="G595" s="1389"/>
      <c r="H595" s="1390"/>
      <c r="I595" s="1446"/>
      <c r="J595" s="1445"/>
      <c r="K595" s="1390"/>
      <c r="L595" s="1446"/>
      <c r="M595" s="1389">
        <f>418000+2642+1327+3400</f>
        <v>425369</v>
      </c>
      <c r="N595" s="1390">
        <v>326577</v>
      </c>
      <c r="O595" s="1369">
        <f t="shared" si="81"/>
        <v>76.7749883042723</v>
      </c>
      <c r="P595" s="1390"/>
      <c r="Q595" s="1390"/>
      <c r="R595" s="1454"/>
    </row>
    <row r="596" spans="1:18" s="1564" customFormat="1" ht="27" customHeight="1">
      <c r="A596" s="1492">
        <v>6050</v>
      </c>
      <c r="B596" s="1493" t="s">
        <v>767</v>
      </c>
      <c r="C596" s="1494"/>
      <c r="D596" s="862">
        <f t="shared" si="80"/>
        <v>25100</v>
      </c>
      <c r="E596" s="1487">
        <f t="shared" si="79"/>
        <v>3923</v>
      </c>
      <c r="F596" s="1419">
        <f t="shared" si="74"/>
        <v>15.629482071713147</v>
      </c>
      <c r="G596" s="1494"/>
      <c r="H596" s="1487"/>
      <c r="I596" s="1551"/>
      <c r="J596" s="1495"/>
      <c r="K596" s="1487"/>
      <c r="L596" s="1551"/>
      <c r="M596" s="1494">
        <f>18100+7000</f>
        <v>25100</v>
      </c>
      <c r="N596" s="1487">
        <v>3923</v>
      </c>
      <c r="O596" s="1420">
        <f t="shared" si="81"/>
        <v>15.629482071713147</v>
      </c>
      <c r="P596" s="1487"/>
      <c r="Q596" s="1487"/>
      <c r="R596" s="1539"/>
    </row>
    <row r="597" spans="1:18" s="1672" customFormat="1" ht="16.5" customHeight="1">
      <c r="A597" s="1479">
        <v>80123</v>
      </c>
      <c r="B597" s="1576" t="s">
        <v>880</v>
      </c>
      <c r="C597" s="823">
        <f>SUM(C598:C613)</f>
        <v>1507600</v>
      </c>
      <c r="D597" s="845">
        <f>G597+J597+P597+M597</f>
        <v>1513158</v>
      </c>
      <c r="E597" s="1380">
        <f>H597+K597+Q597+N597</f>
        <v>806973</v>
      </c>
      <c r="F597" s="1381">
        <f t="shared" si="74"/>
        <v>53.330385855277505</v>
      </c>
      <c r="G597" s="823"/>
      <c r="H597" s="845"/>
      <c r="I597" s="1441"/>
      <c r="J597" s="1510"/>
      <c r="K597" s="845"/>
      <c r="L597" s="1441"/>
      <c r="M597" s="823">
        <f>SUM(M598:M613)</f>
        <v>1513158</v>
      </c>
      <c r="N597" s="845">
        <f>SUM(N598:N613)</f>
        <v>806973</v>
      </c>
      <c r="O597" s="1388">
        <f t="shared" si="81"/>
        <v>53.330385855277505</v>
      </c>
      <c r="P597" s="845"/>
      <c r="Q597" s="845"/>
      <c r="R597" s="826"/>
    </row>
    <row r="598" spans="1:18" s="1564" customFormat="1" ht="36">
      <c r="A598" s="1422">
        <v>3020</v>
      </c>
      <c r="B598" s="1451" t="s">
        <v>1266</v>
      </c>
      <c r="C598" s="1393">
        <v>12700</v>
      </c>
      <c r="D598" s="869">
        <f aca="true" t="shared" si="82" ref="D598:D634">G598+J598+P598+M598</f>
        <v>12700</v>
      </c>
      <c r="E598" s="1407">
        <f aca="true" t="shared" si="83" ref="E598:E613">SUM(H598+K598+N598+Q598)</f>
        <v>1035</v>
      </c>
      <c r="F598" s="1391">
        <f t="shared" si="74"/>
        <v>8.149606299212598</v>
      </c>
      <c r="G598" s="1393"/>
      <c r="H598" s="1407"/>
      <c r="I598" s="1543"/>
      <c r="J598" s="1548"/>
      <c r="K598" s="1407"/>
      <c r="L598" s="1543"/>
      <c r="M598" s="1393">
        <v>12700</v>
      </c>
      <c r="N598" s="1407">
        <v>1035</v>
      </c>
      <c r="O598" s="1673">
        <f>N598/M598*100</f>
        <v>8.149606299212598</v>
      </c>
      <c r="P598" s="1393"/>
      <c r="Q598" s="1407"/>
      <c r="R598" s="1550"/>
    </row>
    <row r="599" spans="1:18" s="1564" customFormat="1" ht="24">
      <c r="A599" s="1443">
        <v>4010</v>
      </c>
      <c r="B599" s="1451" t="s">
        <v>680</v>
      </c>
      <c r="C599" s="1389">
        <v>1016000</v>
      </c>
      <c r="D599" s="830">
        <f t="shared" si="82"/>
        <v>1015380</v>
      </c>
      <c r="E599" s="1390">
        <f t="shared" si="83"/>
        <v>492303</v>
      </c>
      <c r="F599" s="1366">
        <f t="shared" si="74"/>
        <v>48.48460674821249</v>
      </c>
      <c r="G599" s="1389"/>
      <c r="H599" s="1390"/>
      <c r="I599" s="1446"/>
      <c r="J599" s="1445"/>
      <c r="K599" s="1390"/>
      <c r="L599" s="1446"/>
      <c r="M599" s="1389">
        <f>1016000-620</f>
        <v>1015380</v>
      </c>
      <c r="N599" s="1390">
        <v>492303</v>
      </c>
      <c r="O599" s="1582">
        <f aca="true" t="shared" si="84" ref="O599:O613">N599/M599*100</f>
        <v>48.48460674821249</v>
      </c>
      <c r="P599" s="1390"/>
      <c r="Q599" s="1390"/>
      <c r="R599" s="1454"/>
    </row>
    <row r="600" spans="1:18" s="1564" customFormat="1" ht="24">
      <c r="A600" s="1443">
        <v>4040</v>
      </c>
      <c r="B600" s="1451" t="s">
        <v>684</v>
      </c>
      <c r="C600" s="1389">
        <v>72700</v>
      </c>
      <c r="D600" s="830">
        <f t="shared" si="82"/>
        <v>80578</v>
      </c>
      <c r="E600" s="1390">
        <f t="shared" si="83"/>
        <v>80556</v>
      </c>
      <c r="F600" s="1366">
        <f t="shared" si="74"/>
        <v>99.97269726228004</v>
      </c>
      <c r="G600" s="1389"/>
      <c r="H600" s="1390"/>
      <c r="I600" s="1446"/>
      <c r="J600" s="1445"/>
      <c r="K600" s="1390"/>
      <c r="L600" s="1446"/>
      <c r="M600" s="1389">
        <f>72700+7878</f>
        <v>80578</v>
      </c>
      <c r="N600" s="1390">
        <v>80556</v>
      </c>
      <c r="O600" s="1366">
        <f t="shared" si="84"/>
        <v>99.97269726228004</v>
      </c>
      <c r="P600" s="1390"/>
      <c r="Q600" s="1390"/>
      <c r="R600" s="1454"/>
    </row>
    <row r="601" spans="1:18" s="1564" customFormat="1" ht="24">
      <c r="A601" s="1443">
        <v>4110</v>
      </c>
      <c r="B601" s="1451" t="s">
        <v>686</v>
      </c>
      <c r="C601" s="1389">
        <v>193000</v>
      </c>
      <c r="D601" s="830">
        <f t="shared" si="82"/>
        <v>192770</v>
      </c>
      <c r="E601" s="1390">
        <f t="shared" si="83"/>
        <v>96287</v>
      </c>
      <c r="F601" s="1366">
        <f t="shared" si="74"/>
        <v>49.94916221403745</v>
      </c>
      <c r="G601" s="1389"/>
      <c r="H601" s="1390"/>
      <c r="I601" s="1446"/>
      <c r="J601" s="1445"/>
      <c r="K601" s="1390"/>
      <c r="L601" s="1446"/>
      <c r="M601" s="1389">
        <f>193000-230</f>
        <v>192770</v>
      </c>
      <c r="N601" s="1390">
        <v>96287</v>
      </c>
      <c r="O601" s="1582">
        <f t="shared" si="84"/>
        <v>49.94916221403745</v>
      </c>
      <c r="P601" s="1390"/>
      <c r="Q601" s="1390"/>
      <c r="R601" s="1454"/>
    </row>
    <row r="602" spans="1:18" s="1564" customFormat="1" ht="12.75">
      <c r="A602" s="1443">
        <v>4120</v>
      </c>
      <c r="B602" s="1451" t="s">
        <v>781</v>
      </c>
      <c r="C602" s="1389">
        <v>25600</v>
      </c>
      <c r="D602" s="830">
        <f t="shared" si="82"/>
        <v>25600</v>
      </c>
      <c r="E602" s="1390">
        <f t="shared" si="83"/>
        <v>14228</v>
      </c>
      <c r="F602" s="1366">
        <f aca="true" t="shared" si="85" ref="F602:F665">E602/D602*100</f>
        <v>55.578125</v>
      </c>
      <c r="G602" s="1389"/>
      <c r="H602" s="1390"/>
      <c r="I602" s="1446"/>
      <c r="J602" s="1445"/>
      <c r="K602" s="1390"/>
      <c r="L602" s="1446"/>
      <c r="M602" s="1389">
        <v>25600</v>
      </c>
      <c r="N602" s="1390">
        <v>14228</v>
      </c>
      <c r="O602" s="1582">
        <f t="shared" si="84"/>
        <v>55.578125</v>
      </c>
      <c r="P602" s="1390"/>
      <c r="Q602" s="1390"/>
      <c r="R602" s="1454"/>
    </row>
    <row r="603" spans="1:18" s="1564" customFormat="1" ht="12.75">
      <c r="A603" s="1443">
        <v>4140</v>
      </c>
      <c r="B603" s="1451" t="s">
        <v>743</v>
      </c>
      <c r="C603" s="1389">
        <v>3100</v>
      </c>
      <c r="D603" s="830">
        <f t="shared" si="82"/>
        <v>3100</v>
      </c>
      <c r="E603" s="1390">
        <f t="shared" si="83"/>
        <v>1789</v>
      </c>
      <c r="F603" s="1366">
        <f t="shared" si="85"/>
        <v>57.70967741935485</v>
      </c>
      <c r="G603" s="1389"/>
      <c r="H603" s="1390"/>
      <c r="I603" s="1446"/>
      <c r="J603" s="1445"/>
      <c r="K603" s="1390"/>
      <c r="L603" s="1446"/>
      <c r="M603" s="1389">
        <v>3100</v>
      </c>
      <c r="N603" s="1390">
        <v>1789</v>
      </c>
      <c r="O603" s="1582">
        <f t="shared" si="84"/>
        <v>57.70967741935485</v>
      </c>
      <c r="P603" s="1390"/>
      <c r="Q603" s="1390"/>
      <c r="R603" s="1454"/>
    </row>
    <row r="604" spans="1:18" s="1564" customFormat="1" ht="24">
      <c r="A604" s="1443">
        <v>4210</v>
      </c>
      <c r="B604" s="1451" t="s">
        <v>690</v>
      </c>
      <c r="C604" s="1389">
        <v>26400</v>
      </c>
      <c r="D604" s="830">
        <f t="shared" si="82"/>
        <v>26400</v>
      </c>
      <c r="E604" s="1390">
        <f t="shared" si="83"/>
        <v>16406</v>
      </c>
      <c r="F604" s="1366">
        <f t="shared" si="85"/>
        <v>62.1439393939394</v>
      </c>
      <c r="G604" s="1389"/>
      <c r="H604" s="1390"/>
      <c r="I604" s="1446"/>
      <c r="J604" s="1445"/>
      <c r="K604" s="1390"/>
      <c r="L604" s="1446"/>
      <c r="M604" s="1389">
        <v>26400</v>
      </c>
      <c r="N604" s="1390">
        <v>16406</v>
      </c>
      <c r="O604" s="1582">
        <f t="shared" si="84"/>
        <v>62.1439393939394</v>
      </c>
      <c r="P604" s="1390"/>
      <c r="Q604" s="1390"/>
      <c r="R604" s="1454"/>
    </row>
    <row r="605" spans="1:18" s="1564" customFormat="1" ht="24">
      <c r="A605" s="1443">
        <v>4240</v>
      </c>
      <c r="B605" s="1451" t="s">
        <v>835</v>
      </c>
      <c r="C605" s="1389">
        <v>12800</v>
      </c>
      <c r="D605" s="830">
        <f t="shared" si="82"/>
        <v>12800</v>
      </c>
      <c r="E605" s="1390">
        <f t="shared" si="83"/>
        <v>6016</v>
      </c>
      <c r="F605" s="1366">
        <f t="shared" si="85"/>
        <v>47</v>
      </c>
      <c r="G605" s="1389"/>
      <c r="H605" s="1390"/>
      <c r="I605" s="1446"/>
      <c r="J605" s="1445"/>
      <c r="K605" s="1390"/>
      <c r="L605" s="1446"/>
      <c r="M605" s="1389">
        <v>12800</v>
      </c>
      <c r="N605" s="1390">
        <v>6016</v>
      </c>
      <c r="O605" s="1582">
        <f t="shared" si="84"/>
        <v>47</v>
      </c>
      <c r="P605" s="1390"/>
      <c r="Q605" s="1390"/>
      <c r="R605" s="1454"/>
    </row>
    <row r="606" spans="1:18" s="1564" customFormat="1" ht="12.75">
      <c r="A606" s="1443">
        <v>4260</v>
      </c>
      <c r="B606" s="1451" t="s">
        <v>694</v>
      </c>
      <c r="C606" s="1389">
        <v>57300</v>
      </c>
      <c r="D606" s="830">
        <f t="shared" si="82"/>
        <v>57300</v>
      </c>
      <c r="E606" s="1390">
        <f t="shared" si="83"/>
        <v>33702</v>
      </c>
      <c r="F606" s="1366">
        <f t="shared" si="85"/>
        <v>58.81675392670157</v>
      </c>
      <c r="G606" s="1389"/>
      <c r="H606" s="1390"/>
      <c r="I606" s="1446"/>
      <c r="J606" s="1445"/>
      <c r="K606" s="1390"/>
      <c r="L606" s="1446"/>
      <c r="M606" s="1389">
        <v>57300</v>
      </c>
      <c r="N606" s="1390">
        <v>33702</v>
      </c>
      <c r="O606" s="1582">
        <f t="shared" si="84"/>
        <v>58.81675392670157</v>
      </c>
      <c r="P606" s="1390"/>
      <c r="Q606" s="1390"/>
      <c r="R606" s="1454"/>
    </row>
    <row r="607" spans="1:18" s="1564" customFormat="1" ht="12.75">
      <c r="A607" s="1443">
        <v>4270</v>
      </c>
      <c r="B607" s="1451" t="s">
        <v>696</v>
      </c>
      <c r="C607" s="1389">
        <v>2400</v>
      </c>
      <c r="D607" s="830">
        <f t="shared" si="82"/>
        <v>2400</v>
      </c>
      <c r="E607" s="1390">
        <f t="shared" si="83"/>
        <v>92</v>
      </c>
      <c r="F607" s="1366">
        <f t="shared" si="85"/>
        <v>3.833333333333333</v>
      </c>
      <c r="G607" s="1389"/>
      <c r="H607" s="1390"/>
      <c r="I607" s="1446"/>
      <c r="J607" s="1445"/>
      <c r="K607" s="1390"/>
      <c r="L607" s="1446"/>
      <c r="M607" s="1389">
        <v>2400</v>
      </c>
      <c r="N607" s="1390">
        <v>92</v>
      </c>
      <c r="O607" s="1582">
        <f t="shared" si="84"/>
        <v>3.833333333333333</v>
      </c>
      <c r="P607" s="1390"/>
      <c r="Q607" s="1390"/>
      <c r="R607" s="1454"/>
    </row>
    <row r="608" spans="1:18" s="1564" customFormat="1" ht="12.75">
      <c r="A608" s="1443">
        <v>4280</v>
      </c>
      <c r="B608" s="1451" t="s">
        <v>745</v>
      </c>
      <c r="C608" s="1389">
        <v>1100</v>
      </c>
      <c r="D608" s="830">
        <f t="shared" si="82"/>
        <v>1100</v>
      </c>
      <c r="E608" s="1390">
        <f t="shared" si="83"/>
        <v>23</v>
      </c>
      <c r="F608" s="1366">
        <f t="shared" si="85"/>
        <v>2.090909090909091</v>
      </c>
      <c r="G608" s="1389"/>
      <c r="H608" s="1390"/>
      <c r="I608" s="1446"/>
      <c r="J608" s="1445"/>
      <c r="K608" s="1390"/>
      <c r="L608" s="1446"/>
      <c r="M608" s="1389">
        <v>1100</v>
      </c>
      <c r="N608" s="1390">
        <v>23</v>
      </c>
      <c r="O608" s="1582">
        <f t="shared" si="84"/>
        <v>2.090909090909091</v>
      </c>
      <c r="P608" s="1390"/>
      <c r="Q608" s="1390"/>
      <c r="R608" s="1454"/>
    </row>
    <row r="609" spans="1:18" s="1564" customFormat="1" ht="12.75">
      <c r="A609" s="1443">
        <v>4300</v>
      </c>
      <c r="B609" s="1451" t="s">
        <v>698</v>
      </c>
      <c r="C609" s="1389">
        <v>12700</v>
      </c>
      <c r="D609" s="830">
        <f t="shared" si="82"/>
        <v>12700</v>
      </c>
      <c r="E609" s="1390">
        <f t="shared" si="83"/>
        <v>8160</v>
      </c>
      <c r="F609" s="1366">
        <f t="shared" si="85"/>
        <v>64.25196850393701</v>
      </c>
      <c r="G609" s="1389"/>
      <c r="H609" s="1390"/>
      <c r="I609" s="1446"/>
      <c r="J609" s="1445"/>
      <c r="K609" s="1390"/>
      <c r="L609" s="1446"/>
      <c r="M609" s="1389">
        <v>12700</v>
      </c>
      <c r="N609" s="1390">
        <v>8160</v>
      </c>
      <c r="O609" s="1582">
        <f t="shared" si="84"/>
        <v>64.25196850393701</v>
      </c>
      <c r="P609" s="1390"/>
      <c r="Q609" s="1390"/>
      <c r="R609" s="1454"/>
    </row>
    <row r="610" spans="1:18" s="1564" customFormat="1" ht="24">
      <c r="A610" s="1443">
        <v>4350</v>
      </c>
      <c r="B610" s="1451" t="s">
        <v>869</v>
      </c>
      <c r="C610" s="1389">
        <v>2500</v>
      </c>
      <c r="D610" s="830">
        <f t="shared" si="82"/>
        <v>2500</v>
      </c>
      <c r="E610" s="1390">
        <f t="shared" si="83"/>
        <v>519</v>
      </c>
      <c r="F610" s="1366">
        <f t="shared" si="85"/>
        <v>20.76</v>
      </c>
      <c r="G610" s="1445"/>
      <c r="H610" s="1445"/>
      <c r="I610" s="1446"/>
      <c r="J610" s="1445"/>
      <c r="K610" s="1390"/>
      <c r="L610" s="1446"/>
      <c r="M610" s="1389">
        <v>2500</v>
      </c>
      <c r="N610" s="1390">
        <v>519</v>
      </c>
      <c r="O610" s="1582">
        <f t="shared" si="84"/>
        <v>20.76</v>
      </c>
      <c r="P610" s="1390"/>
      <c r="Q610" s="1390"/>
      <c r="R610" s="1454"/>
    </row>
    <row r="611" spans="1:18" s="1564" customFormat="1" ht="12.75">
      <c r="A611" s="1443">
        <v>4410</v>
      </c>
      <c r="B611" s="1451" t="s">
        <v>672</v>
      </c>
      <c r="C611" s="1389">
        <v>1500</v>
      </c>
      <c r="D611" s="830">
        <f t="shared" si="82"/>
        <v>1500</v>
      </c>
      <c r="E611" s="1390">
        <f t="shared" si="83"/>
        <v>104</v>
      </c>
      <c r="F611" s="1366">
        <f t="shared" si="85"/>
        <v>6.933333333333333</v>
      </c>
      <c r="G611" s="1390"/>
      <c r="H611" s="1445"/>
      <c r="I611" s="1446"/>
      <c r="J611" s="1445"/>
      <c r="K611" s="1390"/>
      <c r="L611" s="1446"/>
      <c r="M611" s="1389">
        <v>1500</v>
      </c>
      <c r="N611" s="1390">
        <v>104</v>
      </c>
      <c r="O611" s="1674">
        <f t="shared" si="84"/>
        <v>6.933333333333333</v>
      </c>
      <c r="P611" s="1390"/>
      <c r="Q611" s="1390"/>
      <c r="R611" s="1454"/>
    </row>
    <row r="612" spans="1:18" s="1564" customFormat="1" ht="12.75" hidden="1">
      <c r="A612" s="1443">
        <v>4430</v>
      </c>
      <c r="B612" s="1451" t="s">
        <v>700</v>
      </c>
      <c r="C612" s="1389"/>
      <c r="D612" s="830">
        <f t="shared" si="82"/>
        <v>0</v>
      </c>
      <c r="E612" s="1390">
        <f t="shared" si="83"/>
        <v>0</v>
      </c>
      <c r="F612" s="1366" t="e">
        <f t="shared" si="85"/>
        <v>#DIV/0!</v>
      </c>
      <c r="G612" s="1390"/>
      <c r="H612" s="1445"/>
      <c r="I612" s="1446"/>
      <c r="J612" s="1445"/>
      <c r="K612" s="1390"/>
      <c r="L612" s="1446"/>
      <c r="M612" s="1389"/>
      <c r="N612" s="1390"/>
      <c r="O612" s="1582" t="e">
        <f t="shared" si="84"/>
        <v>#DIV/0!</v>
      </c>
      <c r="P612" s="1390"/>
      <c r="Q612" s="1390"/>
      <c r="R612" s="1454"/>
    </row>
    <row r="613" spans="1:18" s="1564" customFormat="1" ht="12.75">
      <c r="A613" s="1492">
        <v>4440</v>
      </c>
      <c r="B613" s="1451" t="s">
        <v>702</v>
      </c>
      <c r="C613" s="1494">
        <v>67800</v>
      </c>
      <c r="D613" s="830">
        <f t="shared" si="82"/>
        <v>66330</v>
      </c>
      <c r="E613" s="1390">
        <f t="shared" si="83"/>
        <v>55753</v>
      </c>
      <c r="F613" s="1366">
        <f t="shared" si="85"/>
        <v>84.05397256143526</v>
      </c>
      <c r="G613" s="1487"/>
      <c r="H613" s="1495"/>
      <c r="I613" s="1551"/>
      <c r="J613" s="1495"/>
      <c r="K613" s="1487"/>
      <c r="L613" s="1551"/>
      <c r="M613" s="1494">
        <f>67800-1470</f>
        <v>66330</v>
      </c>
      <c r="N613" s="1487">
        <f>55754-1</f>
        <v>55753</v>
      </c>
      <c r="O613" s="1366">
        <f t="shared" si="84"/>
        <v>84.05397256143526</v>
      </c>
      <c r="P613" s="1487"/>
      <c r="Q613" s="1487"/>
      <c r="R613" s="1539"/>
    </row>
    <row r="614" spans="1:18" s="1564" customFormat="1" ht="17.25" customHeight="1">
      <c r="A614" s="1436">
        <v>80130</v>
      </c>
      <c r="B614" s="1529" t="s">
        <v>881</v>
      </c>
      <c r="C614" s="1438">
        <f>SUM(C615:C634)</f>
        <v>15855200</v>
      </c>
      <c r="D614" s="845">
        <f t="shared" si="82"/>
        <v>16207551</v>
      </c>
      <c r="E614" s="1380">
        <f>H614+K614+Q614+N614</f>
        <v>8599636</v>
      </c>
      <c r="F614" s="1381">
        <f t="shared" si="85"/>
        <v>53.059441244392815</v>
      </c>
      <c r="G614" s="1477"/>
      <c r="H614" s="1476"/>
      <c r="I614" s="1575"/>
      <c r="J614" s="1476"/>
      <c r="K614" s="1477"/>
      <c r="L614" s="1575"/>
      <c r="M614" s="1438">
        <f>SUM(M615:M634)</f>
        <v>16207551</v>
      </c>
      <c r="N614" s="1380">
        <f>SUM(N615:N634)</f>
        <v>8599636</v>
      </c>
      <c r="O614" s="1388">
        <f t="shared" si="81"/>
        <v>53.059441244392815</v>
      </c>
      <c r="P614" s="1380"/>
      <c r="Q614" s="1380"/>
      <c r="R614" s="1478"/>
    </row>
    <row r="615" spans="1:18" s="1564" customFormat="1" ht="36">
      <c r="A615" s="1443">
        <v>2540</v>
      </c>
      <c r="B615" s="1451" t="s">
        <v>867</v>
      </c>
      <c r="C615" s="1389">
        <v>1100000</v>
      </c>
      <c r="D615" s="830">
        <f t="shared" si="82"/>
        <v>1484504</v>
      </c>
      <c r="E615" s="1390">
        <f>SUM(H615+K615+N615+Q615)</f>
        <v>812346</v>
      </c>
      <c r="F615" s="1366">
        <f t="shared" si="85"/>
        <v>54.72171176365978</v>
      </c>
      <c r="G615" s="1390"/>
      <c r="H615" s="1445"/>
      <c r="I615" s="1446"/>
      <c r="J615" s="1445"/>
      <c r="K615" s="1390"/>
      <c r="L615" s="1446"/>
      <c r="M615" s="1389">
        <f>1100000+120887+302857-86480+73980-26740</f>
        <v>1484504</v>
      </c>
      <c r="N615" s="1390">
        <v>812346</v>
      </c>
      <c r="O615" s="1395">
        <f t="shared" si="81"/>
        <v>54.72171176365978</v>
      </c>
      <c r="P615" s="1390"/>
      <c r="Q615" s="1390"/>
      <c r="R615" s="1454"/>
    </row>
    <row r="616" spans="1:18" s="1564" customFormat="1" ht="36">
      <c r="A616" s="1443">
        <v>3020</v>
      </c>
      <c r="B616" s="1451" t="s">
        <v>1266</v>
      </c>
      <c r="C616" s="1389">
        <v>102000</v>
      </c>
      <c r="D616" s="830">
        <f t="shared" si="82"/>
        <v>102000</v>
      </c>
      <c r="E616" s="1390">
        <f aca="true" t="shared" si="86" ref="E616:E634">SUM(H616+K616+N616+Q616)</f>
        <v>19846</v>
      </c>
      <c r="F616" s="1366">
        <f t="shared" si="85"/>
        <v>19.45686274509804</v>
      </c>
      <c r="G616" s="1390"/>
      <c r="H616" s="1445"/>
      <c r="I616" s="1446"/>
      <c r="J616" s="1445"/>
      <c r="K616" s="1390"/>
      <c r="L616" s="1446"/>
      <c r="M616" s="1389">
        <v>102000</v>
      </c>
      <c r="N616" s="1390">
        <v>19846</v>
      </c>
      <c r="O616" s="1395">
        <f t="shared" si="81"/>
        <v>19.45686274509804</v>
      </c>
      <c r="P616" s="1390"/>
      <c r="Q616" s="1390"/>
      <c r="R616" s="1454"/>
    </row>
    <row r="617" spans="1:18" s="1564" customFormat="1" ht="12.75">
      <c r="A617" s="1443">
        <v>3050</v>
      </c>
      <c r="B617" s="1451" t="s">
        <v>882</v>
      </c>
      <c r="C617" s="1389">
        <v>16200</v>
      </c>
      <c r="D617" s="830">
        <f t="shared" si="82"/>
        <v>16200</v>
      </c>
      <c r="E617" s="1390">
        <f t="shared" si="86"/>
        <v>7894</v>
      </c>
      <c r="F617" s="1366">
        <f t="shared" si="85"/>
        <v>48.7283950617284</v>
      </c>
      <c r="G617" s="1390"/>
      <c r="H617" s="1445"/>
      <c r="I617" s="1446"/>
      <c r="J617" s="1445"/>
      <c r="K617" s="1390"/>
      <c r="L617" s="1446"/>
      <c r="M617" s="1389">
        <v>16200</v>
      </c>
      <c r="N617" s="1390">
        <v>7894</v>
      </c>
      <c r="O617" s="1395">
        <f t="shared" si="81"/>
        <v>48.7283950617284</v>
      </c>
      <c r="P617" s="1390"/>
      <c r="Q617" s="1390"/>
      <c r="R617" s="1454"/>
    </row>
    <row r="618" spans="1:18" s="1564" customFormat="1" ht="24">
      <c r="A618" s="1443">
        <v>4010</v>
      </c>
      <c r="B618" s="1451" t="s">
        <v>680</v>
      </c>
      <c r="C618" s="1389">
        <v>9490000</v>
      </c>
      <c r="D618" s="830">
        <f t="shared" si="82"/>
        <v>9481000</v>
      </c>
      <c r="E618" s="1390">
        <f t="shared" si="86"/>
        <v>4526743</v>
      </c>
      <c r="F618" s="1366">
        <f t="shared" si="85"/>
        <v>47.74541715008965</v>
      </c>
      <c r="G618" s="1390"/>
      <c r="H618" s="1445"/>
      <c r="I618" s="1446"/>
      <c r="J618" s="1445"/>
      <c r="K618" s="1390"/>
      <c r="L618" s="1446"/>
      <c r="M618" s="1389">
        <f>9490000-9000</f>
        <v>9481000</v>
      </c>
      <c r="N618" s="1390">
        <v>4526743</v>
      </c>
      <c r="O618" s="1582">
        <f t="shared" si="81"/>
        <v>47.74541715008965</v>
      </c>
      <c r="P618" s="1390"/>
      <c r="Q618" s="1390"/>
      <c r="R618" s="1454"/>
    </row>
    <row r="619" spans="1:18" s="1564" customFormat="1" ht="24">
      <c r="A619" s="1443">
        <v>4040</v>
      </c>
      <c r="B619" s="1451" t="s">
        <v>684</v>
      </c>
      <c r="C619" s="1389">
        <v>752000</v>
      </c>
      <c r="D619" s="830">
        <f t="shared" si="82"/>
        <v>732209</v>
      </c>
      <c r="E619" s="1390">
        <f t="shared" si="86"/>
        <v>732142</v>
      </c>
      <c r="F619" s="1366">
        <f t="shared" si="85"/>
        <v>99.99084960714768</v>
      </c>
      <c r="G619" s="1390"/>
      <c r="H619" s="1445"/>
      <c r="I619" s="1446"/>
      <c r="J619" s="1445"/>
      <c r="K619" s="1390"/>
      <c r="L619" s="1446"/>
      <c r="M619" s="1389">
        <f>752000-19791</f>
        <v>732209</v>
      </c>
      <c r="N619" s="1390">
        <v>732142</v>
      </c>
      <c r="O619" s="1584">
        <f t="shared" si="81"/>
        <v>99.99084960714768</v>
      </c>
      <c r="P619" s="1390"/>
      <c r="Q619" s="1390"/>
      <c r="R619" s="1454"/>
    </row>
    <row r="620" spans="1:18" s="1564" customFormat="1" ht="24">
      <c r="A620" s="1443">
        <v>4110</v>
      </c>
      <c r="B620" s="1451" t="s">
        <v>686</v>
      </c>
      <c r="C620" s="1389">
        <v>1814000</v>
      </c>
      <c r="D620" s="830">
        <f t="shared" si="82"/>
        <v>1805408</v>
      </c>
      <c r="E620" s="1390">
        <f t="shared" si="86"/>
        <v>903938</v>
      </c>
      <c r="F620" s="1366">
        <f t="shared" si="85"/>
        <v>50.06835020117336</v>
      </c>
      <c r="G620" s="1390"/>
      <c r="H620" s="1445"/>
      <c r="I620" s="1446"/>
      <c r="J620" s="1445"/>
      <c r="K620" s="1390"/>
      <c r="L620" s="1446"/>
      <c r="M620" s="1389">
        <f>1814000-4362-4230</f>
        <v>1805408</v>
      </c>
      <c r="N620" s="1390">
        <v>903938</v>
      </c>
      <c r="O620" s="1582">
        <f t="shared" si="81"/>
        <v>50.06835020117336</v>
      </c>
      <c r="P620" s="1390"/>
      <c r="Q620" s="1390"/>
      <c r="R620" s="1454"/>
    </row>
    <row r="621" spans="1:18" s="1564" customFormat="1" ht="12.75">
      <c r="A621" s="1443">
        <v>4120</v>
      </c>
      <c r="B621" s="1451" t="s">
        <v>781</v>
      </c>
      <c r="C621" s="1389">
        <v>246000</v>
      </c>
      <c r="D621" s="830">
        <f t="shared" si="82"/>
        <v>245800</v>
      </c>
      <c r="E621" s="1390">
        <f t="shared" si="86"/>
        <v>124362</v>
      </c>
      <c r="F621" s="1366">
        <f t="shared" si="85"/>
        <v>50.59479251423922</v>
      </c>
      <c r="G621" s="1390"/>
      <c r="H621" s="1445"/>
      <c r="I621" s="1446"/>
      <c r="J621" s="1445"/>
      <c r="K621" s="1390"/>
      <c r="L621" s="1446"/>
      <c r="M621" s="1389">
        <f>246000-200</f>
        <v>245800</v>
      </c>
      <c r="N621" s="1390">
        <v>124362</v>
      </c>
      <c r="O621" s="1582">
        <f t="shared" si="81"/>
        <v>50.59479251423922</v>
      </c>
      <c r="P621" s="1390"/>
      <c r="Q621" s="1390"/>
      <c r="R621" s="1454"/>
    </row>
    <row r="622" spans="1:18" s="1564" customFormat="1" ht="12.75">
      <c r="A622" s="1443">
        <v>4140</v>
      </c>
      <c r="B622" s="1451" t="s">
        <v>883</v>
      </c>
      <c r="C622" s="1389">
        <v>54400</v>
      </c>
      <c r="D622" s="830">
        <f t="shared" si="82"/>
        <v>54400</v>
      </c>
      <c r="E622" s="1390">
        <f t="shared" si="86"/>
        <v>23713</v>
      </c>
      <c r="F622" s="1366">
        <f t="shared" si="85"/>
        <v>43.59007352941177</v>
      </c>
      <c r="G622" s="1390"/>
      <c r="H622" s="1445"/>
      <c r="I622" s="1446"/>
      <c r="J622" s="1445"/>
      <c r="K622" s="1390"/>
      <c r="L622" s="1446"/>
      <c r="M622" s="1389">
        <v>54400</v>
      </c>
      <c r="N622" s="1390">
        <f>23714-1</f>
        <v>23713</v>
      </c>
      <c r="O622" s="1582">
        <f t="shared" si="81"/>
        <v>43.59007352941177</v>
      </c>
      <c r="P622" s="1390"/>
      <c r="Q622" s="1390"/>
      <c r="R622" s="1454"/>
    </row>
    <row r="623" spans="1:18" s="1564" customFormat="1" ht="24">
      <c r="A623" s="1443">
        <v>4210</v>
      </c>
      <c r="B623" s="1451" t="s">
        <v>690</v>
      </c>
      <c r="C623" s="1389">
        <v>357000</v>
      </c>
      <c r="D623" s="830">
        <f t="shared" si="82"/>
        <v>342600</v>
      </c>
      <c r="E623" s="1390">
        <f t="shared" si="86"/>
        <v>187930</v>
      </c>
      <c r="F623" s="1366">
        <f t="shared" si="85"/>
        <v>54.854057209573845</v>
      </c>
      <c r="G623" s="1390"/>
      <c r="H623" s="1445"/>
      <c r="I623" s="1446"/>
      <c r="J623" s="1445"/>
      <c r="K623" s="1390"/>
      <c r="L623" s="1446"/>
      <c r="M623" s="1389">
        <f>357000-14400</f>
        <v>342600</v>
      </c>
      <c r="N623" s="1390">
        <v>187930</v>
      </c>
      <c r="O623" s="1395">
        <f t="shared" si="81"/>
        <v>54.854057209573845</v>
      </c>
      <c r="P623" s="1390"/>
      <c r="Q623" s="1390"/>
      <c r="R623" s="1454"/>
    </row>
    <row r="624" spans="1:18" s="1564" customFormat="1" ht="36">
      <c r="A624" s="1443">
        <v>4240</v>
      </c>
      <c r="B624" s="1451" t="s">
        <v>758</v>
      </c>
      <c r="C624" s="1389">
        <v>131100</v>
      </c>
      <c r="D624" s="830">
        <f t="shared" si="82"/>
        <v>131100</v>
      </c>
      <c r="E624" s="1390">
        <f t="shared" si="86"/>
        <v>34924</v>
      </c>
      <c r="F624" s="1366">
        <f t="shared" si="85"/>
        <v>26.639206712433257</v>
      </c>
      <c r="G624" s="1390"/>
      <c r="H624" s="1445"/>
      <c r="I624" s="1446"/>
      <c r="J624" s="1445"/>
      <c r="K624" s="1390"/>
      <c r="L624" s="1446"/>
      <c r="M624" s="1389">
        <v>131100</v>
      </c>
      <c r="N624" s="1390">
        <v>34924</v>
      </c>
      <c r="O624" s="1395">
        <f t="shared" si="81"/>
        <v>26.639206712433257</v>
      </c>
      <c r="P624" s="1390"/>
      <c r="Q624" s="1390"/>
      <c r="R624" s="1454"/>
    </row>
    <row r="625" spans="1:18" s="1564" customFormat="1" ht="12.75">
      <c r="A625" s="1443">
        <v>4260</v>
      </c>
      <c r="B625" s="1451" t="s">
        <v>694</v>
      </c>
      <c r="C625" s="1389">
        <v>824000</v>
      </c>
      <c r="D625" s="830">
        <f t="shared" si="82"/>
        <v>824000</v>
      </c>
      <c r="E625" s="1390">
        <f t="shared" si="86"/>
        <v>549248</v>
      </c>
      <c r="F625" s="1366">
        <f t="shared" si="85"/>
        <v>66.65631067961165</v>
      </c>
      <c r="G625" s="1390"/>
      <c r="H625" s="1445"/>
      <c r="I625" s="1446"/>
      <c r="J625" s="1445"/>
      <c r="K625" s="1390"/>
      <c r="L625" s="1446"/>
      <c r="M625" s="1389">
        <v>824000</v>
      </c>
      <c r="N625" s="1390">
        <v>549248</v>
      </c>
      <c r="O625" s="1395">
        <f t="shared" si="81"/>
        <v>66.65631067961165</v>
      </c>
      <c r="P625" s="1390"/>
      <c r="Q625" s="1390"/>
      <c r="R625" s="1454"/>
    </row>
    <row r="626" spans="1:18" s="1564" customFormat="1" ht="12.75">
      <c r="A626" s="1443">
        <v>4270</v>
      </c>
      <c r="B626" s="1451" t="s">
        <v>696</v>
      </c>
      <c r="C626" s="1389">
        <v>37600</v>
      </c>
      <c r="D626" s="830">
        <f t="shared" si="82"/>
        <v>37600</v>
      </c>
      <c r="E626" s="1390">
        <f t="shared" si="86"/>
        <v>8763</v>
      </c>
      <c r="F626" s="1366">
        <f t="shared" si="85"/>
        <v>23.305851063829788</v>
      </c>
      <c r="G626" s="1390"/>
      <c r="H626" s="1445"/>
      <c r="I626" s="1446"/>
      <c r="J626" s="1445"/>
      <c r="K626" s="1390"/>
      <c r="L626" s="1446"/>
      <c r="M626" s="1389">
        <v>37600</v>
      </c>
      <c r="N626" s="1390">
        <v>8763</v>
      </c>
      <c r="O626" s="1395">
        <f t="shared" si="81"/>
        <v>23.305851063829788</v>
      </c>
      <c r="P626" s="1390"/>
      <c r="Q626" s="1390"/>
      <c r="R626" s="1454"/>
    </row>
    <row r="627" spans="1:18" s="1564" customFormat="1" ht="12.75">
      <c r="A627" s="1443">
        <v>4280</v>
      </c>
      <c r="B627" s="1451" t="s">
        <v>745</v>
      </c>
      <c r="C627" s="1389">
        <v>16200</v>
      </c>
      <c r="D627" s="830">
        <f t="shared" si="82"/>
        <v>16200</v>
      </c>
      <c r="E627" s="1390">
        <f t="shared" si="86"/>
        <v>5817</v>
      </c>
      <c r="F627" s="1366">
        <f t="shared" si="85"/>
        <v>35.90740740740741</v>
      </c>
      <c r="G627" s="1390"/>
      <c r="H627" s="1445"/>
      <c r="I627" s="1446"/>
      <c r="J627" s="1445"/>
      <c r="K627" s="1390"/>
      <c r="L627" s="1446"/>
      <c r="M627" s="1389">
        <v>16200</v>
      </c>
      <c r="N627" s="1390">
        <v>5817</v>
      </c>
      <c r="O627" s="1395">
        <f t="shared" si="81"/>
        <v>35.90740740740741</v>
      </c>
      <c r="P627" s="1390"/>
      <c r="Q627" s="1390"/>
      <c r="R627" s="1454"/>
    </row>
    <row r="628" spans="1:18" s="1564" customFormat="1" ht="12.75">
      <c r="A628" s="1443">
        <v>4300</v>
      </c>
      <c r="B628" s="1451" t="s">
        <v>698</v>
      </c>
      <c r="C628" s="1389">
        <v>275000</v>
      </c>
      <c r="D628" s="830">
        <f t="shared" si="82"/>
        <v>289400</v>
      </c>
      <c r="E628" s="1390">
        <f t="shared" si="86"/>
        <v>156466</v>
      </c>
      <c r="F628" s="1366">
        <f t="shared" si="85"/>
        <v>54.06565307532827</v>
      </c>
      <c r="G628" s="1390"/>
      <c r="H628" s="1445"/>
      <c r="I628" s="1446"/>
      <c r="J628" s="1445"/>
      <c r="K628" s="1390"/>
      <c r="L628" s="1446"/>
      <c r="M628" s="1389">
        <f>275000+14400</f>
        <v>289400</v>
      </c>
      <c r="N628" s="1390">
        <v>156466</v>
      </c>
      <c r="O628" s="1395">
        <f t="shared" si="81"/>
        <v>54.06565307532827</v>
      </c>
      <c r="P628" s="1390"/>
      <c r="Q628" s="1390"/>
      <c r="R628" s="1454"/>
    </row>
    <row r="629" spans="1:18" s="1564" customFormat="1" ht="24">
      <c r="A629" s="1443">
        <v>4350</v>
      </c>
      <c r="B629" s="1451" t="s">
        <v>869</v>
      </c>
      <c r="C629" s="1389">
        <v>13600</v>
      </c>
      <c r="D629" s="830">
        <f t="shared" si="82"/>
        <v>13600</v>
      </c>
      <c r="E629" s="1390">
        <f t="shared" si="86"/>
        <v>3431</v>
      </c>
      <c r="F629" s="1366">
        <f t="shared" si="85"/>
        <v>25.227941176470587</v>
      </c>
      <c r="G629" s="1390"/>
      <c r="H629" s="1445"/>
      <c r="I629" s="1446"/>
      <c r="J629" s="1445"/>
      <c r="K629" s="1390"/>
      <c r="L629" s="1446"/>
      <c r="M629" s="1389">
        <v>13600</v>
      </c>
      <c r="N629" s="1390">
        <v>3431</v>
      </c>
      <c r="O629" s="1395">
        <f t="shared" si="81"/>
        <v>25.227941176470587</v>
      </c>
      <c r="P629" s="1390"/>
      <c r="Q629" s="1390"/>
      <c r="R629" s="1454"/>
    </row>
    <row r="630" spans="1:18" s="1564" customFormat="1" ht="12.75">
      <c r="A630" s="1443">
        <v>4410</v>
      </c>
      <c r="B630" s="1451" t="s">
        <v>672</v>
      </c>
      <c r="C630" s="1389">
        <v>22000</v>
      </c>
      <c r="D630" s="830">
        <f t="shared" si="82"/>
        <v>22000</v>
      </c>
      <c r="E630" s="1390">
        <f t="shared" si="86"/>
        <v>10257</v>
      </c>
      <c r="F630" s="1366">
        <f t="shared" si="85"/>
        <v>46.622727272727275</v>
      </c>
      <c r="G630" s="1390"/>
      <c r="H630" s="1445"/>
      <c r="I630" s="1446"/>
      <c r="J630" s="1445"/>
      <c r="K630" s="1390"/>
      <c r="L630" s="1446"/>
      <c r="M630" s="1389">
        <v>22000</v>
      </c>
      <c r="N630" s="1390">
        <v>10257</v>
      </c>
      <c r="O630" s="1395">
        <f t="shared" si="81"/>
        <v>46.622727272727275</v>
      </c>
      <c r="P630" s="1390"/>
      <c r="Q630" s="1390"/>
      <c r="R630" s="1454"/>
    </row>
    <row r="631" spans="1:18" s="1564" customFormat="1" ht="24">
      <c r="A631" s="1443">
        <v>4420</v>
      </c>
      <c r="B631" s="1451" t="s">
        <v>785</v>
      </c>
      <c r="C631" s="1389">
        <v>15800</v>
      </c>
      <c r="D631" s="830">
        <f t="shared" si="82"/>
        <v>15800</v>
      </c>
      <c r="E631" s="1390">
        <f t="shared" si="86"/>
        <v>5306</v>
      </c>
      <c r="F631" s="1366">
        <f t="shared" si="85"/>
        <v>33.58227848101266</v>
      </c>
      <c r="G631" s="1390"/>
      <c r="H631" s="1445"/>
      <c r="I631" s="1446"/>
      <c r="J631" s="1445"/>
      <c r="K631" s="1390"/>
      <c r="L631" s="1446"/>
      <c r="M631" s="1389">
        <v>15800</v>
      </c>
      <c r="N631" s="1390">
        <v>5306</v>
      </c>
      <c r="O631" s="1395">
        <f>N631/M631*100</f>
        <v>33.58227848101266</v>
      </c>
      <c r="P631" s="1390"/>
      <c r="Q631" s="1390"/>
      <c r="R631" s="1454"/>
    </row>
    <row r="632" spans="1:18" s="1564" customFormat="1" ht="12.75">
      <c r="A632" s="1443">
        <v>4440</v>
      </c>
      <c r="B632" s="1451" t="s">
        <v>702</v>
      </c>
      <c r="C632" s="1389">
        <v>588300</v>
      </c>
      <c r="D632" s="830">
        <f t="shared" si="82"/>
        <v>593730</v>
      </c>
      <c r="E632" s="1390">
        <f t="shared" si="86"/>
        <v>486510</v>
      </c>
      <c r="F632" s="1366">
        <f t="shared" si="85"/>
        <v>81.94128644333283</v>
      </c>
      <c r="G632" s="1390"/>
      <c r="H632" s="1445"/>
      <c r="I632" s="1446"/>
      <c r="J632" s="1445"/>
      <c r="K632" s="1390"/>
      <c r="L632" s="1446"/>
      <c r="M632" s="1389">
        <f>588300-500+5930</f>
        <v>593730</v>
      </c>
      <c r="N632" s="1390">
        <v>486510</v>
      </c>
      <c r="O632" s="1369">
        <f>N632/M632*100</f>
        <v>81.94128644333283</v>
      </c>
      <c r="P632" s="1390"/>
      <c r="Q632" s="1390"/>
      <c r="R632" s="1454"/>
    </row>
    <row r="633" spans="1:18" s="1564" customFormat="1" ht="24" hidden="1">
      <c r="A633" s="1443">
        <v>6050</v>
      </c>
      <c r="B633" s="1451" t="s">
        <v>767</v>
      </c>
      <c r="C633" s="1389"/>
      <c r="D633" s="830">
        <f t="shared" si="82"/>
        <v>0</v>
      </c>
      <c r="E633" s="1390">
        <f t="shared" si="86"/>
        <v>0</v>
      </c>
      <c r="F633" s="1366" t="e">
        <f t="shared" si="85"/>
        <v>#DIV/0!</v>
      </c>
      <c r="G633" s="1390"/>
      <c r="H633" s="1445"/>
      <c r="I633" s="1446"/>
      <c r="J633" s="1445"/>
      <c r="K633" s="1390"/>
      <c r="L633" s="1446"/>
      <c r="M633" s="1389"/>
      <c r="N633" s="1390"/>
      <c r="O633" s="1395" t="e">
        <f>N633/M633*100</f>
        <v>#DIV/0!</v>
      </c>
      <c r="P633" s="1390"/>
      <c r="Q633" s="1390"/>
      <c r="R633" s="1454"/>
    </row>
    <row r="634" spans="1:18" s="1564" customFormat="1" ht="36" hidden="1">
      <c r="A634" s="1443">
        <v>6060</v>
      </c>
      <c r="B634" s="1451" t="s">
        <v>841</v>
      </c>
      <c r="C634" s="1389"/>
      <c r="D634" s="830">
        <f t="shared" si="82"/>
        <v>0</v>
      </c>
      <c r="E634" s="1390">
        <f t="shared" si="86"/>
        <v>0</v>
      </c>
      <c r="F634" s="1366" t="e">
        <f t="shared" si="85"/>
        <v>#DIV/0!</v>
      </c>
      <c r="G634" s="1390"/>
      <c r="H634" s="1445"/>
      <c r="I634" s="1446"/>
      <c r="J634" s="1445"/>
      <c r="K634" s="1390"/>
      <c r="L634" s="1446"/>
      <c r="M634" s="1389"/>
      <c r="N634" s="1487"/>
      <c r="O634" s="1366" t="e">
        <f>N634/M634*100</f>
        <v>#DIV/0!</v>
      </c>
      <c r="P634" s="1390"/>
      <c r="Q634" s="1390"/>
      <c r="R634" s="1454"/>
    </row>
    <row r="635" spans="1:18" s="1564" customFormat="1" ht="39.75" customHeight="1">
      <c r="A635" s="1436">
        <v>80132</v>
      </c>
      <c r="B635" s="1529" t="s">
        <v>884</v>
      </c>
      <c r="C635" s="1438">
        <f>SUM(C636:C648)</f>
        <v>206800</v>
      </c>
      <c r="D635" s="845">
        <f>G635+J635+P635+M635</f>
        <v>206580</v>
      </c>
      <c r="E635" s="1380">
        <f>H635+K635+Q635+N635</f>
        <v>118671</v>
      </c>
      <c r="F635" s="1381">
        <f t="shared" si="85"/>
        <v>57.44554167876852</v>
      </c>
      <c r="G635" s="1477"/>
      <c r="H635" s="1476"/>
      <c r="I635" s="1575"/>
      <c r="J635" s="1476"/>
      <c r="K635" s="1477"/>
      <c r="L635" s="1575"/>
      <c r="M635" s="1438">
        <f>SUM(M636:M648)</f>
        <v>206580</v>
      </c>
      <c r="N635" s="1380">
        <f>SUM(N636:N648)</f>
        <v>118671</v>
      </c>
      <c r="O635" s="1388">
        <f aca="true" t="shared" si="87" ref="O635:O697">N635/M635*100</f>
        <v>57.44554167876852</v>
      </c>
      <c r="P635" s="1380"/>
      <c r="Q635" s="1380"/>
      <c r="R635" s="1478"/>
    </row>
    <row r="636" spans="1:18" s="1564" customFormat="1" ht="36">
      <c r="A636" s="1422">
        <v>3020</v>
      </c>
      <c r="B636" s="1451" t="s">
        <v>1266</v>
      </c>
      <c r="C636" s="1393">
        <v>200</v>
      </c>
      <c r="D636" s="869">
        <f>G636+J636+P636+M636</f>
        <v>200</v>
      </c>
      <c r="E636" s="1407">
        <f aca="true" t="shared" si="88" ref="E636:E648">SUM(H636+K636+N636+Q636)</f>
        <v>0</v>
      </c>
      <c r="F636" s="1391">
        <f t="shared" si="85"/>
        <v>0</v>
      </c>
      <c r="G636" s="1407"/>
      <c r="H636" s="1548"/>
      <c r="I636" s="1543"/>
      <c r="J636" s="1548"/>
      <c r="K636" s="1407"/>
      <c r="L636" s="1543"/>
      <c r="M636" s="1393">
        <v>200</v>
      </c>
      <c r="N636" s="1407"/>
      <c r="O636" s="1410">
        <f t="shared" si="87"/>
        <v>0</v>
      </c>
      <c r="P636" s="1407"/>
      <c r="Q636" s="1407"/>
      <c r="R636" s="1550"/>
    </row>
    <row r="637" spans="1:18" s="1564" customFormat="1" ht="24">
      <c r="A637" s="1443">
        <v>4010</v>
      </c>
      <c r="B637" s="1451" t="s">
        <v>680</v>
      </c>
      <c r="C637" s="1389">
        <v>141000</v>
      </c>
      <c r="D637" s="830">
        <f aca="true" t="shared" si="89" ref="D637:D648">G637+J637+P637+M637</f>
        <v>141000</v>
      </c>
      <c r="E637" s="1390">
        <f t="shared" si="88"/>
        <v>75879</v>
      </c>
      <c r="F637" s="1366">
        <f t="shared" si="85"/>
        <v>53.814893617021276</v>
      </c>
      <c r="G637" s="1390"/>
      <c r="H637" s="1445"/>
      <c r="I637" s="1446"/>
      <c r="J637" s="1445"/>
      <c r="K637" s="1390"/>
      <c r="L637" s="1446"/>
      <c r="M637" s="1389">
        <v>141000</v>
      </c>
      <c r="N637" s="1390">
        <v>75879</v>
      </c>
      <c r="O637" s="1395">
        <f t="shared" si="87"/>
        <v>53.814893617021276</v>
      </c>
      <c r="P637" s="1390"/>
      <c r="Q637" s="1390"/>
      <c r="R637" s="1454"/>
    </row>
    <row r="638" spans="1:18" s="1564" customFormat="1" ht="24">
      <c r="A638" s="1443">
        <v>4040</v>
      </c>
      <c r="B638" s="1451" t="s">
        <v>684</v>
      </c>
      <c r="C638" s="1389">
        <v>11700</v>
      </c>
      <c r="D638" s="830">
        <f t="shared" si="89"/>
        <v>11480</v>
      </c>
      <c r="E638" s="1390">
        <f t="shared" si="88"/>
        <v>11480</v>
      </c>
      <c r="F638" s="1366">
        <f t="shared" si="85"/>
        <v>100</v>
      </c>
      <c r="G638" s="1390"/>
      <c r="H638" s="1445"/>
      <c r="I638" s="1446"/>
      <c r="J638" s="1445"/>
      <c r="K638" s="1390"/>
      <c r="L638" s="1446"/>
      <c r="M638" s="1389">
        <f>11700-220</f>
        <v>11480</v>
      </c>
      <c r="N638" s="1390">
        <v>11480</v>
      </c>
      <c r="O638" s="1369">
        <f t="shared" si="87"/>
        <v>100</v>
      </c>
      <c r="P638" s="1390"/>
      <c r="Q638" s="1390"/>
      <c r="R638" s="1454"/>
    </row>
    <row r="639" spans="1:18" s="1564" customFormat="1" ht="24">
      <c r="A639" s="1443">
        <v>4110</v>
      </c>
      <c r="B639" s="1451" t="s">
        <v>686</v>
      </c>
      <c r="C639" s="1389">
        <v>27000</v>
      </c>
      <c r="D639" s="830">
        <f t="shared" si="89"/>
        <v>27000</v>
      </c>
      <c r="E639" s="1390">
        <f t="shared" si="88"/>
        <v>14825</v>
      </c>
      <c r="F639" s="1366">
        <f t="shared" si="85"/>
        <v>54.907407407407405</v>
      </c>
      <c r="G639" s="1390"/>
      <c r="H639" s="1445"/>
      <c r="I639" s="1446"/>
      <c r="J639" s="1445"/>
      <c r="K639" s="1390"/>
      <c r="L639" s="1446"/>
      <c r="M639" s="1389">
        <v>27000</v>
      </c>
      <c r="N639" s="1390">
        <v>14825</v>
      </c>
      <c r="O639" s="1395">
        <f t="shared" si="87"/>
        <v>54.907407407407405</v>
      </c>
      <c r="P639" s="1390"/>
      <c r="Q639" s="1390"/>
      <c r="R639" s="1454"/>
    </row>
    <row r="640" spans="1:18" s="1564" customFormat="1" ht="17.25" customHeight="1">
      <c r="A640" s="1443">
        <v>4120</v>
      </c>
      <c r="B640" s="1451" t="s">
        <v>781</v>
      </c>
      <c r="C640" s="1389">
        <v>3700</v>
      </c>
      <c r="D640" s="830">
        <f t="shared" si="89"/>
        <v>3700</v>
      </c>
      <c r="E640" s="1390">
        <f t="shared" si="88"/>
        <v>2160</v>
      </c>
      <c r="F640" s="1366">
        <f t="shared" si="85"/>
        <v>58.37837837837838</v>
      </c>
      <c r="G640" s="1390"/>
      <c r="H640" s="1445"/>
      <c r="I640" s="1446"/>
      <c r="J640" s="1445"/>
      <c r="K640" s="1390"/>
      <c r="L640" s="1446"/>
      <c r="M640" s="1389">
        <v>3700</v>
      </c>
      <c r="N640" s="1390">
        <v>2160</v>
      </c>
      <c r="O640" s="1395">
        <f t="shared" si="87"/>
        <v>58.37837837837838</v>
      </c>
      <c r="P640" s="1390"/>
      <c r="Q640" s="1390"/>
      <c r="R640" s="1454"/>
    </row>
    <row r="641" spans="1:18" s="1564" customFormat="1" ht="24">
      <c r="A641" s="1443">
        <v>4210</v>
      </c>
      <c r="B641" s="1451" t="s">
        <v>690</v>
      </c>
      <c r="C641" s="1389">
        <v>2000</v>
      </c>
      <c r="D641" s="830">
        <f t="shared" si="89"/>
        <v>2900</v>
      </c>
      <c r="E641" s="1390">
        <f t="shared" si="88"/>
        <v>2232</v>
      </c>
      <c r="F641" s="1366">
        <f t="shared" si="85"/>
        <v>76.96551724137932</v>
      </c>
      <c r="G641" s="1390"/>
      <c r="H641" s="1445"/>
      <c r="I641" s="1446"/>
      <c r="J641" s="1445"/>
      <c r="K641" s="1390"/>
      <c r="L641" s="1446"/>
      <c r="M641" s="1389">
        <f>2000+900</f>
        <v>2900</v>
      </c>
      <c r="N641" s="1390">
        <v>2232</v>
      </c>
      <c r="O641" s="1395">
        <f t="shared" si="87"/>
        <v>76.96551724137932</v>
      </c>
      <c r="P641" s="1390"/>
      <c r="Q641" s="1390"/>
      <c r="R641" s="1454"/>
    </row>
    <row r="642" spans="1:18" s="1564" customFormat="1" ht="39" customHeight="1">
      <c r="A642" s="1443">
        <v>4240</v>
      </c>
      <c r="B642" s="1451" t="s">
        <v>758</v>
      </c>
      <c r="C642" s="1389">
        <v>2000</v>
      </c>
      <c r="D642" s="830">
        <f t="shared" si="89"/>
        <v>1500</v>
      </c>
      <c r="E642" s="1390">
        <f t="shared" si="88"/>
        <v>25</v>
      </c>
      <c r="F642" s="1366">
        <f t="shared" si="85"/>
        <v>1.6666666666666667</v>
      </c>
      <c r="G642" s="1390"/>
      <c r="H642" s="1445"/>
      <c r="I642" s="1446"/>
      <c r="J642" s="1445"/>
      <c r="K642" s="1390"/>
      <c r="L642" s="1446"/>
      <c r="M642" s="1389">
        <f>2000-500</f>
        <v>1500</v>
      </c>
      <c r="N642" s="1390">
        <v>25</v>
      </c>
      <c r="O642" s="1395">
        <f t="shared" si="87"/>
        <v>1.6666666666666667</v>
      </c>
      <c r="P642" s="1390"/>
      <c r="Q642" s="1390"/>
      <c r="R642" s="1454"/>
    </row>
    <row r="643" spans="1:18" s="1564" customFormat="1" ht="16.5" customHeight="1" hidden="1">
      <c r="A643" s="1443">
        <v>4260</v>
      </c>
      <c r="B643" s="1451" t="s">
        <v>694</v>
      </c>
      <c r="C643" s="1389"/>
      <c r="D643" s="830">
        <f t="shared" si="89"/>
        <v>0</v>
      </c>
      <c r="E643" s="1390">
        <f t="shared" si="88"/>
        <v>0</v>
      </c>
      <c r="F643" s="1366" t="e">
        <f t="shared" si="85"/>
        <v>#DIV/0!</v>
      </c>
      <c r="G643" s="1390"/>
      <c r="H643" s="1445"/>
      <c r="I643" s="1446"/>
      <c r="J643" s="1445"/>
      <c r="K643" s="1390"/>
      <c r="L643" s="1446"/>
      <c r="M643" s="1389"/>
      <c r="N643" s="1390"/>
      <c r="O643" s="1395" t="e">
        <f t="shared" si="87"/>
        <v>#DIV/0!</v>
      </c>
      <c r="P643" s="1390"/>
      <c r="Q643" s="1390"/>
      <c r="R643" s="1454"/>
    </row>
    <row r="644" spans="1:18" s="1564" customFormat="1" ht="16.5" customHeight="1">
      <c r="A644" s="1443">
        <v>4280</v>
      </c>
      <c r="B644" s="1451" t="s">
        <v>745</v>
      </c>
      <c r="C644" s="1389">
        <v>300</v>
      </c>
      <c r="D644" s="830">
        <f t="shared" si="89"/>
        <v>300</v>
      </c>
      <c r="E644" s="1390">
        <f t="shared" si="88"/>
        <v>0</v>
      </c>
      <c r="F644" s="1366">
        <f t="shared" si="85"/>
        <v>0</v>
      </c>
      <c r="G644" s="1390"/>
      <c r="H644" s="1445"/>
      <c r="I644" s="1446"/>
      <c r="J644" s="1445"/>
      <c r="K644" s="1390"/>
      <c r="L644" s="1446"/>
      <c r="M644" s="1389">
        <v>300</v>
      </c>
      <c r="N644" s="1390"/>
      <c r="O644" s="1395">
        <f t="shared" si="87"/>
        <v>0</v>
      </c>
      <c r="P644" s="1390"/>
      <c r="Q644" s="1390"/>
      <c r="R644" s="1454"/>
    </row>
    <row r="645" spans="1:18" s="1564" customFormat="1" ht="16.5" customHeight="1">
      <c r="A645" s="1443">
        <v>4300</v>
      </c>
      <c r="B645" s="1451" t="s">
        <v>698</v>
      </c>
      <c r="C645" s="1389">
        <v>6000</v>
      </c>
      <c r="D645" s="830">
        <f t="shared" si="89"/>
        <v>5300</v>
      </c>
      <c r="E645" s="1390">
        <f t="shared" si="88"/>
        <v>2621</v>
      </c>
      <c r="F645" s="1366">
        <f t="shared" si="85"/>
        <v>49.45283018867925</v>
      </c>
      <c r="G645" s="1390"/>
      <c r="H645" s="1445"/>
      <c r="I645" s="1446"/>
      <c r="J645" s="1445"/>
      <c r="K645" s="1390"/>
      <c r="L645" s="1446"/>
      <c r="M645" s="1389">
        <f>6000-700</f>
        <v>5300</v>
      </c>
      <c r="N645" s="1390">
        <v>2621</v>
      </c>
      <c r="O645" s="1395">
        <f t="shared" si="87"/>
        <v>49.45283018867925</v>
      </c>
      <c r="P645" s="1390"/>
      <c r="Q645" s="1390"/>
      <c r="R645" s="1454"/>
    </row>
    <row r="646" spans="1:18" s="1564" customFormat="1" ht="24">
      <c r="A646" s="1443">
        <v>4350</v>
      </c>
      <c r="B646" s="1451" t="s">
        <v>869</v>
      </c>
      <c r="C646" s="1389">
        <v>1600</v>
      </c>
      <c r="D646" s="830">
        <f t="shared" si="89"/>
        <v>1600</v>
      </c>
      <c r="E646" s="1390">
        <f t="shared" si="88"/>
        <v>758</v>
      </c>
      <c r="F646" s="1366">
        <f t="shared" si="85"/>
        <v>47.375</v>
      </c>
      <c r="G646" s="1390"/>
      <c r="H646" s="1445"/>
      <c r="I646" s="1446"/>
      <c r="J646" s="1445"/>
      <c r="K646" s="1390"/>
      <c r="L646" s="1446"/>
      <c r="M646" s="1389">
        <v>1600</v>
      </c>
      <c r="N646" s="1390">
        <v>758</v>
      </c>
      <c r="O646" s="1395">
        <f t="shared" si="87"/>
        <v>47.375</v>
      </c>
      <c r="P646" s="1390"/>
      <c r="Q646" s="1390"/>
      <c r="R646" s="1454"/>
    </row>
    <row r="647" spans="1:18" s="1564" customFormat="1" ht="16.5" customHeight="1">
      <c r="A647" s="1443">
        <v>4410</v>
      </c>
      <c r="B647" s="1451" t="s">
        <v>672</v>
      </c>
      <c r="C647" s="1389">
        <v>600</v>
      </c>
      <c r="D647" s="830">
        <f t="shared" si="89"/>
        <v>900</v>
      </c>
      <c r="E647" s="1390">
        <f t="shared" si="88"/>
        <v>666</v>
      </c>
      <c r="F647" s="1366">
        <f t="shared" si="85"/>
        <v>74</v>
      </c>
      <c r="G647" s="1390"/>
      <c r="H647" s="1445"/>
      <c r="I647" s="1446"/>
      <c r="J647" s="1445"/>
      <c r="K647" s="1390"/>
      <c r="L647" s="1446"/>
      <c r="M647" s="1389">
        <f>600+300</f>
        <v>900</v>
      </c>
      <c r="N647" s="1390">
        <v>666</v>
      </c>
      <c r="O647" s="1369">
        <f t="shared" si="87"/>
        <v>74</v>
      </c>
      <c r="P647" s="1390"/>
      <c r="Q647" s="1390"/>
      <c r="R647" s="1454"/>
    </row>
    <row r="648" spans="1:18" s="1564" customFormat="1" ht="15" customHeight="1">
      <c r="A648" s="1443">
        <v>4440</v>
      </c>
      <c r="B648" s="1451" t="s">
        <v>702</v>
      </c>
      <c r="C648" s="1389">
        <v>10700</v>
      </c>
      <c r="D648" s="830">
        <f t="shared" si="89"/>
        <v>10700</v>
      </c>
      <c r="E648" s="1390">
        <f t="shared" si="88"/>
        <v>8025</v>
      </c>
      <c r="F648" s="1366">
        <f t="shared" si="85"/>
        <v>75</v>
      </c>
      <c r="G648" s="1390"/>
      <c r="H648" s="1445"/>
      <c r="I648" s="1446"/>
      <c r="J648" s="1445"/>
      <c r="K648" s="1390"/>
      <c r="L648" s="1446"/>
      <c r="M648" s="1389">
        <v>10700</v>
      </c>
      <c r="N648" s="1390">
        <v>8025</v>
      </c>
      <c r="O648" s="1369">
        <f t="shared" si="87"/>
        <v>75</v>
      </c>
      <c r="P648" s="1390"/>
      <c r="Q648" s="1390"/>
      <c r="R648" s="1454"/>
    </row>
    <row r="649" spans="1:18" s="1672" customFormat="1" ht="30" customHeight="1" hidden="1">
      <c r="A649" s="1479">
        <v>80133</v>
      </c>
      <c r="B649" s="1576" t="s">
        <v>885</v>
      </c>
      <c r="C649" s="823">
        <f>SUM(C650)</f>
        <v>0</v>
      </c>
      <c r="D649" s="845"/>
      <c r="E649" s="845"/>
      <c r="F649" s="1381"/>
      <c r="G649" s="845"/>
      <c r="H649" s="1510"/>
      <c r="I649" s="1441"/>
      <c r="J649" s="1510"/>
      <c r="K649" s="845"/>
      <c r="L649" s="1441"/>
      <c r="M649" s="823"/>
      <c r="N649" s="845"/>
      <c r="O649" s="1388"/>
      <c r="P649" s="845"/>
      <c r="Q649" s="845"/>
      <c r="R649" s="826"/>
    </row>
    <row r="650" spans="1:18" s="1564" customFormat="1" ht="48" hidden="1">
      <c r="A650" s="1443">
        <v>2540</v>
      </c>
      <c r="B650" s="1451" t="s">
        <v>306</v>
      </c>
      <c r="C650" s="1389">
        <v>0</v>
      </c>
      <c r="D650" s="830"/>
      <c r="E650" s="856"/>
      <c r="F650" s="1381"/>
      <c r="G650" s="1390"/>
      <c r="H650" s="1445"/>
      <c r="I650" s="1446"/>
      <c r="J650" s="1445"/>
      <c r="K650" s="1390"/>
      <c r="L650" s="1446"/>
      <c r="M650" s="1389"/>
      <c r="N650" s="1390"/>
      <c r="O650" s="1395"/>
      <c r="P650" s="1390"/>
      <c r="Q650" s="1390"/>
      <c r="R650" s="1454"/>
    </row>
    <row r="651" spans="1:18" s="1564" customFormat="1" ht="26.25" customHeight="1">
      <c r="A651" s="1436">
        <v>80134</v>
      </c>
      <c r="B651" s="1529" t="s">
        <v>886</v>
      </c>
      <c r="C651" s="1438">
        <f>SUM(C652:C665)</f>
        <v>1132600</v>
      </c>
      <c r="D651" s="845">
        <f>G651+J651+P651+M651</f>
        <v>1127920</v>
      </c>
      <c r="E651" s="1380">
        <f>H651+K651+Q651+N651</f>
        <v>605946</v>
      </c>
      <c r="F651" s="1381">
        <f t="shared" si="85"/>
        <v>53.722427122490956</v>
      </c>
      <c r="G651" s="1477"/>
      <c r="H651" s="1476"/>
      <c r="I651" s="1575"/>
      <c r="J651" s="1476"/>
      <c r="K651" s="1477"/>
      <c r="L651" s="1575"/>
      <c r="M651" s="1675">
        <f>SUM(M652:M665)</f>
        <v>1127920</v>
      </c>
      <c r="N651" s="1380">
        <f>SUM(N652:N665)</f>
        <v>605946</v>
      </c>
      <c r="O651" s="1388">
        <f t="shared" si="87"/>
        <v>53.722427122490956</v>
      </c>
      <c r="P651" s="1380"/>
      <c r="Q651" s="1380"/>
      <c r="R651" s="1478"/>
    </row>
    <row r="652" spans="1:18" s="1564" customFormat="1" ht="36">
      <c r="A652" s="1422">
        <v>3020</v>
      </c>
      <c r="B652" s="1451" t="s">
        <v>1266</v>
      </c>
      <c r="C652" s="1393">
        <v>4400</v>
      </c>
      <c r="D652" s="869">
        <f aca="true" t="shared" si="90" ref="D652:E673">G652+J652+P652+M652</f>
        <v>4400</v>
      </c>
      <c r="E652" s="1407">
        <f>SUM(H652+K652+N652+Q652)</f>
        <v>1522</v>
      </c>
      <c r="F652" s="1391">
        <f t="shared" si="85"/>
        <v>34.590909090909086</v>
      </c>
      <c r="G652" s="1407"/>
      <c r="H652" s="1548"/>
      <c r="I652" s="1543"/>
      <c r="J652" s="1548"/>
      <c r="K652" s="1407"/>
      <c r="L652" s="1543"/>
      <c r="M652" s="1393">
        <v>4400</v>
      </c>
      <c r="N652" s="1407">
        <v>1522</v>
      </c>
      <c r="O652" s="1395">
        <f t="shared" si="87"/>
        <v>34.590909090909086</v>
      </c>
      <c r="P652" s="1407"/>
      <c r="Q652" s="1407"/>
      <c r="R652" s="1550"/>
    </row>
    <row r="653" spans="1:18" s="1564" customFormat="1" ht="28.5" customHeight="1">
      <c r="A653" s="1443">
        <v>4010</v>
      </c>
      <c r="B653" s="1451" t="s">
        <v>680</v>
      </c>
      <c r="C653" s="1389">
        <v>764000</v>
      </c>
      <c r="D653" s="830">
        <f t="shared" si="90"/>
        <v>764000</v>
      </c>
      <c r="E653" s="1390">
        <f aca="true" t="shared" si="91" ref="E653:E665">SUM(H653+K653+N653+Q653)</f>
        <v>372850</v>
      </c>
      <c r="F653" s="1366">
        <f t="shared" si="85"/>
        <v>48.802356020942405</v>
      </c>
      <c r="G653" s="1390"/>
      <c r="H653" s="1445"/>
      <c r="I653" s="1446"/>
      <c r="J653" s="1445"/>
      <c r="K653" s="1390"/>
      <c r="L653" s="1446"/>
      <c r="M653" s="1389">
        <v>764000</v>
      </c>
      <c r="N653" s="1390">
        <v>372850</v>
      </c>
      <c r="O653" s="1395">
        <f t="shared" si="87"/>
        <v>48.802356020942405</v>
      </c>
      <c r="P653" s="1390"/>
      <c r="Q653" s="1390"/>
      <c r="R653" s="1454"/>
    </row>
    <row r="654" spans="1:18" s="1564" customFormat="1" ht="24.75" customHeight="1">
      <c r="A654" s="1443">
        <v>4040</v>
      </c>
      <c r="B654" s="1451" t="s">
        <v>684</v>
      </c>
      <c r="C654" s="1389">
        <v>61000</v>
      </c>
      <c r="D654" s="830">
        <f t="shared" si="90"/>
        <v>56120</v>
      </c>
      <c r="E654" s="1390">
        <f t="shared" si="91"/>
        <v>56120</v>
      </c>
      <c r="F654" s="1366">
        <f t="shared" si="85"/>
        <v>100</v>
      </c>
      <c r="G654" s="1390"/>
      <c r="H654" s="1445"/>
      <c r="I654" s="1446"/>
      <c r="J654" s="1445"/>
      <c r="K654" s="1390"/>
      <c r="L654" s="1446"/>
      <c r="M654" s="1389">
        <f>61000-4880</f>
        <v>56120</v>
      </c>
      <c r="N654" s="1390">
        <v>56120</v>
      </c>
      <c r="O654" s="1369">
        <f t="shared" si="87"/>
        <v>100</v>
      </c>
      <c r="P654" s="1390"/>
      <c r="Q654" s="1390"/>
      <c r="R654" s="1454"/>
    </row>
    <row r="655" spans="1:18" s="1564" customFormat="1" ht="23.25" customHeight="1">
      <c r="A655" s="1443">
        <v>4110</v>
      </c>
      <c r="B655" s="1451" t="s">
        <v>686</v>
      </c>
      <c r="C655" s="1389">
        <v>147000</v>
      </c>
      <c r="D655" s="830">
        <f t="shared" si="90"/>
        <v>147000</v>
      </c>
      <c r="E655" s="1390">
        <f t="shared" si="91"/>
        <v>74394</v>
      </c>
      <c r="F655" s="1366">
        <f t="shared" si="85"/>
        <v>50.608163265306125</v>
      </c>
      <c r="G655" s="1390"/>
      <c r="H655" s="1445"/>
      <c r="I655" s="1446"/>
      <c r="J655" s="1445"/>
      <c r="K655" s="1390"/>
      <c r="L655" s="1446"/>
      <c r="M655" s="1389">
        <v>147000</v>
      </c>
      <c r="N655" s="1390">
        <v>74394</v>
      </c>
      <c r="O655" s="1395">
        <f t="shared" si="87"/>
        <v>50.608163265306125</v>
      </c>
      <c r="P655" s="1390"/>
      <c r="Q655" s="1390"/>
      <c r="R655" s="1454"/>
    </row>
    <row r="656" spans="1:18" s="1564" customFormat="1" ht="15" customHeight="1">
      <c r="A656" s="1443">
        <v>4120</v>
      </c>
      <c r="B656" s="1451" t="s">
        <v>781</v>
      </c>
      <c r="C656" s="1389">
        <v>19500</v>
      </c>
      <c r="D656" s="830">
        <f t="shared" si="90"/>
        <v>19500</v>
      </c>
      <c r="E656" s="1390">
        <f t="shared" si="91"/>
        <v>9278</v>
      </c>
      <c r="F656" s="1366">
        <f t="shared" si="85"/>
        <v>47.57948717948718</v>
      </c>
      <c r="G656" s="1390"/>
      <c r="H656" s="1445"/>
      <c r="I656" s="1446"/>
      <c r="J656" s="1445"/>
      <c r="K656" s="1390"/>
      <c r="L656" s="1446"/>
      <c r="M656" s="1389">
        <v>19500</v>
      </c>
      <c r="N656" s="1390">
        <v>9278</v>
      </c>
      <c r="O656" s="1395">
        <f t="shared" si="87"/>
        <v>47.57948717948718</v>
      </c>
      <c r="P656" s="1390"/>
      <c r="Q656" s="1390"/>
      <c r="R656" s="1454"/>
    </row>
    <row r="657" spans="1:18" s="1564" customFormat="1" ht="24.75" customHeight="1">
      <c r="A657" s="1443">
        <v>4210</v>
      </c>
      <c r="B657" s="1451" t="s">
        <v>690</v>
      </c>
      <c r="C657" s="1389">
        <v>9300</v>
      </c>
      <c r="D657" s="830">
        <f t="shared" si="90"/>
        <v>9300</v>
      </c>
      <c r="E657" s="1390">
        <f t="shared" si="91"/>
        <v>8931</v>
      </c>
      <c r="F657" s="1366">
        <f t="shared" si="85"/>
        <v>96.03225806451613</v>
      </c>
      <c r="G657" s="1390"/>
      <c r="H657" s="1445"/>
      <c r="I657" s="1446"/>
      <c r="J657" s="1445"/>
      <c r="K657" s="1390"/>
      <c r="L657" s="1446"/>
      <c r="M657" s="1389">
        <v>9300</v>
      </c>
      <c r="N657" s="1390">
        <v>8931</v>
      </c>
      <c r="O657" s="1395">
        <f t="shared" si="87"/>
        <v>96.03225806451613</v>
      </c>
      <c r="P657" s="1390"/>
      <c r="Q657" s="1390"/>
      <c r="R657" s="1454"/>
    </row>
    <row r="658" spans="1:18" s="1564" customFormat="1" ht="37.5" customHeight="1">
      <c r="A658" s="1443">
        <v>4240</v>
      </c>
      <c r="B658" s="1451" t="s">
        <v>758</v>
      </c>
      <c r="C658" s="1389">
        <v>3800</v>
      </c>
      <c r="D658" s="830">
        <f t="shared" si="90"/>
        <v>3800</v>
      </c>
      <c r="E658" s="830">
        <f t="shared" si="90"/>
        <v>0</v>
      </c>
      <c r="F658" s="1366">
        <f t="shared" si="85"/>
        <v>0</v>
      </c>
      <c r="G658" s="1390"/>
      <c r="H658" s="1445"/>
      <c r="I658" s="1446"/>
      <c r="J658" s="1445"/>
      <c r="K658" s="1390"/>
      <c r="L658" s="1446"/>
      <c r="M658" s="1389">
        <v>3800</v>
      </c>
      <c r="N658" s="1390"/>
      <c r="O658" s="1369">
        <f t="shared" si="87"/>
        <v>0</v>
      </c>
      <c r="P658" s="1390"/>
      <c r="Q658" s="1390"/>
      <c r="R658" s="1454"/>
    </row>
    <row r="659" spans="1:18" s="1564" customFormat="1" ht="15.75" customHeight="1">
      <c r="A659" s="1443">
        <v>4260</v>
      </c>
      <c r="B659" s="1451" t="s">
        <v>694</v>
      </c>
      <c r="C659" s="1389">
        <v>42300</v>
      </c>
      <c r="D659" s="830">
        <f t="shared" si="90"/>
        <v>42300</v>
      </c>
      <c r="E659" s="830">
        <f t="shared" si="90"/>
        <v>33384</v>
      </c>
      <c r="F659" s="1366">
        <f t="shared" si="85"/>
        <v>78.92198581560284</v>
      </c>
      <c r="G659" s="1390"/>
      <c r="H659" s="1445"/>
      <c r="I659" s="1446"/>
      <c r="J659" s="1445"/>
      <c r="K659" s="1390"/>
      <c r="L659" s="1446"/>
      <c r="M659" s="1389">
        <v>42300</v>
      </c>
      <c r="N659" s="1390">
        <v>33384</v>
      </c>
      <c r="O659" s="1395">
        <f t="shared" si="87"/>
        <v>78.92198581560284</v>
      </c>
      <c r="P659" s="1390"/>
      <c r="Q659" s="1390"/>
      <c r="R659" s="1454"/>
    </row>
    <row r="660" spans="1:18" s="1564" customFormat="1" ht="19.5" customHeight="1">
      <c r="A660" s="1443">
        <v>4270</v>
      </c>
      <c r="B660" s="1451" t="s">
        <v>696</v>
      </c>
      <c r="C660" s="1389">
        <v>2400</v>
      </c>
      <c r="D660" s="830">
        <f t="shared" si="90"/>
        <v>2400</v>
      </c>
      <c r="E660" s="830">
        <f t="shared" si="90"/>
        <v>551</v>
      </c>
      <c r="F660" s="1366">
        <f t="shared" si="85"/>
        <v>22.958333333333332</v>
      </c>
      <c r="G660" s="1390"/>
      <c r="H660" s="1445"/>
      <c r="I660" s="1446"/>
      <c r="J660" s="1445"/>
      <c r="K660" s="1390"/>
      <c r="L660" s="1446"/>
      <c r="M660" s="1389">
        <v>2400</v>
      </c>
      <c r="N660" s="1390">
        <v>551</v>
      </c>
      <c r="O660" s="1369">
        <f t="shared" si="87"/>
        <v>22.958333333333332</v>
      </c>
      <c r="P660" s="1390"/>
      <c r="Q660" s="1390"/>
      <c r="R660" s="1454"/>
    </row>
    <row r="661" spans="1:18" s="1564" customFormat="1" ht="21.75" customHeight="1">
      <c r="A661" s="1443">
        <v>4280</v>
      </c>
      <c r="B661" s="1451" t="s">
        <v>745</v>
      </c>
      <c r="C661" s="1389">
        <v>1300</v>
      </c>
      <c r="D661" s="830">
        <f t="shared" si="90"/>
        <v>1300</v>
      </c>
      <c r="E661" s="830">
        <f t="shared" si="90"/>
        <v>117</v>
      </c>
      <c r="F661" s="1366">
        <f t="shared" si="85"/>
        <v>9</v>
      </c>
      <c r="G661" s="1390"/>
      <c r="H661" s="1445"/>
      <c r="I661" s="1446"/>
      <c r="J661" s="1445"/>
      <c r="K661" s="1390"/>
      <c r="L661" s="1446"/>
      <c r="M661" s="1389">
        <v>1300</v>
      </c>
      <c r="N661" s="1390">
        <v>117</v>
      </c>
      <c r="O661" s="1395">
        <f t="shared" si="87"/>
        <v>9</v>
      </c>
      <c r="P661" s="1390"/>
      <c r="Q661" s="1390"/>
      <c r="R661" s="1454"/>
    </row>
    <row r="662" spans="1:18" s="1564" customFormat="1" ht="16.5" customHeight="1">
      <c r="A662" s="1443">
        <v>4300</v>
      </c>
      <c r="B662" s="1451" t="s">
        <v>698</v>
      </c>
      <c r="C662" s="1389">
        <v>38000</v>
      </c>
      <c r="D662" s="830">
        <f t="shared" si="90"/>
        <v>38000</v>
      </c>
      <c r="E662" s="1390">
        <f>SUM(H662+K662+N662+Q662)</f>
        <v>18364</v>
      </c>
      <c r="F662" s="1366">
        <f>E662/D662*100</f>
        <v>48.32631578947368</v>
      </c>
      <c r="G662" s="1390"/>
      <c r="H662" s="1445"/>
      <c r="I662" s="1446"/>
      <c r="J662" s="1445"/>
      <c r="K662" s="1390"/>
      <c r="L662" s="1446"/>
      <c r="M662" s="1389">
        <v>38000</v>
      </c>
      <c r="N662" s="1390">
        <v>18364</v>
      </c>
      <c r="O662" s="1395">
        <f>N662/M662*100</f>
        <v>48.32631578947368</v>
      </c>
      <c r="P662" s="1390"/>
      <c r="Q662" s="1390"/>
      <c r="R662" s="1454"/>
    </row>
    <row r="663" spans="1:18" s="1564" customFormat="1" ht="24">
      <c r="A663" s="1443">
        <v>4350</v>
      </c>
      <c r="B663" s="1451" t="s">
        <v>869</v>
      </c>
      <c r="C663" s="1389">
        <v>1000</v>
      </c>
      <c r="D663" s="830">
        <f t="shared" si="90"/>
        <v>1000</v>
      </c>
      <c r="E663" s="1390">
        <f>SUM(H663+K663+N663+Q663)</f>
        <v>460</v>
      </c>
      <c r="F663" s="1366">
        <f>E663/D663*100</f>
        <v>46</v>
      </c>
      <c r="G663" s="1390"/>
      <c r="H663" s="1445"/>
      <c r="I663" s="1446"/>
      <c r="J663" s="1445"/>
      <c r="K663" s="1390"/>
      <c r="L663" s="1446"/>
      <c r="M663" s="1389">
        <v>1000</v>
      </c>
      <c r="N663" s="1390">
        <v>460</v>
      </c>
      <c r="O663" s="1395">
        <f>N663/M663*100</f>
        <v>46</v>
      </c>
      <c r="P663" s="1390"/>
      <c r="Q663" s="1390"/>
      <c r="R663" s="1454"/>
    </row>
    <row r="664" spans="1:18" s="1564" customFormat="1" ht="16.5" customHeight="1">
      <c r="A664" s="1443">
        <v>4410</v>
      </c>
      <c r="B664" s="1451" t="s">
        <v>672</v>
      </c>
      <c r="C664" s="1389">
        <v>500</v>
      </c>
      <c r="D664" s="830">
        <f t="shared" si="90"/>
        <v>500</v>
      </c>
      <c r="E664" s="1390">
        <f>SUM(H664+K664+N664+Q664)</f>
        <v>500</v>
      </c>
      <c r="F664" s="1366">
        <f>E664/D664*100</f>
        <v>100</v>
      </c>
      <c r="G664" s="1390"/>
      <c r="H664" s="1445"/>
      <c r="I664" s="1446"/>
      <c r="J664" s="1445"/>
      <c r="K664" s="1390"/>
      <c r="L664" s="1446"/>
      <c r="M664" s="1389">
        <v>500</v>
      </c>
      <c r="N664" s="1390">
        <v>500</v>
      </c>
      <c r="O664" s="1369">
        <f>N664/M664*100</f>
        <v>100</v>
      </c>
      <c r="P664" s="1390"/>
      <c r="Q664" s="1390"/>
      <c r="R664" s="1454"/>
    </row>
    <row r="665" spans="1:18" s="1564" customFormat="1" ht="13.5" customHeight="1">
      <c r="A665" s="1492">
        <v>4440</v>
      </c>
      <c r="B665" s="1493" t="s">
        <v>702</v>
      </c>
      <c r="C665" s="1494">
        <v>38100</v>
      </c>
      <c r="D665" s="862">
        <f t="shared" si="90"/>
        <v>38300</v>
      </c>
      <c r="E665" s="1487">
        <f t="shared" si="91"/>
        <v>29475</v>
      </c>
      <c r="F665" s="1419">
        <f t="shared" si="85"/>
        <v>76.95822454308095</v>
      </c>
      <c r="G665" s="1487"/>
      <c r="H665" s="1495"/>
      <c r="I665" s="1551"/>
      <c r="J665" s="1495"/>
      <c r="K665" s="1487"/>
      <c r="L665" s="1551"/>
      <c r="M665" s="1494">
        <f>38100+200</f>
        <v>38300</v>
      </c>
      <c r="N665" s="1487">
        <v>29475</v>
      </c>
      <c r="O665" s="1666">
        <f t="shared" si="87"/>
        <v>76.95822454308095</v>
      </c>
      <c r="P665" s="1487"/>
      <c r="Q665" s="1487"/>
      <c r="R665" s="1539"/>
    </row>
    <row r="666" spans="1:18" s="1564" customFormat="1" ht="60">
      <c r="A666" s="1436">
        <v>80140</v>
      </c>
      <c r="B666" s="1529" t="s">
        <v>887</v>
      </c>
      <c r="C666" s="1438">
        <f>SUM(C667:C681)</f>
        <v>2748500</v>
      </c>
      <c r="D666" s="845">
        <f t="shared" si="90"/>
        <v>2755280</v>
      </c>
      <c r="E666" s="1380">
        <f>H666+K666+Q666+N666</f>
        <v>1564984</v>
      </c>
      <c r="F666" s="1381">
        <f aca="true" t="shared" si="92" ref="F666:F729">E666/D666*100</f>
        <v>56.79945413896228</v>
      </c>
      <c r="G666" s="1477"/>
      <c r="H666" s="1476"/>
      <c r="I666" s="1575"/>
      <c r="J666" s="1476"/>
      <c r="K666" s="1477"/>
      <c r="L666" s="1575"/>
      <c r="M666" s="1438">
        <f>SUM(M667:M681)</f>
        <v>2755280</v>
      </c>
      <c r="N666" s="1380">
        <f>SUM(N667:N681)</f>
        <v>1564984</v>
      </c>
      <c r="O666" s="1388">
        <f t="shared" si="87"/>
        <v>56.79945413896228</v>
      </c>
      <c r="P666" s="1380"/>
      <c r="Q666" s="1380"/>
      <c r="R666" s="1478"/>
    </row>
    <row r="667" spans="1:18" s="1564" customFormat="1" ht="36">
      <c r="A667" s="1443">
        <v>3020</v>
      </c>
      <c r="B667" s="1451" t="s">
        <v>1266</v>
      </c>
      <c r="C667" s="1389">
        <v>7800</v>
      </c>
      <c r="D667" s="830">
        <f t="shared" si="90"/>
        <v>7800</v>
      </c>
      <c r="E667" s="1390">
        <f aca="true" t="shared" si="93" ref="E667:E681">SUM(H667+K667+N667+Q667)</f>
        <v>481</v>
      </c>
      <c r="F667" s="1366">
        <f t="shared" si="92"/>
        <v>6.166666666666667</v>
      </c>
      <c r="G667" s="1390"/>
      <c r="H667" s="1445"/>
      <c r="I667" s="1446"/>
      <c r="J667" s="1445"/>
      <c r="K667" s="1390"/>
      <c r="L667" s="1446"/>
      <c r="M667" s="1389">
        <v>7800</v>
      </c>
      <c r="N667" s="1390">
        <v>481</v>
      </c>
      <c r="O667" s="1395">
        <f t="shared" si="87"/>
        <v>6.166666666666667</v>
      </c>
      <c r="P667" s="1390"/>
      <c r="Q667" s="1390"/>
      <c r="R667" s="1454"/>
    </row>
    <row r="668" spans="1:18" s="1564" customFormat="1" ht="24">
      <c r="A668" s="1443">
        <v>4010</v>
      </c>
      <c r="B668" s="1451" t="s">
        <v>680</v>
      </c>
      <c r="C668" s="1389">
        <v>1800000</v>
      </c>
      <c r="D668" s="830">
        <f t="shared" si="90"/>
        <v>1800000</v>
      </c>
      <c r="E668" s="1390">
        <f t="shared" si="93"/>
        <v>931021</v>
      </c>
      <c r="F668" s="1366">
        <f t="shared" si="92"/>
        <v>51.72338888888889</v>
      </c>
      <c r="G668" s="1390"/>
      <c r="H668" s="1445"/>
      <c r="I668" s="1446"/>
      <c r="J668" s="1445"/>
      <c r="K668" s="1390"/>
      <c r="L668" s="1446"/>
      <c r="M668" s="1389">
        <v>1800000</v>
      </c>
      <c r="N668" s="1390">
        <v>931021</v>
      </c>
      <c r="O668" s="1395">
        <f t="shared" si="87"/>
        <v>51.72338888888889</v>
      </c>
      <c r="P668" s="1390"/>
      <c r="Q668" s="1390"/>
      <c r="R668" s="1454"/>
    </row>
    <row r="669" spans="1:18" s="1564" customFormat="1" ht="24">
      <c r="A669" s="1443">
        <v>4040</v>
      </c>
      <c r="B669" s="1451" t="s">
        <v>684</v>
      </c>
      <c r="C669" s="1389">
        <v>160000</v>
      </c>
      <c r="D669" s="830">
        <f t="shared" si="90"/>
        <v>159080</v>
      </c>
      <c r="E669" s="1390">
        <f t="shared" si="93"/>
        <v>159077</v>
      </c>
      <c r="F669" s="1366">
        <f t="shared" si="92"/>
        <v>99.9981141563993</v>
      </c>
      <c r="G669" s="1390"/>
      <c r="H669" s="1445"/>
      <c r="I669" s="1446"/>
      <c r="J669" s="1445"/>
      <c r="K669" s="1390"/>
      <c r="L669" s="1446"/>
      <c r="M669" s="1389">
        <f>160000-920</f>
        <v>159080</v>
      </c>
      <c r="N669" s="1390">
        <v>159077</v>
      </c>
      <c r="O669" s="1369">
        <f t="shared" si="87"/>
        <v>99.9981141563993</v>
      </c>
      <c r="P669" s="1390"/>
      <c r="Q669" s="1390"/>
      <c r="R669" s="1454"/>
    </row>
    <row r="670" spans="1:18" s="1564" customFormat="1" ht="24">
      <c r="A670" s="1443">
        <v>4110</v>
      </c>
      <c r="B670" s="1451" t="s">
        <v>686</v>
      </c>
      <c r="C670" s="1389">
        <v>350000</v>
      </c>
      <c r="D670" s="830">
        <f t="shared" si="90"/>
        <v>350000</v>
      </c>
      <c r="E670" s="1390">
        <f t="shared" si="93"/>
        <v>177463</v>
      </c>
      <c r="F670" s="1366">
        <f t="shared" si="92"/>
        <v>50.703714285714284</v>
      </c>
      <c r="G670" s="1390"/>
      <c r="H670" s="1445"/>
      <c r="I670" s="1446"/>
      <c r="J670" s="1445"/>
      <c r="K670" s="1390"/>
      <c r="L670" s="1446"/>
      <c r="M670" s="1389">
        <v>350000</v>
      </c>
      <c r="N670" s="1390">
        <v>177463</v>
      </c>
      <c r="O670" s="1395">
        <f t="shared" si="87"/>
        <v>50.703714285714284</v>
      </c>
      <c r="P670" s="1390"/>
      <c r="Q670" s="1390"/>
      <c r="R670" s="1454"/>
    </row>
    <row r="671" spans="1:18" s="1564" customFormat="1" ht="12.75">
      <c r="A671" s="1443">
        <v>4120</v>
      </c>
      <c r="B671" s="1451" t="s">
        <v>781</v>
      </c>
      <c r="C671" s="1389">
        <v>45000</v>
      </c>
      <c r="D671" s="830">
        <f t="shared" si="90"/>
        <v>45000</v>
      </c>
      <c r="E671" s="1390">
        <f t="shared" si="93"/>
        <v>25478</v>
      </c>
      <c r="F671" s="1366">
        <f t="shared" si="92"/>
        <v>56.617777777777775</v>
      </c>
      <c r="G671" s="1390"/>
      <c r="H671" s="1445"/>
      <c r="I671" s="1446"/>
      <c r="J671" s="1445"/>
      <c r="K671" s="1390"/>
      <c r="L671" s="1446"/>
      <c r="M671" s="1389">
        <v>45000</v>
      </c>
      <c r="N671" s="1390">
        <v>25478</v>
      </c>
      <c r="O671" s="1395">
        <f t="shared" si="87"/>
        <v>56.617777777777775</v>
      </c>
      <c r="P671" s="1390"/>
      <c r="Q671" s="1390"/>
      <c r="R671" s="1454"/>
    </row>
    <row r="672" spans="1:18" s="1564" customFormat="1" ht="24">
      <c r="A672" s="1443">
        <v>4210</v>
      </c>
      <c r="B672" s="1451" t="s">
        <v>690</v>
      </c>
      <c r="C672" s="1389">
        <v>35000</v>
      </c>
      <c r="D672" s="830">
        <f t="shared" si="90"/>
        <v>35000</v>
      </c>
      <c r="E672" s="1390">
        <f t="shared" si="93"/>
        <v>19781</v>
      </c>
      <c r="F672" s="1366">
        <f t="shared" si="92"/>
        <v>56.51714285714286</v>
      </c>
      <c r="G672" s="1390"/>
      <c r="H672" s="1445"/>
      <c r="I672" s="1446"/>
      <c r="J672" s="1445"/>
      <c r="K672" s="1390"/>
      <c r="L672" s="1446"/>
      <c r="M672" s="1389">
        <v>35000</v>
      </c>
      <c r="N672" s="1390">
        <v>19781</v>
      </c>
      <c r="O672" s="1395">
        <f t="shared" si="87"/>
        <v>56.51714285714286</v>
      </c>
      <c r="P672" s="1390"/>
      <c r="Q672" s="1390"/>
      <c r="R672" s="1454"/>
    </row>
    <row r="673" spans="1:18" s="1564" customFormat="1" ht="36">
      <c r="A673" s="1443">
        <v>4240</v>
      </c>
      <c r="B673" s="1451" t="s">
        <v>758</v>
      </c>
      <c r="C673" s="1389">
        <v>17000</v>
      </c>
      <c r="D673" s="830">
        <f t="shared" si="90"/>
        <v>10000</v>
      </c>
      <c r="E673" s="1390">
        <f t="shared" si="93"/>
        <v>140</v>
      </c>
      <c r="F673" s="1366">
        <f t="shared" si="92"/>
        <v>1.4000000000000001</v>
      </c>
      <c r="G673" s="1390"/>
      <c r="H673" s="1445"/>
      <c r="I673" s="1446"/>
      <c r="J673" s="1445"/>
      <c r="K673" s="1390"/>
      <c r="L673" s="1446"/>
      <c r="M673" s="1389">
        <f>17000-7000</f>
        <v>10000</v>
      </c>
      <c r="N673" s="1390">
        <v>140</v>
      </c>
      <c r="O673" s="1395">
        <f t="shared" si="87"/>
        <v>1.4000000000000001</v>
      </c>
      <c r="P673" s="1390"/>
      <c r="Q673" s="1390"/>
      <c r="R673" s="1454"/>
    </row>
    <row r="674" spans="1:18" s="1564" customFormat="1" ht="12.75">
      <c r="A674" s="1443">
        <v>4260</v>
      </c>
      <c r="B674" s="1451" t="s">
        <v>694</v>
      </c>
      <c r="C674" s="1389">
        <v>160000</v>
      </c>
      <c r="D674" s="830">
        <f aca="true" t="shared" si="94" ref="D674:E715">G674+J674+P674+M674</f>
        <v>159300</v>
      </c>
      <c r="E674" s="1390">
        <f t="shared" si="93"/>
        <v>140190</v>
      </c>
      <c r="F674" s="1366">
        <f t="shared" si="92"/>
        <v>88.00376647834275</v>
      </c>
      <c r="G674" s="1390"/>
      <c r="H674" s="1445"/>
      <c r="I674" s="1446"/>
      <c r="J674" s="1445"/>
      <c r="K674" s="1390"/>
      <c r="L674" s="1446"/>
      <c r="M674" s="1389">
        <f>160000-700</f>
        <v>159300</v>
      </c>
      <c r="N674" s="1390">
        <v>140190</v>
      </c>
      <c r="O674" s="1395">
        <f t="shared" si="87"/>
        <v>88.00376647834275</v>
      </c>
      <c r="P674" s="1390"/>
      <c r="Q674" s="1390"/>
      <c r="R674" s="1454"/>
    </row>
    <row r="675" spans="1:18" s="1564" customFormat="1" ht="14.25" customHeight="1">
      <c r="A675" s="1443">
        <v>4270</v>
      </c>
      <c r="B675" s="1451" t="s">
        <v>696</v>
      </c>
      <c r="C675" s="1389">
        <v>7000</v>
      </c>
      <c r="D675" s="830">
        <f t="shared" si="94"/>
        <v>7000</v>
      </c>
      <c r="E675" s="1390">
        <f t="shared" si="93"/>
        <v>4948</v>
      </c>
      <c r="F675" s="1366">
        <f t="shared" si="92"/>
        <v>70.68571428571428</v>
      </c>
      <c r="G675" s="1390"/>
      <c r="H675" s="1445"/>
      <c r="I675" s="1446"/>
      <c r="J675" s="1445"/>
      <c r="K675" s="1390"/>
      <c r="L675" s="1446"/>
      <c r="M675" s="1389">
        <v>7000</v>
      </c>
      <c r="N675" s="1390">
        <v>4948</v>
      </c>
      <c r="O675" s="1395">
        <f t="shared" si="87"/>
        <v>70.68571428571428</v>
      </c>
      <c r="P675" s="1390"/>
      <c r="Q675" s="1390"/>
      <c r="R675" s="1454"/>
    </row>
    <row r="676" spans="1:18" s="1564" customFormat="1" ht="12.75">
      <c r="A676" s="1443">
        <v>4280</v>
      </c>
      <c r="B676" s="1451" t="s">
        <v>745</v>
      </c>
      <c r="C676" s="1389">
        <v>1600</v>
      </c>
      <c r="D676" s="830">
        <f t="shared" si="94"/>
        <v>1600</v>
      </c>
      <c r="E676" s="1390">
        <f t="shared" si="93"/>
        <v>287</v>
      </c>
      <c r="F676" s="1366">
        <f t="shared" si="92"/>
        <v>17.9375</v>
      </c>
      <c r="G676" s="1390"/>
      <c r="H676" s="1445"/>
      <c r="I676" s="1446"/>
      <c r="J676" s="1445"/>
      <c r="K676" s="1390"/>
      <c r="L676" s="1446"/>
      <c r="M676" s="1389">
        <v>1600</v>
      </c>
      <c r="N676" s="1390">
        <v>287</v>
      </c>
      <c r="O676" s="1395">
        <f t="shared" si="87"/>
        <v>17.9375</v>
      </c>
      <c r="P676" s="1390"/>
      <c r="Q676" s="1390"/>
      <c r="R676" s="1454"/>
    </row>
    <row r="677" spans="1:18" s="1564" customFormat="1" ht="12.75">
      <c r="A677" s="1443">
        <v>4300</v>
      </c>
      <c r="B677" s="1451" t="s">
        <v>698</v>
      </c>
      <c r="C677" s="1389">
        <v>20000</v>
      </c>
      <c r="D677" s="830">
        <f t="shared" si="94"/>
        <v>27000</v>
      </c>
      <c r="E677" s="1390">
        <f t="shared" si="93"/>
        <v>16296</v>
      </c>
      <c r="F677" s="1366">
        <f t="shared" si="92"/>
        <v>60.355555555555554</v>
      </c>
      <c r="G677" s="1390"/>
      <c r="H677" s="1445"/>
      <c r="I677" s="1446"/>
      <c r="J677" s="1445"/>
      <c r="K677" s="1390"/>
      <c r="L677" s="1446"/>
      <c r="M677" s="1389">
        <f>20000+7000</f>
        <v>27000</v>
      </c>
      <c r="N677" s="1390">
        <v>16296</v>
      </c>
      <c r="O677" s="1395">
        <f t="shared" si="87"/>
        <v>60.355555555555554</v>
      </c>
      <c r="P677" s="1390"/>
      <c r="Q677" s="1390"/>
      <c r="R677" s="1454"/>
    </row>
    <row r="678" spans="1:18" s="1564" customFormat="1" ht="24">
      <c r="A678" s="1443">
        <v>4350</v>
      </c>
      <c r="B678" s="1451" t="s">
        <v>869</v>
      </c>
      <c r="C678" s="1389">
        <v>27700</v>
      </c>
      <c r="D678" s="830">
        <f t="shared" si="94"/>
        <v>27700</v>
      </c>
      <c r="E678" s="1390">
        <f t="shared" si="93"/>
        <v>13664</v>
      </c>
      <c r="F678" s="1366">
        <f t="shared" si="92"/>
        <v>49.32851985559567</v>
      </c>
      <c r="G678" s="1390"/>
      <c r="H678" s="1445"/>
      <c r="I678" s="1446"/>
      <c r="J678" s="1445"/>
      <c r="K678" s="1390"/>
      <c r="L678" s="1446"/>
      <c r="M678" s="1389">
        <v>27700</v>
      </c>
      <c r="N678" s="1390">
        <v>13664</v>
      </c>
      <c r="O678" s="1395">
        <f t="shared" si="87"/>
        <v>49.32851985559567</v>
      </c>
      <c r="P678" s="1390"/>
      <c r="Q678" s="1390"/>
      <c r="R678" s="1454"/>
    </row>
    <row r="679" spans="1:18" s="1564" customFormat="1" ht="12.75">
      <c r="A679" s="1443">
        <v>4410</v>
      </c>
      <c r="B679" s="1451" t="s">
        <v>672</v>
      </c>
      <c r="C679" s="1389">
        <v>1300</v>
      </c>
      <c r="D679" s="830">
        <f t="shared" si="94"/>
        <v>1300</v>
      </c>
      <c r="E679" s="1390">
        <f t="shared" si="93"/>
        <v>483</v>
      </c>
      <c r="F679" s="1366">
        <f t="shared" si="92"/>
        <v>37.15384615384615</v>
      </c>
      <c r="G679" s="1390"/>
      <c r="H679" s="1445"/>
      <c r="I679" s="1446"/>
      <c r="J679" s="1445"/>
      <c r="K679" s="1390"/>
      <c r="L679" s="1446"/>
      <c r="M679" s="1389">
        <v>1300</v>
      </c>
      <c r="N679" s="1390">
        <v>483</v>
      </c>
      <c r="O679" s="1369">
        <f t="shared" si="87"/>
        <v>37.15384615384615</v>
      </c>
      <c r="P679" s="1390"/>
      <c r="Q679" s="1390"/>
      <c r="R679" s="1454"/>
    </row>
    <row r="680" spans="1:18" s="1564" customFormat="1" ht="12.75">
      <c r="A680" s="1443">
        <v>4440</v>
      </c>
      <c r="B680" s="1451" t="s">
        <v>702</v>
      </c>
      <c r="C680" s="1389">
        <v>116100</v>
      </c>
      <c r="D680" s="830">
        <f>G680+J680+P680+M680</f>
        <v>100900</v>
      </c>
      <c r="E680" s="1390">
        <f>SUM(H680+K680+N680+Q680)</f>
        <v>75675</v>
      </c>
      <c r="F680" s="1366">
        <f>E680/D680*100</f>
        <v>75</v>
      </c>
      <c r="G680" s="1390"/>
      <c r="H680" s="1445"/>
      <c r="I680" s="1446"/>
      <c r="J680" s="1445"/>
      <c r="K680" s="1390"/>
      <c r="L680" s="1446"/>
      <c r="M680" s="1389">
        <f>116100-15200</f>
        <v>100900</v>
      </c>
      <c r="N680" s="1390">
        <v>75675</v>
      </c>
      <c r="O680" s="1369">
        <f>N680/M680*100</f>
        <v>75</v>
      </c>
      <c r="P680" s="1390"/>
      <c r="Q680" s="1390"/>
      <c r="R680" s="1454"/>
    </row>
    <row r="681" spans="1:18" s="1564" customFormat="1" ht="24">
      <c r="A681" s="1443">
        <v>6050</v>
      </c>
      <c r="B681" s="1451" t="s">
        <v>767</v>
      </c>
      <c r="C681" s="1389"/>
      <c r="D681" s="830">
        <f t="shared" si="94"/>
        <v>23600</v>
      </c>
      <c r="E681" s="1390">
        <f t="shared" si="93"/>
        <v>0</v>
      </c>
      <c r="F681" s="1366">
        <f t="shared" si="92"/>
        <v>0</v>
      </c>
      <c r="G681" s="1390"/>
      <c r="H681" s="1445"/>
      <c r="I681" s="1446"/>
      <c r="J681" s="1445"/>
      <c r="K681" s="1390"/>
      <c r="L681" s="1446"/>
      <c r="M681" s="1389">
        <f>15900+7700</f>
        <v>23600</v>
      </c>
      <c r="N681" s="1390"/>
      <c r="O681" s="1395">
        <f t="shared" si="87"/>
        <v>0</v>
      </c>
      <c r="P681" s="1390"/>
      <c r="Q681" s="1390"/>
      <c r="R681" s="1454"/>
    </row>
    <row r="682" spans="1:18" s="1672" customFormat="1" ht="15" customHeight="1">
      <c r="A682" s="1479">
        <v>80145</v>
      </c>
      <c r="B682" s="1576" t="s">
        <v>888</v>
      </c>
      <c r="C682" s="823">
        <f>SUM(C684)</f>
        <v>12000</v>
      </c>
      <c r="D682" s="845">
        <f t="shared" si="94"/>
        <v>12000</v>
      </c>
      <c r="E682" s="845">
        <f>H682+K682+Q682+N682</f>
        <v>200</v>
      </c>
      <c r="F682" s="1381">
        <f>E682/D682*100</f>
        <v>1.6666666666666667</v>
      </c>
      <c r="G682" s="1676">
        <f>SUM(G683:G684)</f>
        <v>7000</v>
      </c>
      <c r="H682" s="845">
        <f>SUM(H683:H684)</f>
        <v>200</v>
      </c>
      <c r="I682" s="1475">
        <f>H682/G682*100</f>
        <v>2.857142857142857</v>
      </c>
      <c r="J682" s="1510"/>
      <c r="K682" s="845"/>
      <c r="L682" s="1441"/>
      <c r="M682" s="823">
        <f>SUM(M683:M684)</f>
        <v>5000</v>
      </c>
      <c r="N682" s="845">
        <f>SUM(N683:N684)</f>
        <v>0</v>
      </c>
      <c r="O682" s="1388">
        <f>N682/M682*100</f>
        <v>0</v>
      </c>
      <c r="P682" s="845"/>
      <c r="Q682" s="845"/>
      <c r="R682" s="826"/>
    </row>
    <row r="683" spans="1:18" s="1285" customFormat="1" ht="24">
      <c r="A683" s="1540">
        <v>4170</v>
      </c>
      <c r="B683" s="1541" t="s">
        <v>744</v>
      </c>
      <c r="C683" s="864"/>
      <c r="D683" s="869">
        <f t="shared" si="94"/>
        <v>12000</v>
      </c>
      <c r="E683" s="1407">
        <f>SUM(H683+K683+N683+Q683)</f>
        <v>200</v>
      </c>
      <c r="F683" s="1391">
        <f>E683/D683*100</f>
        <v>1.6666666666666667</v>
      </c>
      <c r="G683" s="864">
        <v>7000</v>
      </c>
      <c r="H683" s="1542">
        <v>200</v>
      </c>
      <c r="I683" s="1410">
        <f>H683/G683*100</f>
        <v>2.857142857142857</v>
      </c>
      <c r="J683" s="1542"/>
      <c r="K683" s="869"/>
      <c r="L683" s="1543"/>
      <c r="M683" s="864">
        <v>5000</v>
      </c>
      <c r="N683" s="869"/>
      <c r="O683" s="1374">
        <f>N683/M683*100</f>
        <v>0</v>
      </c>
      <c r="P683" s="869"/>
      <c r="Q683" s="869"/>
      <c r="R683" s="884"/>
    </row>
    <row r="684" spans="1:18" s="1564" customFormat="1" ht="14.25" customHeight="1">
      <c r="A684" s="1492">
        <v>4300</v>
      </c>
      <c r="B684" s="1493" t="s">
        <v>698</v>
      </c>
      <c r="C684" s="1494">
        <v>12000</v>
      </c>
      <c r="D684" s="862">
        <f t="shared" si="94"/>
        <v>0</v>
      </c>
      <c r="E684" s="1487">
        <f>SUM(H684+K684+N684+Q684)</f>
        <v>0</v>
      </c>
      <c r="F684" s="1419"/>
      <c r="G684" s="1487">
        <f>7000-7000</f>
        <v>0</v>
      </c>
      <c r="H684" s="1495"/>
      <c r="I684" s="1439"/>
      <c r="J684" s="1495"/>
      <c r="K684" s="1487"/>
      <c r="L684" s="1551"/>
      <c r="M684" s="1494">
        <f>5000-5000</f>
        <v>0</v>
      </c>
      <c r="N684" s="1487"/>
      <c r="O684" s="1420"/>
      <c r="P684" s="1487"/>
      <c r="Q684" s="1487"/>
      <c r="R684" s="1539"/>
    </row>
    <row r="685" spans="1:18" s="1672" customFormat="1" ht="30" customHeight="1">
      <c r="A685" s="1479">
        <v>80146</v>
      </c>
      <c r="B685" s="1576" t="s">
        <v>308</v>
      </c>
      <c r="C685" s="823">
        <f>SUM(C686:C696)</f>
        <v>471800</v>
      </c>
      <c r="D685" s="845">
        <f t="shared" si="94"/>
        <v>483218</v>
      </c>
      <c r="E685" s="845">
        <f>H685+K685+Q685+N685</f>
        <v>261804</v>
      </c>
      <c r="F685" s="1381">
        <f aca="true" t="shared" si="95" ref="F685:F696">E685/D685*100</f>
        <v>54.179273123103854</v>
      </c>
      <c r="G685" s="823">
        <f>SUM(G686:G696)</f>
        <v>274650</v>
      </c>
      <c r="H685" s="1577">
        <f>SUM(H686:H696)</f>
        <v>155033</v>
      </c>
      <c r="I685" s="1475">
        <f aca="true" t="shared" si="96" ref="I685:I744">H685/G685*100</f>
        <v>56.4474786091389</v>
      </c>
      <c r="J685" s="1510"/>
      <c r="K685" s="845"/>
      <c r="L685" s="1441"/>
      <c r="M685" s="823">
        <f>SUM(M686:M696)</f>
        <v>208568</v>
      </c>
      <c r="N685" s="845">
        <f>SUM(N686:N696)</f>
        <v>106771</v>
      </c>
      <c r="O685" s="1388">
        <f t="shared" si="87"/>
        <v>51.19241686164704</v>
      </c>
      <c r="P685" s="845"/>
      <c r="Q685" s="845"/>
      <c r="R685" s="826"/>
    </row>
    <row r="686" spans="1:18" s="1564" customFormat="1" ht="24">
      <c r="A686" s="1422">
        <v>2510</v>
      </c>
      <c r="B686" s="1547" t="s">
        <v>889</v>
      </c>
      <c r="C686" s="1393">
        <v>50700</v>
      </c>
      <c r="D686" s="869">
        <f t="shared" si="94"/>
        <v>50700</v>
      </c>
      <c r="E686" s="869">
        <f>H686+K686+Q686+N686</f>
        <v>50700</v>
      </c>
      <c r="F686" s="1391">
        <f t="shared" si="95"/>
        <v>100</v>
      </c>
      <c r="G686" s="1393">
        <v>50700</v>
      </c>
      <c r="H686" s="1548">
        <v>50700</v>
      </c>
      <c r="I686" s="1369">
        <f t="shared" si="96"/>
        <v>100</v>
      </c>
      <c r="J686" s="1548"/>
      <c r="K686" s="1407"/>
      <c r="L686" s="1543"/>
      <c r="M686" s="1393"/>
      <c r="N686" s="1407"/>
      <c r="O686" s="1374"/>
      <c r="P686" s="1407"/>
      <c r="Q686" s="1407"/>
      <c r="R686" s="1550"/>
    </row>
    <row r="687" spans="1:18" s="1564" customFormat="1" ht="24">
      <c r="A687" s="1443">
        <v>4010</v>
      </c>
      <c r="B687" s="1451" t="s">
        <v>680</v>
      </c>
      <c r="C687" s="1389">
        <v>125800</v>
      </c>
      <c r="D687" s="830">
        <f t="shared" si="94"/>
        <v>134919</v>
      </c>
      <c r="E687" s="830">
        <f>H687+K687+Q687+N687</f>
        <v>68738</v>
      </c>
      <c r="F687" s="1366">
        <f t="shared" si="95"/>
        <v>50.947605600397274</v>
      </c>
      <c r="G687" s="1389">
        <v>63700</v>
      </c>
      <c r="H687" s="1445">
        <v>32599</v>
      </c>
      <c r="I687" s="1369">
        <f t="shared" si="96"/>
        <v>51.17582417582418</v>
      </c>
      <c r="J687" s="1445"/>
      <c r="K687" s="1390"/>
      <c r="L687" s="1446"/>
      <c r="M687" s="1389">
        <f>62100+9000+119</f>
        <v>71219</v>
      </c>
      <c r="N687" s="1390">
        <v>36139</v>
      </c>
      <c r="O687" s="1395">
        <f t="shared" si="87"/>
        <v>50.74348137435235</v>
      </c>
      <c r="P687" s="1390"/>
      <c r="Q687" s="1390"/>
      <c r="R687" s="1454"/>
    </row>
    <row r="688" spans="1:18" s="1564" customFormat="1" ht="24">
      <c r="A688" s="1443">
        <v>4040</v>
      </c>
      <c r="B688" s="1451" t="s">
        <v>684</v>
      </c>
      <c r="C688" s="1389">
        <v>12200</v>
      </c>
      <c r="D688" s="830">
        <f t="shared" si="94"/>
        <v>12199</v>
      </c>
      <c r="E688" s="1390">
        <f>SUM(H688+K688+N688+Q688)</f>
        <v>12196</v>
      </c>
      <c r="F688" s="1366">
        <f t="shared" si="95"/>
        <v>99.97540782031315</v>
      </c>
      <c r="G688" s="1390">
        <f>6600-150</f>
        <v>6450</v>
      </c>
      <c r="H688" s="1445">
        <v>6449</v>
      </c>
      <c r="I688" s="1369">
        <f t="shared" si="96"/>
        <v>99.98449612403101</v>
      </c>
      <c r="J688" s="1445"/>
      <c r="K688" s="1390"/>
      <c r="L688" s="1446"/>
      <c r="M688" s="1389">
        <f>5600+268-119</f>
        <v>5749</v>
      </c>
      <c r="N688" s="1390">
        <v>5747</v>
      </c>
      <c r="O688" s="1369">
        <f>N688/M688*100</f>
        <v>99.9652113411028</v>
      </c>
      <c r="P688" s="1390"/>
      <c r="Q688" s="1390"/>
      <c r="R688" s="1454"/>
    </row>
    <row r="689" spans="1:18" s="1564" customFormat="1" ht="24">
      <c r="A689" s="1443">
        <v>4110</v>
      </c>
      <c r="B689" s="1451" t="s">
        <v>686</v>
      </c>
      <c r="C689" s="1389">
        <v>24400</v>
      </c>
      <c r="D689" s="830">
        <f t="shared" si="94"/>
        <v>26000</v>
      </c>
      <c r="E689" s="830">
        <f t="shared" si="94"/>
        <v>13163</v>
      </c>
      <c r="F689" s="1366">
        <f t="shared" si="95"/>
        <v>50.62692307692308</v>
      </c>
      <c r="G689" s="1389">
        <v>12500</v>
      </c>
      <c r="H689" s="1445">
        <v>6274</v>
      </c>
      <c r="I689" s="1369">
        <f t="shared" si="96"/>
        <v>50.192</v>
      </c>
      <c r="J689" s="1445"/>
      <c r="K689" s="1390"/>
      <c r="L689" s="1446"/>
      <c r="M689" s="1389">
        <f>11900+1600</f>
        <v>13500</v>
      </c>
      <c r="N689" s="1390">
        <v>6889</v>
      </c>
      <c r="O689" s="1395">
        <f t="shared" si="87"/>
        <v>51.029629629629625</v>
      </c>
      <c r="P689" s="1390"/>
      <c r="Q689" s="1390"/>
      <c r="R689" s="1454"/>
    </row>
    <row r="690" spans="1:18" s="1564" customFormat="1" ht="12.75">
      <c r="A690" s="1443">
        <v>4120</v>
      </c>
      <c r="B690" s="1451" t="s">
        <v>781</v>
      </c>
      <c r="C690" s="1389">
        <v>3600</v>
      </c>
      <c r="D690" s="830">
        <f t="shared" si="94"/>
        <v>3800</v>
      </c>
      <c r="E690" s="830">
        <f t="shared" si="94"/>
        <v>1825</v>
      </c>
      <c r="F690" s="1366">
        <f t="shared" si="95"/>
        <v>48.026315789473685</v>
      </c>
      <c r="G690" s="1389">
        <v>2000</v>
      </c>
      <c r="H690" s="1445">
        <v>840</v>
      </c>
      <c r="I690" s="1369">
        <f t="shared" si="96"/>
        <v>42</v>
      </c>
      <c r="J690" s="1445"/>
      <c r="K690" s="1390"/>
      <c r="L690" s="1446"/>
      <c r="M690" s="1389">
        <f>1600+200</f>
        <v>1800</v>
      </c>
      <c r="N690" s="1390">
        <f>986-1</f>
        <v>985</v>
      </c>
      <c r="O690" s="1395">
        <f t="shared" si="87"/>
        <v>54.72222222222223</v>
      </c>
      <c r="P690" s="1390"/>
      <c r="Q690" s="1390"/>
      <c r="R690" s="1454"/>
    </row>
    <row r="691" spans="1:18" s="1564" customFormat="1" ht="12.75">
      <c r="A691" s="1443">
        <v>4140</v>
      </c>
      <c r="B691" s="1451" t="s">
        <v>743</v>
      </c>
      <c r="C691" s="1389">
        <v>100</v>
      </c>
      <c r="D691" s="830">
        <f t="shared" si="94"/>
        <v>100</v>
      </c>
      <c r="E691" s="830">
        <f t="shared" si="94"/>
        <v>53</v>
      </c>
      <c r="F691" s="1366">
        <f t="shared" si="95"/>
        <v>53</v>
      </c>
      <c r="G691" s="1389">
        <v>100</v>
      </c>
      <c r="H691" s="1445">
        <v>53</v>
      </c>
      <c r="I691" s="1369">
        <f t="shared" si="96"/>
        <v>53</v>
      </c>
      <c r="J691" s="1445"/>
      <c r="K691" s="1390"/>
      <c r="L691" s="1446"/>
      <c r="M691" s="1389"/>
      <c r="N691" s="1390"/>
      <c r="O691" s="1395"/>
      <c r="P691" s="1390"/>
      <c r="Q691" s="1390"/>
      <c r="R691" s="1454"/>
    </row>
    <row r="692" spans="1:18" s="1564" customFormat="1" ht="24" hidden="1">
      <c r="A692" s="1443">
        <v>4170</v>
      </c>
      <c r="B692" s="1451" t="s">
        <v>744</v>
      </c>
      <c r="C692" s="1389"/>
      <c r="D692" s="830">
        <f t="shared" si="94"/>
        <v>0</v>
      </c>
      <c r="E692" s="830">
        <f t="shared" si="94"/>
        <v>0</v>
      </c>
      <c r="F692" s="1366" t="e">
        <f t="shared" si="95"/>
        <v>#DIV/0!</v>
      </c>
      <c r="G692" s="1389"/>
      <c r="H692" s="1445"/>
      <c r="I692" s="1369" t="e">
        <f t="shared" si="96"/>
        <v>#DIV/0!</v>
      </c>
      <c r="J692" s="1445"/>
      <c r="K692" s="1390"/>
      <c r="L692" s="1446"/>
      <c r="M692" s="1389"/>
      <c r="N692" s="1390"/>
      <c r="O692" s="1395"/>
      <c r="P692" s="1390"/>
      <c r="Q692" s="1390"/>
      <c r="R692" s="1454"/>
    </row>
    <row r="693" spans="1:18" s="1564" customFormat="1" ht="24">
      <c r="A693" s="1443">
        <v>4210</v>
      </c>
      <c r="B693" s="1451" t="s">
        <v>690</v>
      </c>
      <c r="C693" s="1389"/>
      <c r="D693" s="830">
        <f t="shared" si="94"/>
        <v>10400</v>
      </c>
      <c r="E693" s="830">
        <f t="shared" si="94"/>
        <v>354</v>
      </c>
      <c r="F693" s="1366">
        <f t="shared" si="95"/>
        <v>3.4038461538461537</v>
      </c>
      <c r="G693" s="1389">
        <f>3350-150</f>
        <v>3200</v>
      </c>
      <c r="H693" s="1445">
        <v>354</v>
      </c>
      <c r="I693" s="1369">
        <f t="shared" si="96"/>
        <v>11.0625</v>
      </c>
      <c r="J693" s="1445"/>
      <c r="K693" s="1390"/>
      <c r="L693" s="1446"/>
      <c r="M693" s="1389">
        <v>7200</v>
      </c>
      <c r="N693" s="1390"/>
      <c r="O693" s="1584">
        <f t="shared" si="87"/>
        <v>0</v>
      </c>
      <c r="P693" s="1390"/>
      <c r="Q693" s="1390"/>
      <c r="R693" s="1454"/>
    </row>
    <row r="694" spans="1:18" s="1564" customFormat="1" ht="24">
      <c r="A694" s="1443">
        <v>4300</v>
      </c>
      <c r="B694" s="1451" t="s">
        <v>890</v>
      </c>
      <c r="C694" s="1389">
        <v>246800</v>
      </c>
      <c r="D694" s="830">
        <f>G694+J694+P694+M694</f>
        <v>212310</v>
      </c>
      <c r="E694" s="830">
        <f>H694+K694+Q694+N694</f>
        <v>95206</v>
      </c>
      <c r="F694" s="1366">
        <f>E694/D694*100</f>
        <v>44.842918374075644</v>
      </c>
      <c r="G694" s="1389">
        <f>135000-135000+118950-40-600</f>
        <v>118310</v>
      </c>
      <c r="H694" s="1445">
        <v>46330</v>
      </c>
      <c r="I694" s="1369">
        <f>H694/G694*100</f>
        <v>39.159834333530554</v>
      </c>
      <c r="J694" s="1445"/>
      <c r="K694" s="1390"/>
      <c r="L694" s="1446"/>
      <c r="M694" s="1389">
        <f>111800-111800+96000-2000</f>
        <v>94000</v>
      </c>
      <c r="N694" s="1390">
        <v>48876</v>
      </c>
      <c r="O694" s="1395">
        <f>N694/M694*100</f>
        <v>51.99574468085106</v>
      </c>
      <c r="P694" s="1390"/>
      <c r="Q694" s="1390"/>
      <c r="R694" s="1447"/>
    </row>
    <row r="695" spans="1:18" s="1564" customFormat="1" ht="12.75">
      <c r="A695" s="1443">
        <v>4410</v>
      </c>
      <c r="B695" s="1451" t="s">
        <v>672</v>
      </c>
      <c r="C695" s="1389"/>
      <c r="D695" s="830">
        <f t="shared" si="94"/>
        <v>24090</v>
      </c>
      <c r="E695" s="830">
        <f t="shared" si="94"/>
        <v>12712</v>
      </c>
      <c r="F695" s="1366">
        <f t="shared" si="95"/>
        <v>52.76878372768784</v>
      </c>
      <c r="G695" s="1389">
        <f>12700+190+600</f>
        <v>13490</v>
      </c>
      <c r="H695" s="1445">
        <v>8127</v>
      </c>
      <c r="I695" s="1369">
        <f t="shared" si="96"/>
        <v>60.24462564862861</v>
      </c>
      <c r="J695" s="1445"/>
      <c r="K695" s="1390"/>
      <c r="L695" s="1446"/>
      <c r="M695" s="1389">
        <f>8600+2000</f>
        <v>10600</v>
      </c>
      <c r="N695" s="1390">
        <f>4586-1</f>
        <v>4585</v>
      </c>
      <c r="O695" s="1584">
        <f t="shared" si="87"/>
        <v>43.25471698113208</v>
      </c>
      <c r="P695" s="1390"/>
      <c r="Q695" s="1390"/>
      <c r="R695" s="1447"/>
    </row>
    <row r="696" spans="1:18" s="1564" customFormat="1" ht="12.75">
      <c r="A696" s="1443">
        <v>4440</v>
      </c>
      <c r="B696" s="1451" t="s">
        <v>702</v>
      </c>
      <c r="C696" s="1389">
        <v>8200</v>
      </c>
      <c r="D696" s="830">
        <f t="shared" si="94"/>
        <v>8700</v>
      </c>
      <c r="E696" s="830">
        <f t="shared" si="94"/>
        <v>6857</v>
      </c>
      <c r="F696" s="1366">
        <f t="shared" si="95"/>
        <v>78.816091954023</v>
      </c>
      <c r="G696" s="1389">
        <v>4200</v>
      </c>
      <c r="H696" s="1445">
        <v>3307</v>
      </c>
      <c r="I696" s="1369">
        <f t="shared" si="96"/>
        <v>78.73809523809524</v>
      </c>
      <c r="J696" s="1445"/>
      <c r="K696" s="1390"/>
      <c r="L696" s="1446"/>
      <c r="M696" s="1389">
        <f>4000+500</f>
        <v>4500</v>
      </c>
      <c r="N696" s="1390">
        <v>3550</v>
      </c>
      <c r="O696" s="1584">
        <f t="shared" si="87"/>
        <v>78.88888888888889</v>
      </c>
      <c r="P696" s="1390"/>
      <c r="Q696" s="1390"/>
      <c r="R696" s="1454"/>
    </row>
    <row r="697" spans="1:18" ht="24.75" customHeight="1">
      <c r="A697" s="2932">
        <v>80195</v>
      </c>
      <c r="B697" s="2933" t="s">
        <v>299</v>
      </c>
      <c r="C697" s="2934">
        <f>SUM(C730:C759)+C725+C698-SUM(C741:C750)+C716+C720</f>
        <v>6087023</v>
      </c>
      <c r="D697" s="1534">
        <f t="shared" si="94"/>
        <v>6122342</v>
      </c>
      <c r="E697" s="1534">
        <f t="shared" si="94"/>
        <v>2529333</v>
      </c>
      <c r="F697" s="1391">
        <f t="shared" si="92"/>
        <v>41.31316087863108</v>
      </c>
      <c r="G697" s="2935">
        <f>SUM(G730:G759)+G725+G698-SUM(G741:G750)+G716+G720</f>
        <v>4079776</v>
      </c>
      <c r="H697" s="845">
        <f>SUM(H730:H759)+H725+H698-SUM(H741:H750)+H716+H720</f>
        <v>1894096</v>
      </c>
      <c r="I697" s="1410">
        <f t="shared" si="96"/>
        <v>46.42647047288871</v>
      </c>
      <c r="J697" s="2936"/>
      <c r="K697" s="1534"/>
      <c r="L697" s="1677"/>
      <c r="M697" s="2934">
        <f>SUM(M726:M759)-SUM(M741:M750)</f>
        <v>2042566</v>
      </c>
      <c r="N697" s="1534">
        <f>SUM(N726:N759)-SUM(N741:N750)</f>
        <v>635237</v>
      </c>
      <c r="O697" s="1374">
        <f t="shared" si="87"/>
        <v>31.099949769064988</v>
      </c>
      <c r="P697" s="1678"/>
      <c r="Q697" s="1678"/>
      <c r="R697" s="1550"/>
    </row>
    <row r="698" spans="1:18" s="2937" customFormat="1" ht="48">
      <c r="A698" s="1436"/>
      <c r="B698" s="1576" t="s">
        <v>891</v>
      </c>
      <c r="C698" s="1438">
        <f>SUM(C699:C715)</f>
        <v>1300523</v>
      </c>
      <c r="D698" s="845">
        <f t="shared" si="94"/>
        <v>1402253</v>
      </c>
      <c r="E698" s="845">
        <f aca="true" t="shared" si="97" ref="E698:E714">SUM(H698+K698+N698+Q698)</f>
        <v>610895</v>
      </c>
      <c r="F698" s="1381">
        <f t="shared" si="92"/>
        <v>43.56524821127144</v>
      </c>
      <c r="G698" s="1438">
        <f>SUM(G699:G715)</f>
        <v>1402253</v>
      </c>
      <c r="H698" s="1380">
        <f>SUM(H699:H715)</f>
        <v>610895</v>
      </c>
      <c r="I698" s="1475">
        <f t="shared" si="96"/>
        <v>43.56524821127144</v>
      </c>
      <c r="J698" s="1679"/>
      <c r="K698" s="1380"/>
      <c r="L698" s="1441"/>
      <c r="M698" s="1380"/>
      <c r="N698" s="1380"/>
      <c r="O698" s="1442"/>
      <c r="P698" s="1380"/>
      <c r="Q698" s="1380"/>
      <c r="R698" s="1442"/>
    </row>
    <row r="699" spans="1:18" ht="36">
      <c r="A699" s="1443">
        <v>3020</v>
      </c>
      <c r="B699" s="1451" t="s">
        <v>1266</v>
      </c>
      <c r="C699" s="832">
        <v>300</v>
      </c>
      <c r="D699" s="830">
        <f t="shared" si="94"/>
        <v>300</v>
      </c>
      <c r="E699" s="1390">
        <f t="shared" si="97"/>
        <v>0</v>
      </c>
      <c r="F699" s="1366">
        <f t="shared" si="92"/>
        <v>0</v>
      </c>
      <c r="G699" s="832">
        <f>300</f>
        <v>300</v>
      </c>
      <c r="H699" s="830"/>
      <c r="I699" s="1369">
        <f t="shared" si="96"/>
        <v>0</v>
      </c>
      <c r="J699" s="1680"/>
      <c r="K699" s="1524"/>
      <c r="L699" s="1526"/>
      <c r="M699" s="1524"/>
      <c r="N699" s="1524"/>
      <c r="O699" s="1447"/>
      <c r="P699" s="1524"/>
      <c r="Q699" s="1524"/>
      <c r="R699" s="1447"/>
    </row>
    <row r="700" spans="1:18" ht="24">
      <c r="A700" s="1443">
        <v>4010</v>
      </c>
      <c r="B700" s="1451" t="s">
        <v>837</v>
      </c>
      <c r="C700" s="832">
        <v>568623</v>
      </c>
      <c r="D700" s="830">
        <f t="shared" si="94"/>
        <v>568623</v>
      </c>
      <c r="E700" s="1390">
        <f t="shared" si="97"/>
        <v>269250</v>
      </c>
      <c r="F700" s="1366">
        <f t="shared" si="92"/>
        <v>47.35123271482159</v>
      </c>
      <c r="G700" s="832">
        <v>568623</v>
      </c>
      <c r="H700" s="830">
        <v>269250</v>
      </c>
      <c r="I700" s="1369">
        <f t="shared" si="96"/>
        <v>47.35123271482159</v>
      </c>
      <c r="J700" s="1680"/>
      <c r="K700" s="1524"/>
      <c r="L700" s="1526"/>
      <c r="M700" s="1524"/>
      <c r="N700" s="1524"/>
      <c r="O700" s="1447"/>
      <c r="P700" s="1524"/>
      <c r="Q700" s="1524"/>
      <c r="R700" s="1447"/>
    </row>
    <row r="701" spans="1:18" ht="24">
      <c r="A701" s="1443">
        <v>4040</v>
      </c>
      <c r="B701" s="1451" t="s">
        <v>684</v>
      </c>
      <c r="C701" s="832">
        <v>46700</v>
      </c>
      <c r="D701" s="830">
        <f t="shared" si="94"/>
        <v>47430</v>
      </c>
      <c r="E701" s="1390">
        <f t="shared" si="97"/>
        <v>47423</v>
      </c>
      <c r="F701" s="1366">
        <f t="shared" si="92"/>
        <v>99.98524140839132</v>
      </c>
      <c r="G701" s="832">
        <f>46700+730</f>
        <v>47430</v>
      </c>
      <c r="H701" s="830">
        <v>47423</v>
      </c>
      <c r="I701" s="1369">
        <f t="shared" si="96"/>
        <v>99.98524140839132</v>
      </c>
      <c r="J701" s="1445"/>
      <c r="K701" s="1390"/>
      <c r="L701" s="1446"/>
      <c r="M701" s="1390"/>
      <c r="N701" s="1390"/>
      <c r="O701" s="1395"/>
      <c r="P701" s="1390"/>
      <c r="Q701" s="1390"/>
      <c r="R701" s="1447"/>
    </row>
    <row r="702" spans="1:18" ht="24">
      <c r="A702" s="1443">
        <v>4110</v>
      </c>
      <c r="B702" s="1451" t="s">
        <v>686</v>
      </c>
      <c r="C702" s="832">
        <v>106500</v>
      </c>
      <c r="D702" s="830">
        <f t="shared" si="94"/>
        <v>106500</v>
      </c>
      <c r="E702" s="1390">
        <f t="shared" si="97"/>
        <v>56037</v>
      </c>
      <c r="F702" s="1366">
        <f t="shared" si="92"/>
        <v>52.6169014084507</v>
      </c>
      <c r="G702" s="832">
        <v>106500</v>
      </c>
      <c r="H702" s="830">
        <v>56037</v>
      </c>
      <c r="I702" s="1369">
        <f t="shared" si="96"/>
        <v>52.6169014084507</v>
      </c>
      <c r="J702" s="1680"/>
      <c r="K702" s="1524"/>
      <c r="L702" s="1526"/>
      <c r="M702" s="1524"/>
      <c r="N702" s="1524"/>
      <c r="O702" s="1447"/>
      <c r="P702" s="1524"/>
      <c r="Q702" s="1524"/>
      <c r="R702" s="1447"/>
    </row>
    <row r="703" spans="1:18" ht="12.75">
      <c r="A703" s="1443">
        <v>4120</v>
      </c>
      <c r="B703" s="1451" t="s">
        <v>781</v>
      </c>
      <c r="C703" s="832">
        <v>14700</v>
      </c>
      <c r="D703" s="830">
        <f t="shared" si="94"/>
        <v>14700</v>
      </c>
      <c r="E703" s="1390">
        <f t="shared" si="97"/>
        <v>7061</v>
      </c>
      <c r="F703" s="1366">
        <f t="shared" si="92"/>
        <v>48.034013605442176</v>
      </c>
      <c r="G703" s="832">
        <v>14700</v>
      </c>
      <c r="H703" s="830">
        <v>7061</v>
      </c>
      <c r="I703" s="1369">
        <f t="shared" si="96"/>
        <v>48.034013605442176</v>
      </c>
      <c r="J703" s="1680"/>
      <c r="K703" s="1524"/>
      <c r="L703" s="1526"/>
      <c r="M703" s="1524"/>
      <c r="N703" s="1524"/>
      <c r="O703" s="1447"/>
      <c r="P703" s="1524"/>
      <c r="Q703" s="1524"/>
      <c r="R703" s="1447"/>
    </row>
    <row r="704" spans="1:18" ht="24" hidden="1">
      <c r="A704" s="1443">
        <v>4170</v>
      </c>
      <c r="B704" s="1451" t="s">
        <v>744</v>
      </c>
      <c r="C704" s="832"/>
      <c r="D704" s="830">
        <f t="shared" si="94"/>
        <v>0</v>
      </c>
      <c r="E704" s="1390">
        <f t="shared" si="97"/>
        <v>0</v>
      </c>
      <c r="F704" s="1366" t="e">
        <f t="shared" si="92"/>
        <v>#DIV/0!</v>
      </c>
      <c r="G704" s="832"/>
      <c r="H704" s="830"/>
      <c r="I704" s="1369" t="e">
        <f t="shared" si="96"/>
        <v>#DIV/0!</v>
      </c>
      <c r="J704" s="1680"/>
      <c r="K704" s="1524"/>
      <c r="L704" s="1526"/>
      <c r="M704" s="1524"/>
      <c r="N704" s="1524"/>
      <c r="O704" s="1447"/>
      <c r="P704" s="1524"/>
      <c r="Q704" s="1524"/>
      <c r="R704" s="1447"/>
    </row>
    <row r="705" spans="1:18" ht="24">
      <c r="A705" s="1443">
        <v>4210</v>
      </c>
      <c r="B705" s="1451" t="s">
        <v>690</v>
      </c>
      <c r="C705" s="832">
        <v>27100</v>
      </c>
      <c r="D705" s="830">
        <f t="shared" si="94"/>
        <v>28100</v>
      </c>
      <c r="E705" s="1390">
        <f t="shared" si="97"/>
        <v>17277</v>
      </c>
      <c r="F705" s="1366">
        <f t="shared" si="92"/>
        <v>61.48398576512456</v>
      </c>
      <c r="G705" s="832">
        <f>27100+1000</f>
        <v>28100</v>
      </c>
      <c r="H705" s="830">
        <v>17277</v>
      </c>
      <c r="I705" s="1369">
        <f t="shared" si="96"/>
        <v>61.48398576512456</v>
      </c>
      <c r="J705" s="1680"/>
      <c r="K705" s="1524"/>
      <c r="L705" s="1526"/>
      <c r="M705" s="1524"/>
      <c r="N705" s="1524"/>
      <c r="O705" s="1447"/>
      <c r="P705" s="1524"/>
      <c r="Q705" s="1524"/>
      <c r="R705" s="1447"/>
    </row>
    <row r="706" spans="1:18" ht="12.75">
      <c r="A706" s="1443">
        <v>4260</v>
      </c>
      <c r="B706" s="1451" t="s">
        <v>694</v>
      </c>
      <c r="C706" s="832">
        <v>13500</v>
      </c>
      <c r="D706" s="830">
        <f t="shared" si="94"/>
        <v>13500</v>
      </c>
      <c r="E706" s="1390">
        <f t="shared" si="97"/>
        <v>5768</v>
      </c>
      <c r="F706" s="1366">
        <f t="shared" si="92"/>
        <v>42.72592592592593</v>
      </c>
      <c r="G706" s="832">
        <v>13500</v>
      </c>
      <c r="H706" s="830">
        <v>5768</v>
      </c>
      <c r="I706" s="1369">
        <f t="shared" si="96"/>
        <v>42.72592592592593</v>
      </c>
      <c r="J706" s="1680"/>
      <c r="K706" s="1524"/>
      <c r="L706" s="1526"/>
      <c r="M706" s="1524"/>
      <c r="N706" s="1524"/>
      <c r="O706" s="1447"/>
      <c r="P706" s="1524"/>
      <c r="Q706" s="1524"/>
      <c r="R706" s="1447"/>
    </row>
    <row r="707" spans="1:18" ht="12.75">
      <c r="A707" s="1443">
        <v>4270</v>
      </c>
      <c r="B707" s="1451" t="s">
        <v>696</v>
      </c>
      <c r="C707" s="832">
        <v>234000</v>
      </c>
      <c r="D707" s="830">
        <f t="shared" si="94"/>
        <v>334000</v>
      </c>
      <c r="E707" s="1390">
        <f t="shared" si="97"/>
        <v>170682</v>
      </c>
      <c r="F707" s="1366">
        <f t="shared" si="92"/>
        <v>51.10239520958084</v>
      </c>
      <c r="G707" s="832">
        <f>234000+100000</f>
        <v>334000</v>
      </c>
      <c r="H707" s="830">
        <v>170682</v>
      </c>
      <c r="I707" s="1369">
        <f t="shared" si="96"/>
        <v>51.10239520958084</v>
      </c>
      <c r="J707" s="1680"/>
      <c r="K707" s="1524"/>
      <c r="L707" s="1526"/>
      <c r="M707" s="1524"/>
      <c r="N707" s="1524"/>
      <c r="O707" s="1447"/>
      <c r="P707" s="1524"/>
      <c r="Q707" s="1524"/>
      <c r="R707" s="1447"/>
    </row>
    <row r="708" spans="1:18" ht="12.75">
      <c r="A708" s="1443">
        <v>4280</v>
      </c>
      <c r="B708" s="1451" t="s">
        <v>745</v>
      </c>
      <c r="C708" s="832">
        <v>500</v>
      </c>
      <c r="D708" s="830">
        <f t="shared" si="94"/>
        <v>500</v>
      </c>
      <c r="E708" s="1390">
        <f t="shared" si="97"/>
        <v>144</v>
      </c>
      <c r="F708" s="1366">
        <f t="shared" si="92"/>
        <v>28.799999999999997</v>
      </c>
      <c r="G708" s="832">
        <v>500</v>
      </c>
      <c r="H708" s="830">
        <v>144</v>
      </c>
      <c r="I708" s="1369">
        <f t="shared" si="96"/>
        <v>28.799999999999997</v>
      </c>
      <c r="J708" s="1680"/>
      <c r="K708" s="1524"/>
      <c r="L708" s="1526"/>
      <c r="M708" s="1524"/>
      <c r="N708" s="1524"/>
      <c r="O708" s="1447"/>
      <c r="P708" s="1524"/>
      <c r="Q708" s="1524"/>
      <c r="R708" s="1447"/>
    </row>
    <row r="709" spans="1:18" ht="12.75">
      <c r="A709" s="1443">
        <v>4300</v>
      </c>
      <c r="B709" s="1451" t="s">
        <v>712</v>
      </c>
      <c r="C709" s="832">
        <v>52100</v>
      </c>
      <c r="D709" s="830">
        <f t="shared" si="94"/>
        <v>52100</v>
      </c>
      <c r="E709" s="1390">
        <f t="shared" si="97"/>
        <v>19324</v>
      </c>
      <c r="F709" s="1366">
        <f t="shared" si="92"/>
        <v>37.090211132437624</v>
      </c>
      <c r="G709" s="832">
        <v>52100</v>
      </c>
      <c r="H709" s="830">
        <v>19324</v>
      </c>
      <c r="I709" s="1369">
        <f t="shared" si="96"/>
        <v>37.090211132437624</v>
      </c>
      <c r="J709" s="1680"/>
      <c r="K709" s="1524"/>
      <c r="L709" s="1526"/>
      <c r="M709" s="830"/>
      <c r="N709" s="1524"/>
      <c r="O709" s="1447"/>
      <c r="P709" s="1524"/>
      <c r="Q709" s="1524"/>
      <c r="R709" s="1447"/>
    </row>
    <row r="710" spans="1:18" ht="24">
      <c r="A710" s="1443">
        <v>4350</v>
      </c>
      <c r="B710" s="1451" t="s">
        <v>869</v>
      </c>
      <c r="C710" s="832">
        <v>1400</v>
      </c>
      <c r="D710" s="830">
        <f t="shared" si="94"/>
        <v>1400</v>
      </c>
      <c r="E710" s="1390">
        <f t="shared" si="97"/>
        <v>827</v>
      </c>
      <c r="F710" s="1366">
        <f t="shared" si="92"/>
        <v>59.07142857142858</v>
      </c>
      <c r="G710" s="832">
        <v>1400</v>
      </c>
      <c r="H710" s="830">
        <v>827</v>
      </c>
      <c r="I710" s="1369">
        <f t="shared" si="96"/>
        <v>59.07142857142858</v>
      </c>
      <c r="J710" s="1680"/>
      <c r="K710" s="1524"/>
      <c r="L710" s="1526"/>
      <c r="M710" s="830"/>
      <c r="N710" s="1524"/>
      <c r="O710" s="1447"/>
      <c r="P710" s="1524"/>
      <c r="Q710" s="1524"/>
      <c r="R710" s="1447"/>
    </row>
    <row r="711" spans="1:18" ht="12.75">
      <c r="A711" s="1443">
        <v>4410</v>
      </c>
      <c r="B711" s="1451" t="s">
        <v>672</v>
      </c>
      <c r="C711" s="832">
        <v>3300</v>
      </c>
      <c r="D711" s="830">
        <f t="shared" si="94"/>
        <v>3300</v>
      </c>
      <c r="E711" s="1390">
        <f t="shared" si="97"/>
        <v>1327</v>
      </c>
      <c r="F711" s="1366">
        <f t="shared" si="92"/>
        <v>40.21212121212121</v>
      </c>
      <c r="G711" s="832">
        <v>3300</v>
      </c>
      <c r="H711" s="830">
        <v>1327</v>
      </c>
      <c r="I711" s="1369">
        <f t="shared" si="96"/>
        <v>40.21212121212121</v>
      </c>
      <c r="J711" s="1680"/>
      <c r="K711" s="1524"/>
      <c r="L711" s="1526"/>
      <c r="M711" s="1524"/>
      <c r="N711" s="1524"/>
      <c r="O711" s="1447"/>
      <c r="P711" s="1524"/>
      <c r="Q711" s="1524"/>
      <c r="R711" s="1447"/>
    </row>
    <row r="712" spans="1:18" ht="12.75">
      <c r="A712" s="1443">
        <v>4430</v>
      </c>
      <c r="B712" s="1451" t="s">
        <v>700</v>
      </c>
      <c r="C712" s="832">
        <v>900</v>
      </c>
      <c r="D712" s="830">
        <f t="shared" si="94"/>
        <v>900</v>
      </c>
      <c r="E712" s="1390">
        <f t="shared" si="97"/>
        <v>0</v>
      </c>
      <c r="F712" s="1366">
        <f t="shared" si="92"/>
        <v>0</v>
      </c>
      <c r="G712" s="832">
        <v>900</v>
      </c>
      <c r="H712" s="830"/>
      <c r="I712" s="1369">
        <f t="shared" si="96"/>
        <v>0</v>
      </c>
      <c r="J712" s="1680"/>
      <c r="K712" s="1524"/>
      <c r="L712" s="1526"/>
      <c r="M712" s="1524"/>
      <c r="N712" s="1524"/>
      <c r="O712" s="1447"/>
      <c r="P712" s="1524"/>
      <c r="Q712" s="1524"/>
      <c r="R712" s="1447"/>
    </row>
    <row r="713" spans="1:18" ht="12.75">
      <c r="A713" s="1443">
        <v>4440</v>
      </c>
      <c r="B713" s="1451" t="s">
        <v>702</v>
      </c>
      <c r="C713" s="832">
        <v>13900</v>
      </c>
      <c r="D713" s="830">
        <f t="shared" si="94"/>
        <v>13900</v>
      </c>
      <c r="E713" s="1390">
        <f t="shared" si="97"/>
        <v>10822</v>
      </c>
      <c r="F713" s="1366">
        <f t="shared" si="92"/>
        <v>77.85611510791367</v>
      </c>
      <c r="G713" s="832">
        <v>13900</v>
      </c>
      <c r="H713" s="830">
        <v>10822</v>
      </c>
      <c r="I713" s="1369">
        <f t="shared" si="96"/>
        <v>77.85611510791367</v>
      </c>
      <c r="J713" s="1680"/>
      <c r="K713" s="1524"/>
      <c r="L713" s="1526"/>
      <c r="M713" s="830"/>
      <c r="N713" s="830"/>
      <c r="O713" s="1447"/>
      <c r="P713" s="1524"/>
      <c r="Q713" s="1524"/>
      <c r="R713" s="1447"/>
    </row>
    <row r="714" spans="1:18" ht="24">
      <c r="A714" s="1443">
        <v>6050</v>
      </c>
      <c r="B714" s="1697" t="s">
        <v>719</v>
      </c>
      <c r="C714" s="832">
        <v>210000</v>
      </c>
      <c r="D714" s="830">
        <f t="shared" si="94"/>
        <v>210000</v>
      </c>
      <c r="E714" s="1390">
        <f t="shared" si="97"/>
        <v>0</v>
      </c>
      <c r="F714" s="1366">
        <f t="shared" si="92"/>
        <v>0</v>
      </c>
      <c r="G714" s="832">
        <v>210000</v>
      </c>
      <c r="H714" s="830"/>
      <c r="I714" s="1369">
        <f t="shared" si="96"/>
        <v>0</v>
      </c>
      <c r="J714" s="1680"/>
      <c r="K714" s="1524"/>
      <c r="L714" s="1526"/>
      <c r="M714" s="830"/>
      <c r="N714" s="830"/>
      <c r="O714" s="1447"/>
      <c r="P714" s="1524"/>
      <c r="Q714" s="1524"/>
      <c r="R714" s="1447"/>
    </row>
    <row r="715" spans="1:18" ht="36">
      <c r="A715" s="1443">
        <v>6060</v>
      </c>
      <c r="B715" s="1669" t="s">
        <v>753</v>
      </c>
      <c r="C715" s="832">
        <v>7000</v>
      </c>
      <c r="D715" s="830">
        <f t="shared" si="94"/>
        <v>7000</v>
      </c>
      <c r="E715" s="1390">
        <f>SUM(H715+K715+N715+Q715)</f>
        <v>4953</v>
      </c>
      <c r="F715" s="1366">
        <f>E715/D715*100</f>
        <v>70.75714285714285</v>
      </c>
      <c r="G715" s="832">
        <v>7000</v>
      </c>
      <c r="H715" s="830">
        <v>4953</v>
      </c>
      <c r="I715" s="1369">
        <f t="shared" si="96"/>
        <v>70.75714285714285</v>
      </c>
      <c r="J715" s="1680"/>
      <c r="K715" s="1524"/>
      <c r="L715" s="1526"/>
      <c r="M715" s="830"/>
      <c r="N715" s="830"/>
      <c r="O715" s="1447"/>
      <c r="P715" s="1524"/>
      <c r="Q715" s="1524"/>
      <c r="R715" s="1447"/>
    </row>
    <row r="716" spans="1:18" s="1471" customFormat="1" ht="24">
      <c r="A716" s="1461"/>
      <c r="B716" s="1462" t="s">
        <v>1267</v>
      </c>
      <c r="C716" s="1463">
        <f>SUM(C717:C719)</f>
        <v>100000</v>
      </c>
      <c r="D716" s="1465">
        <f aca="true" t="shared" si="98" ref="D716:E731">G716+J716+P716+M716</f>
        <v>0</v>
      </c>
      <c r="E716" s="1465">
        <f>SUM(E717:E720)</f>
        <v>0</v>
      </c>
      <c r="F716" s="1366"/>
      <c r="G716" s="1463">
        <f>SUM(G717:G719)</f>
        <v>0</v>
      </c>
      <c r="H716" s="1466">
        <f>SUM(H717:H719)</f>
        <v>0</v>
      </c>
      <c r="I716" s="1732"/>
      <c r="J716" s="2938"/>
      <c r="K716" s="1465"/>
      <c r="L716" s="1526"/>
      <c r="M716" s="1466"/>
      <c r="N716" s="1465"/>
      <c r="O716" s="1470"/>
      <c r="P716" s="1465"/>
      <c r="Q716" s="1465"/>
      <c r="R716" s="880"/>
    </row>
    <row r="717" spans="1:18" ht="24">
      <c r="A717" s="1443">
        <v>4010</v>
      </c>
      <c r="B717" s="1451" t="s">
        <v>837</v>
      </c>
      <c r="C717" s="832">
        <v>83100</v>
      </c>
      <c r="D717" s="830">
        <f>G717+J717+P717+M717</f>
        <v>0</v>
      </c>
      <c r="E717" s="830">
        <f>H717+K717+Q717+N717</f>
        <v>0</v>
      </c>
      <c r="F717" s="1366"/>
      <c r="G717" s="832">
        <f>83100-83100</f>
        <v>0</v>
      </c>
      <c r="H717" s="1514"/>
      <c r="I717" s="1369"/>
      <c r="J717" s="1680"/>
      <c r="K717" s="1524"/>
      <c r="L717" s="1526"/>
      <c r="M717" s="1514"/>
      <c r="N717" s="830"/>
      <c r="O717" s="1447"/>
      <c r="P717" s="1524"/>
      <c r="Q717" s="1524"/>
      <c r="R717" s="1454"/>
    </row>
    <row r="718" spans="1:18" ht="24">
      <c r="A718" s="1443">
        <v>4110</v>
      </c>
      <c r="B718" s="1451" t="s">
        <v>686</v>
      </c>
      <c r="C718" s="832">
        <v>14900</v>
      </c>
      <c r="D718" s="830">
        <f t="shared" si="98"/>
        <v>0</v>
      </c>
      <c r="E718" s="830">
        <f>H718+K718+Q718+N718</f>
        <v>0</v>
      </c>
      <c r="F718" s="1366"/>
      <c r="G718" s="832">
        <f>14900-14900</f>
        <v>0</v>
      </c>
      <c r="H718" s="1514"/>
      <c r="I718" s="1369"/>
      <c r="J718" s="1680"/>
      <c r="K718" s="1524"/>
      <c r="L718" s="1526"/>
      <c r="M718" s="1514"/>
      <c r="N718" s="830"/>
      <c r="O718" s="1447"/>
      <c r="P718" s="1524"/>
      <c r="Q718" s="1524"/>
      <c r="R718" s="1454"/>
    </row>
    <row r="719" spans="1:18" ht="12.75">
      <c r="A719" s="1443">
        <v>4120</v>
      </c>
      <c r="B719" s="1451" t="s">
        <v>781</v>
      </c>
      <c r="C719" s="832">
        <v>2000</v>
      </c>
      <c r="D719" s="830">
        <f t="shared" si="98"/>
        <v>0</v>
      </c>
      <c r="E719" s="830">
        <f>H719+K719+Q719+N719</f>
        <v>0</v>
      </c>
      <c r="F719" s="1366"/>
      <c r="G719" s="832">
        <f>2000-2000</f>
        <v>0</v>
      </c>
      <c r="H719" s="1514"/>
      <c r="I719" s="1369"/>
      <c r="J719" s="1680"/>
      <c r="K719" s="1524"/>
      <c r="L719" s="1526"/>
      <c r="M719" s="1514"/>
      <c r="N719" s="830"/>
      <c r="O719" s="1447"/>
      <c r="P719" s="1524"/>
      <c r="Q719" s="1524"/>
      <c r="R719" s="1454"/>
    </row>
    <row r="720" spans="1:18" s="1471" customFormat="1" ht="12.75">
      <c r="A720" s="1461"/>
      <c r="B720" s="1462" t="s">
        <v>1268</v>
      </c>
      <c r="C720" s="1463">
        <f>SUM(C721:C724)</f>
        <v>57800</v>
      </c>
      <c r="D720" s="1465">
        <f t="shared" si="98"/>
        <v>0</v>
      </c>
      <c r="E720" s="1465">
        <f>SUM(E721:E724)</f>
        <v>0</v>
      </c>
      <c r="F720" s="1366"/>
      <c r="G720" s="1463">
        <f>SUM(G721:G724)</f>
        <v>0</v>
      </c>
      <c r="H720" s="1466">
        <f>SUM(H721:H724)</f>
        <v>0</v>
      </c>
      <c r="I720" s="1369"/>
      <c r="J720" s="2938"/>
      <c r="K720" s="1465"/>
      <c r="L720" s="1526"/>
      <c r="M720" s="1466"/>
      <c r="N720" s="1465"/>
      <c r="O720" s="1470"/>
      <c r="P720" s="1465"/>
      <c r="Q720" s="1465"/>
      <c r="R720" s="880"/>
    </row>
    <row r="721" spans="1:18" ht="24">
      <c r="A721" s="1443">
        <v>4010</v>
      </c>
      <c r="B721" s="1451" t="s">
        <v>837</v>
      </c>
      <c r="C721" s="832">
        <v>37600</v>
      </c>
      <c r="D721" s="830">
        <f t="shared" si="98"/>
        <v>0</v>
      </c>
      <c r="E721" s="830">
        <f t="shared" si="98"/>
        <v>0</v>
      </c>
      <c r="F721" s="1366"/>
      <c r="G721" s="832">
        <f>37600-37600</f>
        <v>0</v>
      </c>
      <c r="H721" s="1514"/>
      <c r="I721" s="1369"/>
      <c r="J721" s="1680"/>
      <c r="K721" s="1524"/>
      <c r="L721" s="1526"/>
      <c r="M721" s="1514"/>
      <c r="N721" s="830"/>
      <c r="O721" s="1447"/>
      <c r="P721" s="1524"/>
      <c r="Q721" s="1524"/>
      <c r="R721" s="1454"/>
    </row>
    <row r="722" spans="1:18" ht="24">
      <c r="A722" s="1443">
        <v>4110</v>
      </c>
      <c r="B722" s="1451" t="s">
        <v>686</v>
      </c>
      <c r="C722" s="832">
        <v>8800</v>
      </c>
      <c r="D722" s="830">
        <f t="shared" si="98"/>
        <v>0</v>
      </c>
      <c r="E722" s="830">
        <f t="shared" si="98"/>
        <v>0</v>
      </c>
      <c r="F722" s="1366"/>
      <c r="G722" s="832">
        <f>8800-8800</f>
        <v>0</v>
      </c>
      <c r="H722" s="1514"/>
      <c r="I722" s="1369"/>
      <c r="J722" s="1680"/>
      <c r="K722" s="1524"/>
      <c r="L722" s="1526"/>
      <c r="M722" s="1514"/>
      <c r="N722" s="830"/>
      <c r="O722" s="1447"/>
      <c r="P722" s="1524"/>
      <c r="Q722" s="1524"/>
      <c r="R722" s="1454"/>
    </row>
    <row r="723" spans="1:18" ht="12.75">
      <c r="A723" s="1443">
        <v>4120</v>
      </c>
      <c r="B723" s="1451" t="s">
        <v>781</v>
      </c>
      <c r="C723" s="832">
        <v>1400</v>
      </c>
      <c r="D723" s="830">
        <f t="shared" si="98"/>
        <v>0</v>
      </c>
      <c r="E723" s="830">
        <f t="shared" si="98"/>
        <v>0</v>
      </c>
      <c r="F723" s="1366"/>
      <c r="G723" s="832">
        <f>1400-1400</f>
        <v>0</v>
      </c>
      <c r="H723" s="1514"/>
      <c r="I723" s="1369"/>
      <c r="J723" s="1680"/>
      <c r="K723" s="1524"/>
      <c r="L723" s="1526"/>
      <c r="M723" s="1514"/>
      <c r="N723" s="830"/>
      <c r="O723" s="1447"/>
      <c r="P723" s="1524"/>
      <c r="Q723" s="1524"/>
      <c r="R723" s="1454"/>
    </row>
    <row r="724" spans="1:18" ht="24">
      <c r="A724" s="1443">
        <v>4170</v>
      </c>
      <c r="B724" s="1451" t="s">
        <v>744</v>
      </c>
      <c r="C724" s="832">
        <v>10000</v>
      </c>
      <c r="D724" s="830">
        <f t="shared" si="98"/>
        <v>0</v>
      </c>
      <c r="E724" s="830">
        <f t="shared" si="98"/>
        <v>0</v>
      </c>
      <c r="F724" s="1366"/>
      <c r="G724" s="832">
        <f>10000-10000</f>
        <v>0</v>
      </c>
      <c r="H724" s="1514"/>
      <c r="I724" s="1369"/>
      <c r="J724" s="1680"/>
      <c r="K724" s="1524"/>
      <c r="L724" s="1526"/>
      <c r="M724" s="1514"/>
      <c r="N724" s="830"/>
      <c r="O724" s="1447"/>
      <c r="P724" s="1524"/>
      <c r="Q724" s="1524"/>
      <c r="R724" s="1454"/>
    </row>
    <row r="725" spans="1:18" ht="12.75">
      <c r="A725" s="1521"/>
      <c r="B725" s="1522" t="s">
        <v>892</v>
      </c>
      <c r="C725" s="1463">
        <f>SUM(C726:C729)</f>
        <v>491100</v>
      </c>
      <c r="D725" s="1465">
        <f t="shared" si="98"/>
        <v>648900</v>
      </c>
      <c r="E725" s="1465">
        <f>SUM(E726:E729)</f>
        <v>307156</v>
      </c>
      <c r="F725" s="1366">
        <f t="shared" si="92"/>
        <v>47.33487440283557</v>
      </c>
      <c r="G725" s="1463">
        <f>SUM(G726:G729)</f>
        <v>404000</v>
      </c>
      <c r="H725" s="1466">
        <f>SUM(H726:H729)</f>
        <v>189448</v>
      </c>
      <c r="I725" s="1369">
        <f t="shared" si="96"/>
        <v>46.89306930693069</v>
      </c>
      <c r="J725" s="1466"/>
      <c r="K725" s="1465"/>
      <c r="L725" s="1526"/>
      <c r="M725" s="1463">
        <f>SUM(M726:M729)</f>
        <v>244900</v>
      </c>
      <c r="N725" s="1465">
        <f>SUM(N726:N729)</f>
        <v>117708</v>
      </c>
      <c r="O725" s="1395">
        <f aca="true" t="shared" si="99" ref="O725:O756">N725/M725*100</f>
        <v>48.06369946917109</v>
      </c>
      <c r="P725" s="1524"/>
      <c r="Q725" s="1524"/>
      <c r="R725" s="1454"/>
    </row>
    <row r="726" spans="1:18" ht="24">
      <c r="A726" s="1443">
        <v>4010</v>
      </c>
      <c r="B726" s="1451" t="s">
        <v>680</v>
      </c>
      <c r="C726" s="832">
        <v>408100</v>
      </c>
      <c r="D726" s="830">
        <f t="shared" si="98"/>
        <v>531900</v>
      </c>
      <c r="E726" s="830">
        <f aca="true" t="shared" si="100" ref="E726:E759">SUM(H726+K726+N726+Q726)</f>
        <v>254809</v>
      </c>
      <c r="F726" s="1366">
        <f t="shared" si="92"/>
        <v>47.905433352133855</v>
      </c>
      <c r="G726" s="832">
        <f>204600+37600+83100+4500-1400</f>
        <v>328400</v>
      </c>
      <c r="H726" s="1514">
        <v>155910</v>
      </c>
      <c r="I726" s="1369">
        <f t="shared" si="96"/>
        <v>47.47563946406821</v>
      </c>
      <c r="J726" s="1445"/>
      <c r="K726" s="1390"/>
      <c r="L726" s="1446"/>
      <c r="M726" s="1389">
        <v>203500</v>
      </c>
      <c r="N726" s="1390">
        <v>98899</v>
      </c>
      <c r="O726" s="1395">
        <f t="shared" si="99"/>
        <v>48.5990171990172</v>
      </c>
      <c r="P726" s="1389"/>
      <c r="Q726" s="1390"/>
      <c r="R726" s="1454"/>
    </row>
    <row r="727" spans="1:18" ht="24">
      <c r="A727" s="1443">
        <v>4110</v>
      </c>
      <c r="B727" s="1451" t="s">
        <v>686</v>
      </c>
      <c r="C727" s="832">
        <v>73000</v>
      </c>
      <c r="D727" s="830">
        <f t="shared" si="98"/>
        <v>96700</v>
      </c>
      <c r="E727" s="830">
        <f t="shared" si="100"/>
        <v>42822</v>
      </c>
      <c r="F727" s="1366">
        <f t="shared" si="92"/>
        <v>44.28335056876939</v>
      </c>
      <c r="G727" s="832">
        <f>36600+8800+14900</f>
        <v>60300</v>
      </c>
      <c r="H727" s="1514">
        <v>26463</v>
      </c>
      <c r="I727" s="1369">
        <f t="shared" si="96"/>
        <v>43.88557213930348</v>
      </c>
      <c r="J727" s="1445"/>
      <c r="K727" s="1390"/>
      <c r="L727" s="1446"/>
      <c r="M727" s="1389">
        <v>36400</v>
      </c>
      <c r="N727" s="1390">
        <v>16359</v>
      </c>
      <c r="O727" s="1395">
        <f t="shared" si="99"/>
        <v>44.94230769230769</v>
      </c>
      <c r="P727" s="1390"/>
      <c r="Q727" s="1390"/>
      <c r="R727" s="1454"/>
    </row>
    <row r="728" spans="1:18" ht="12.75">
      <c r="A728" s="1443">
        <v>4120</v>
      </c>
      <c r="B728" s="1451" t="s">
        <v>781</v>
      </c>
      <c r="C728" s="832">
        <v>10000</v>
      </c>
      <c r="D728" s="830">
        <f t="shared" si="98"/>
        <v>13400</v>
      </c>
      <c r="E728" s="830">
        <f t="shared" si="100"/>
        <v>6184</v>
      </c>
      <c r="F728" s="1366">
        <f t="shared" si="92"/>
        <v>46.14925373134328</v>
      </c>
      <c r="G728" s="832">
        <f>5000+1400+2000</f>
        <v>8400</v>
      </c>
      <c r="H728" s="1514">
        <v>3734</v>
      </c>
      <c r="I728" s="1369">
        <f t="shared" si="96"/>
        <v>44.452380952380956</v>
      </c>
      <c r="J728" s="1445"/>
      <c r="K728" s="1390"/>
      <c r="L728" s="1446"/>
      <c r="M728" s="1389">
        <v>5000</v>
      </c>
      <c r="N728" s="1390">
        <v>2450</v>
      </c>
      <c r="O728" s="1395">
        <f t="shared" si="99"/>
        <v>49</v>
      </c>
      <c r="P728" s="1390"/>
      <c r="Q728" s="1390"/>
      <c r="R728" s="1454"/>
    </row>
    <row r="729" spans="1:18" ht="24">
      <c r="A729" s="1443">
        <v>4170</v>
      </c>
      <c r="B729" s="1451" t="s">
        <v>744</v>
      </c>
      <c r="C729" s="832"/>
      <c r="D729" s="830">
        <f t="shared" si="98"/>
        <v>6900</v>
      </c>
      <c r="E729" s="830">
        <f t="shared" si="100"/>
        <v>3341</v>
      </c>
      <c r="F729" s="1366">
        <f t="shared" si="92"/>
        <v>48.42028985507246</v>
      </c>
      <c r="G729" s="830">
        <f>10000-4500+1400</f>
        <v>6900</v>
      </c>
      <c r="H729" s="1514">
        <v>3341</v>
      </c>
      <c r="I729" s="1369">
        <f t="shared" si="96"/>
        <v>48.42028985507246</v>
      </c>
      <c r="J729" s="1445"/>
      <c r="K729" s="1390"/>
      <c r="L729" s="1446"/>
      <c r="M729" s="1389"/>
      <c r="N729" s="1390"/>
      <c r="O729" s="1584"/>
      <c r="P729" s="1390"/>
      <c r="Q729" s="1390"/>
      <c r="R729" s="1454"/>
    </row>
    <row r="730" spans="1:18" ht="36" hidden="1">
      <c r="A730" s="1443">
        <v>3020</v>
      </c>
      <c r="B730" s="1451" t="s">
        <v>739</v>
      </c>
      <c r="C730" s="832"/>
      <c r="D730" s="830">
        <f t="shared" si="98"/>
        <v>0</v>
      </c>
      <c r="E730" s="830">
        <f t="shared" si="100"/>
        <v>0</v>
      </c>
      <c r="F730" s="1366" t="e">
        <f aca="true" t="shared" si="101" ref="F730:F744">E730/D730*100</f>
        <v>#DIV/0!</v>
      </c>
      <c r="G730" s="830"/>
      <c r="H730" s="1514"/>
      <c r="I730" s="1369" t="e">
        <f t="shared" si="96"/>
        <v>#DIV/0!</v>
      </c>
      <c r="J730" s="1445"/>
      <c r="K730" s="1390"/>
      <c r="L730" s="1446"/>
      <c r="M730" s="1389"/>
      <c r="N730" s="1390"/>
      <c r="O730" s="1584" t="e">
        <f t="shared" si="99"/>
        <v>#DIV/0!</v>
      </c>
      <c r="P730" s="1390"/>
      <c r="Q730" s="1390"/>
      <c r="R730" s="1454"/>
    </row>
    <row r="731" spans="1:18" ht="36" hidden="1">
      <c r="A731" s="1443">
        <v>3020</v>
      </c>
      <c r="B731" s="1451" t="s">
        <v>739</v>
      </c>
      <c r="C731" s="832"/>
      <c r="D731" s="830">
        <f t="shared" si="98"/>
        <v>0</v>
      </c>
      <c r="E731" s="830">
        <f t="shared" si="100"/>
        <v>0</v>
      </c>
      <c r="F731" s="1366" t="e">
        <f t="shared" si="101"/>
        <v>#DIV/0!</v>
      </c>
      <c r="G731" s="830"/>
      <c r="H731" s="1514"/>
      <c r="I731" s="1369" t="e">
        <f t="shared" si="96"/>
        <v>#DIV/0!</v>
      </c>
      <c r="J731" s="1445"/>
      <c r="K731" s="1390"/>
      <c r="L731" s="1446"/>
      <c r="M731" s="1389"/>
      <c r="N731" s="1390"/>
      <c r="O731" s="1584" t="e">
        <f t="shared" si="99"/>
        <v>#DIV/0!</v>
      </c>
      <c r="P731" s="1390"/>
      <c r="Q731" s="1390"/>
      <c r="R731" s="1454"/>
    </row>
    <row r="732" spans="1:18" ht="24.75" customHeight="1" hidden="1">
      <c r="A732" s="1443">
        <v>3240</v>
      </c>
      <c r="B732" s="1451" t="s">
        <v>893</v>
      </c>
      <c r="C732" s="832"/>
      <c r="D732" s="830">
        <f aca="true" t="shared" si="102" ref="D732:D771">G732+J732+P732+M732</f>
        <v>0</v>
      </c>
      <c r="E732" s="830">
        <f t="shared" si="100"/>
        <v>0</v>
      </c>
      <c r="F732" s="1366" t="e">
        <f t="shared" si="101"/>
        <v>#DIV/0!</v>
      </c>
      <c r="G732" s="830"/>
      <c r="H732" s="1514"/>
      <c r="I732" s="1369" t="e">
        <f t="shared" si="96"/>
        <v>#DIV/0!</v>
      </c>
      <c r="J732" s="1445"/>
      <c r="K732" s="1390"/>
      <c r="L732" s="1446"/>
      <c r="M732" s="1389"/>
      <c r="N732" s="1390"/>
      <c r="O732" s="1584" t="e">
        <f t="shared" si="99"/>
        <v>#DIV/0!</v>
      </c>
      <c r="P732" s="1390"/>
      <c r="Q732" s="1390"/>
      <c r="R732" s="1454"/>
    </row>
    <row r="733" spans="1:18" ht="35.25" customHeight="1">
      <c r="A733" s="1443">
        <v>4010</v>
      </c>
      <c r="B733" s="1451" t="s">
        <v>894</v>
      </c>
      <c r="C733" s="832">
        <v>104000</v>
      </c>
      <c r="D733" s="830">
        <f t="shared" si="102"/>
        <v>94723</v>
      </c>
      <c r="E733" s="830">
        <f>SUM(H733+K733+N733+Q733)</f>
        <v>0</v>
      </c>
      <c r="F733" s="1366">
        <f t="shared" si="101"/>
        <v>0</v>
      </c>
      <c r="G733" s="830">
        <f>104000-39777+10340+9870+10290</f>
        <v>94723</v>
      </c>
      <c r="H733" s="1514"/>
      <c r="I733" s="1369">
        <f t="shared" si="96"/>
        <v>0</v>
      </c>
      <c r="J733" s="1445"/>
      <c r="K733" s="1390"/>
      <c r="L733" s="1446"/>
      <c r="M733" s="1389"/>
      <c r="N733" s="1390"/>
      <c r="O733" s="1584"/>
      <c r="P733" s="1390"/>
      <c r="Q733" s="1390"/>
      <c r="R733" s="1454"/>
    </row>
    <row r="734" spans="1:18" ht="48">
      <c r="A734" s="1443">
        <v>4010</v>
      </c>
      <c r="B734" s="1451" t="s">
        <v>1269</v>
      </c>
      <c r="C734" s="832">
        <v>25700</v>
      </c>
      <c r="D734" s="830">
        <f t="shared" si="102"/>
        <v>37966</v>
      </c>
      <c r="E734" s="830">
        <f>SUM(H734+K734+N734+Q734)</f>
        <v>0</v>
      </c>
      <c r="F734" s="1366">
        <f>E734/D734*100</f>
        <v>0</v>
      </c>
      <c r="G734" s="830"/>
      <c r="H734" s="1514"/>
      <c r="I734" s="1369"/>
      <c r="J734" s="1445"/>
      <c r="K734" s="1390"/>
      <c r="L734" s="1446"/>
      <c r="M734" s="1389">
        <f>25700+9246+2100+920</f>
        <v>37966</v>
      </c>
      <c r="N734" s="1390"/>
      <c r="O734" s="1395">
        <f t="shared" si="99"/>
        <v>0</v>
      </c>
      <c r="P734" s="1390"/>
      <c r="Q734" s="1390"/>
      <c r="R734" s="1454"/>
    </row>
    <row r="735" spans="1:18" ht="24">
      <c r="A735" s="1443">
        <v>4170</v>
      </c>
      <c r="B735" s="1451" t="s">
        <v>744</v>
      </c>
      <c r="C735" s="832">
        <f>10000+15000</f>
        <v>25000</v>
      </c>
      <c r="D735" s="830">
        <f t="shared" si="102"/>
        <v>32500</v>
      </c>
      <c r="E735" s="830">
        <f>SUM(H735+K735+N735+Q735)</f>
        <v>12135</v>
      </c>
      <c r="F735" s="1366">
        <f>E735/D735*100</f>
        <v>37.33846153846154</v>
      </c>
      <c r="G735" s="830">
        <v>10000</v>
      </c>
      <c r="H735" s="1514"/>
      <c r="I735" s="1369">
        <f t="shared" si="96"/>
        <v>0</v>
      </c>
      <c r="J735" s="1445"/>
      <c r="K735" s="1390"/>
      <c r="L735" s="1446"/>
      <c r="M735" s="1389">
        <f>15000+7500</f>
        <v>22500</v>
      </c>
      <c r="N735" s="1390">
        <f>12136-1</f>
        <v>12135</v>
      </c>
      <c r="O735" s="1395">
        <f t="shared" si="99"/>
        <v>53.93333333333333</v>
      </c>
      <c r="P735" s="1390"/>
      <c r="Q735" s="1390"/>
      <c r="R735" s="1454"/>
    </row>
    <row r="736" spans="1:18" ht="27.75" customHeight="1">
      <c r="A736" s="1443">
        <v>4210</v>
      </c>
      <c r="B736" s="1451" t="s">
        <v>690</v>
      </c>
      <c r="C736" s="832">
        <v>4000</v>
      </c>
      <c r="D736" s="830">
        <f t="shared" si="102"/>
        <v>8450</v>
      </c>
      <c r="E736" s="830">
        <f t="shared" si="100"/>
        <v>6199</v>
      </c>
      <c r="F736" s="1366">
        <f t="shared" si="101"/>
        <v>73.36094674556213</v>
      </c>
      <c r="G736" s="830"/>
      <c r="H736" s="1514"/>
      <c r="I736" s="1369"/>
      <c r="J736" s="1445"/>
      <c r="K736" s="1390"/>
      <c r="L736" s="1446"/>
      <c r="M736" s="1389">
        <f>4000+3100+3450-2100</f>
        <v>8450</v>
      </c>
      <c r="N736" s="1390">
        <v>6199</v>
      </c>
      <c r="O736" s="1395">
        <f t="shared" si="99"/>
        <v>73.36094674556213</v>
      </c>
      <c r="P736" s="1390"/>
      <c r="Q736" s="1390"/>
      <c r="R736" s="1454"/>
    </row>
    <row r="737" spans="1:18" ht="35.25" customHeight="1">
      <c r="A737" s="1443">
        <v>4240</v>
      </c>
      <c r="B737" s="1451" t="s">
        <v>758</v>
      </c>
      <c r="C737" s="832">
        <v>270000</v>
      </c>
      <c r="D737" s="830">
        <f t="shared" si="102"/>
        <v>270000</v>
      </c>
      <c r="E737" s="830">
        <f t="shared" si="100"/>
        <v>53761</v>
      </c>
      <c r="F737" s="1366">
        <f t="shared" si="101"/>
        <v>19.911481481481484</v>
      </c>
      <c r="G737" s="830">
        <f>20000-5000</f>
        <v>15000</v>
      </c>
      <c r="H737" s="1514"/>
      <c r="I737" s="1369">
        <f t="shared" si="96"/>
        <v>0</v>
      </c>
      <c r="J737" s="1445"/>
      <c r="K737" s="1390"/>
      <c r="L737" s="1446"/>
      <c r="M737" s="1389">
        <f>250000+5000</f>
        <v>255000</v>
      </c>
      <c r="N737" s="1390">
        <v>53761</v>
      </c>
      <c r="O737" s="1395">
        <f t="shared" si="99"/>
        <v>21.082745098039215</v>
      </c>
      <c r="P737" s="1390"/>
      <c r="Q737" s="1390"/>
      <c r="R737" s="1454"/>
    </row>
    <row r="738" spans="1:18" ht="15.75" customHeight="1">
      <c r="A738" s="1443">
        <v>4270</v>
      </c>
      <c r="B738" s="1451" t="s">
        <v>696</v>
      </c>
      <c r="C738" s="832">
        <v>14000</v>
      </c>
      <c r="D738" s="830">
        <f t="shared" si="102"/>
        <v>14000</v>
      </c>
      <c r="E738" s="830">
        <f t="shared" si="100"/>
        <v>0</v>
      </c>
      <c r="F738" s="1366">
        <f t="shared" si="101"/>
        <v>0</v>
      </c>
      <c r="G738" s="830">
        <v>14000</v>
      </c>
      <c r="H738" s="1514"/>
      <c r="I738" s="1369">
        <f t="shared" si="96"/>
        <v>0</v>
      </c>
      <c r="J738" s="1445"/>
      <c r="K738" s="1390"/>
      <c r="L738" s="1446"/>
      <c r="M738" s="1389"/>
      <c r="N738" s="1390"/>
      <c r="O738" s="1395"/>
      <c r="P738" s="1390"/>
      <c r="Q738" s="1390"/>
      <c r="R738" s="1454"/>
    </row>
    <row r="739" spans="1:18" ht="12.75" hidden="1">
      <c r="A739" s="1443">
        <v>4280</v>
      </c>
      <c r="B739" s="1451" t="s">
        <v>745</v>
      </c>
      <c r="C739" s="832"/>
      <c r="D739" s="830">
        <f t="shared" si="102"/>
        <v>0</v>
      </c>
      <c r="E739" s="830">
        <f t="shared" si="100"/>
        <v>0</v>
      </c>
      <c r="F739" s="1366" t="e">
        <f t="shared" si="101"/>
        <v>#DIV/0!</v>
      </c>
      <c r="G739" s="832">
        <f>26245-26245</f>
        <v>0</v>
      </c>
      <c r="H739" s="830"/>
      <c r="I739" s="1369" t="e">
        <f>H739/G739*100</f>
        <v>#DIV/0!</v>
      </c>
      <c r="J739" s="1445"/>
      <c r="K739" s="1390"/>
      <c r="L739" s="1446"/>
      <c r="M739" s="832">
        <f>33800-33800</f>
        <v>0</v>
      </c>
      <c r="N739" s="830">
        <v>0</v>
      </c>
      <c r="O739" s="1395" t="e">
        <f t="shared" si="99"/>
        <v>#DIV/0!</v>
      </c>
      <c r="P739" s="1390"/>
      <c r="Q739" s="1390"/>
      <c r="R739" s="1454"/>
    </row>
    <row r="740" spans="1:18" ht="12.75">
      <c r="A740" s="1443">
        <v>4300</v>
      </c>
      <c r="B740" s="1451" t="s">
        <v>698</v>
      </c>
      <c r="C740" s="832">
        <f>SUM(C741:C750)</f>
        <v>1435300</v>
      </c>
      <c r="D740" s="830">
        <f t="shared" si="102"/>
        <v>1248950</v>
      </c>
      <c r="E740" s="830">
        <f t="shared" si="100"/>
        <v>760539</v>
      </c>
      <c r="F740" s="1366">
        <f t="shared" si="101"/>
        <v>60.894271187797756</v>
      </c>
      <c r="G740" s="1572">
        <f>SUM(G741:G750)</f>
        <v>906100</v>
      </c>
      <c r="H740" s="830">
        <f>SUM(H741:H750)</f>
        <v>639481</v>
      </c>
      <c r="I740" s="1369">
        <f t="shared" si="96"/>
        <v>70.57510208586248</v>
      </c>
      <c r="J740" s="1445"/>
      <c r="K740" s="1390"/>
      <c r="L740" s="1446"/>
      <c r="M740" s="832">
        <f>SUM(M741:M750)</f>
        <v>342850</v>
      </c>
      <c r="N740" s="830">
        <f>SUM(N741:N750)</f>
        <v>121058</v>
      </c>
      <c r="O740" s="1395">
        <f t="shared" si="99"/>
        <v>35.30931894414467</v>
      </c>
      <c r="P740" s="1390"/>
      <c r="Q740" s="1390"/>
      <c r="R740" s="1454"/>
    </row>
    <row r="741" spans="1:18" s="1285" customFormat="1" ht="12.75">
      <c r="A741" s="1499"/>
      <c r="B741" s="1597" t="s">
        <v>895</v>
      </c>
      <c r="C741" s="1501">
        <v>916800</v>
      </c>
      <c r="D741" s="1502">
        <f t="shared" si="102"/>
        <v>915900</v>
      </c>
      <c r="E741" s="1502">
        <f t="shared" si="100"/>
        <v>645685</v>
      </c>
      <c r="F741" s="1682">
        <f t="shared" si="101"/>
        <v>70.49732503548422</v>
      </c>
      <c r="G741" s="1501">
        <v>900000</v>
      </c>
      <c r="H741" s="1502">
        <v>638334</v>
      </c>
      <c r="I741" s="1366">
        <f t="shared" si="96"/>
        <v>70.926</v>
      </c>
      <c r="J741" s="1504"/>
      <c r="K741" s="1502"/>
      <c r="L741" s="1503"/>
      <c r="M741" s="1501">
        <f>16800-900</f>
        <v>15900</v>
      </c>
      <c r="N741" s="1502">
        <v>7351</v>
      </c>
      <c r="O741" s="1573">
        <f t="shared" si="99"/>
        <v>46.23270440251572</v>
      </c>
      <c r="P741" s="1502"/>
      <c r="Q741" s="1502"/>
      <c r="R741" s="1507"/>
    </row>
    <row r="742" spans="1:18" s="1285" customFormat="1" ht="24">
      <c r="A742" s="1499"/>
      <c r="B742" s="1597" t="s">
        <v>896</v>
      </c>
      <c r="C742" s="1501">
        <v>90000</v>
      </c>
      <c r="D742" s="1502">
        <f t="shared" si="102"/>
        <v>29388</v>
      </c>
      <c r="E742" s="1502">
        <f t="shared" si="100"/>
        <v>18027</v>
      </c>
      <c r="F742" s="1682">
        <f t="shared" si="101"/>
        <v>61.34136382196815</v>
      </c>
      <c r="G742" s="1501"/>
      <c r="H742" s="1502"/>
      <c r="I742" s="1366"/>
      <c r="J742" s="1504"/>
      <c r="K742" s="1502"/>
      <c r="L742" s="1503"/>
      <c r="M742" s="1501">
        <f>90000-67000-17641+15841-5359+13547</f>
        <v>29388</v>
      </c>
      <c r="N742" s="1502">
        <v>18027</v>
      </c>
      <c r="O742" s="1573">
        <f t="shared" si="99"/>
        <v>61.34136382196815</v>
      </c>
      <c r="P742" s="1502"/>
      <c r="Q742" s="1502"/>
      <c r="R742" s="1507"/>
    </row>
    <row r="743" spans="1:18" s="1285" customFormat="1" ht="24">
      <c r="A743" s="1499"/>
      <c r="B743" s="1597" t="s">
        <v>1270</v>
      </c>
      <c r="C743" s="1501">
        <v>261300</v>
      </c>
      <c r="D743" s="1502">
        <f t="shared" si="102"/>
        <v>261300</v>
      </c>
      <c r="E743" s="1502">
        <f t="shared" si="100"/>
        <v>74102</v>
      </c>
      <c r="F743" s="1682">
        <f t="shared" si="101"/>
        <v>28.358974358974358</v>
      </c>
      <c r="G743" s="1501"/>
      <c r="H743" s="1502"/>
      <c r="I743" s="1366"/>
      <c r="J743" s="1504"/>
      <c r="K743" s="1502"/>
      <c r="L743" s="1503"/>
      <c r="M743" s="1501">
        <v>261300</v>
      </c>
      <c r="N743" s="1502">
        <v>74102</v>
      </c>
      <c r="O743" s="1573">
        <f t="shared" si="99"/>
        <v>28.358974358974358</v>
      </c>
      <c r="P743" s="1502"/>
      <c r="Q743" s="1502"/>
      <c r="R743" s="1507"/>
    </row>
    <row r="744" spans="1:18" s="1285" customFormat="1" ht="36">
      <c r="A744" s="1499"/>
      <c r="B744" s="1597" t="s">
        <v>1271</v>
      </c>
      <c r="C744" s="1501">
        <v>30000</v>
      </c>
      <c r="D744" s="1502">
        <f t="shared" si="102"/>
        <v>1600</v>
      </c>
      <c r="E744" s="1502">
        <f t="shared" si="100"/>
        <v>1147</v>
      </c>
      <c r="F744" s="1682">
        <f t="shared" si="101"/>
        <v>71.6875</v>
      </c>
      <c r="G744" s="1501">
        <f>30000-12000-16400</f>
        <v>1600</v>
      </c>
      <c r="H744" s="1502">
        <f>1098+49</f>
        <v>1147</v>
      </c>
      <c r="I744" s="1366">
        <f t="shared" si="96"/>
        <v>71.6875</v>
      </c>
      <c r="J744" s="1504"/>
      <c r="K744" s="1502"/>
      <c r="L744" s="1503"/>
      <c r="M744" s="1501"/>
      <c r="N744" s="1502"/>
      <c r="O744" s="1584"/>
      <c r="P744" s="1502"/>
      <c r="Q744" s="1502"/>
      <c r="R744" s="1507"/>
    </row>
    <row r="745" spans="1:18" s="1285" customFormat="1" ht="12.75">
      <c r="A745" s="1499"/>
      <c r="B745" s="1597" t="s">
        <v>1272</v>
      </c>
      <c r="C745" s="1501">
        <v>100000</v>
      </c>
      <c r="D745" s="1502">
        <f t="shared" si="102"/>
        <v>0</v>
      </c>
      <c r="E745" s="1502">
        <f t="shared" si="100"/>
        <v>0</v>
      </c>
      <c r="F745" s="1682"/>
      <c r="G745" s="1501"/>
      <c r="H745" s="1502"/>
      <c r="I745" s="1366"/>
      <c r="J745" s="1504"/>
      <c r="K745" s="1502"/>
      <c r="L745" s="1503"/>
      <c r="M745" s="1501">
        <f>100000-100000</f>
        <v>0</v>
      </c>
      <c r="N745" s="1502"/>
      <c r="O745" s="1584"/>
      <c r="P745" s="1502"/>
      <c r="Q745" s="1502"/>
      <c r="R745" s="1507"/>
    </row>
    <row r="746" spans="1:18" s="1285" customFormat="1" ht="12.75">
      <c r="A746" s="1499"/>
      <c r="B746" s="1597" t="s">
        <v>698</v>
      </c>
      <c r="C746" s="1501">
        <v>7700</v>
      </c>
      <c r="D746" s="1502">
        <f t="shared" si="102"/>
        <v>14950</v>
      </c>
      <c r="E746" s="1502">
        <f t="shared" si="100"/>
        <v>11508</v>
      </c>
      <c r="F746" s="1682">
        <f>E746/D746*100</f>
        <v>76.97658862876254</v>
      </c>
      <c r="G746" s="1501"/>
      <c r="H746" s="1502"/>
      <c r="I746" s="1366"/>
      <c r="J746" s="1504"/>
      <c r="K746" s="1502"/>
      <c r="L746" s="1503"/>
      <c r="M746" s="1501">
        <f>7700+8900-1650</f>
        <v>14950</v>
      </c>
      <c r="N746" s="1502">
        <f>7024+4484</f>
        <v>11508</v>
      </c>
      <c r="O746" s="1584">
        <f t="shared" si="99"/>
        <v>76.97658862876254</v>
      </c>
      <c r="P746" s="1502"/>
      <c r="Q746" s="1502"/>
      <c r="R746" s="1507"/>
    </row>
    <row r="747" spans="1:18" s="1285" customFormat="1" ht="12.75">
      <c r="A747" s="1499"/>
      <c r="B747" s="1597" t="s">
        <v>897</v>
      </c>
      <c r="C747" s="1501">
        <v>5000</v>
      </c>
      <c r="D747" s="1502">
        <f t="shared" si="102"/>
        <v>10000</v>
      </c>
      <c r="E747" s="1502">
        <f t="shared" si="100"/>
        <v>5070</v>
      </c>
      <c r="F747" s="1682">
        <f>E747/D747*100</f>
        <v>50.7</v>
      </c>
      <c r="G747" s="1501"/>
      <c r="H747" s="1502"/>
      <c r="I747" s="1366"/>
      <c r="J747" s="1504"/>
      <c r="K747" s="1502"/>
      <c r="L747" s="1503"/>
      <c r="M747" s="1501">
        <f>5000+5000</f>
        <v>10000</v>
      </c>
      <c r="N747" s="1502">
        <v>5070</v>
      </c>
      <c r="O747" s="1584">
        <f t="shared" si="99"/>
        <v>50.7</v>
      </c>
      <c r="P747" s="1502"/>
      <c r="Q747" s="1502"/>
      <c r="R747" s="1507"/>
    </row>
    <row r="748" spans="1:18" s="1285" customFormat="1" ht="24">
      <c r="A748" s="1499"/>
      <c r="B748" s="1597" t="s">
        <v>898</v>
      </c>
      <c r="C748" s="1501">
        <v>5000</v>
      </c>
      <c r="D748" s="1502">
        <f t="shared" si="102"/>
        <v>5000</v>
      </c>
      <c r="E748" s="1502">
        <f t="shared" si="100"/>
        <v>5000</v>
      </c>
      <c r="F748" s="1682">
        <f aca="true" t="shared" si="103" ref="F748:F811">E748/D748*100</f>
        <v>100</v>
      </c>
      <c r="G748" s="1501"/>
      <c r="H748" s="1502"/>
      <c r="I748" s="1366"/>
      <c r="J748" s="1504"/>
      <c r="K748" s="1502"/>
      <c r="L748" s="1503"/>
      <c r="M748" s="1501">
        <v>5000</v>
      </c>
      <c r="N748" s="1502">
        <v>5000</v>
      </c>
      <c r="O748" s="1584">
        <f t="shared" si="99"/>
        <v>100</v>
      </c>
      <c r="P748" s="1502"/>
      <c r="Q748" s="1502"/>
      <c r="R748" s="1507"/>
    </row>
    <row r="749" spans="1:18" s="1285" customFormat="1" ht="24">
      <c r="A749" s="1499"/>
      <c r="B749" s="1597" t="s">
        <v>899</v>
      </c>
      <c r="C749" s="1501">
        <v>7500</v>
      </c>
      <c r="D749" s="1502">
        <f t="shared" si="102"/>
        <v>7000</v>
      </c>
      <c r="E749" s="1502">
        <f t="shared" si="100"/>
        <v>0</v>
      </c>
      <c r="F749" s="1682">
        <f t="shared" si="103"/>
        <v>0</v>
      </c>
      <c r="G749" s="1501">
        <f>5000-500</f>
        <v>4500</v>
      </c>
      <c r="H749" s="1502"/>
      <c r="I749" s="1366">
        <f>H749/G749*100</f>
        <v>0</v>
      </c>
      <c r="J749" s="1504"/>
      <c r="K749" s="1502"/>
      <c r="L749" s="1503"/>
      <c r="M749" s="1501">
        <v>2500</v>
      </c>
      <c r="N749" s="1502"/>
      <c r="O749" s="1584">
        <f t="shared" si="99"/>
        <v>0</v>
      </c>
      <c r="P749" s="1502"/>
      <c r="Q749" s="1502"/>
      <c r="R749" s="1507"/>
    </row>
    <row r="750" spans="1:18" s="1285" customFormat="1" ht="36">
      <c r="A750" s="1499"/>
      <c r="B750" s="1597" t="s">
        <v>900</v>
      </c>
      <c r="C750" s="1501">
        <v>12000</v>
      </c>
      <c r="D750" s="1502">
        <f t="shared" si="102"/>
        <v>3812</v>
      </c>
      <c r="E750" s="1502">
        <f t="shared" si="100"/>
        <v>0</v>
      </c>
      <c r="F750" s="1682">
        <f t="shared" si="103"/>
        <v>0</v>
      </c>
      <c r="G750" s="1501"/>
      <c r="H750" s="1502"/>
      <c r="I750" s="1366"/>
      <c r="J750" s="1504"/>
      <c r="K750" s="1502"/>
      <c r="L750" s="1503"/>
      <c r="M750" s="1501">
        <f>12000-8188</f>
        <v>3812</v>
      </c>
      <c r="N750" s="1502"/>
      <c r="O750" s="1584">
        <f t="shared" si="99"/>
        <v>0</v>
      </c>
      <c r="P750" s="1502"/>
      <c r="Q750" s="1502"/>
      <c r="R750" s="1507"/>
    </row>
    <row r="751" spans="1:18" s="1286" customFormat="1" ht="12.75">
      <c r="A751" s="1512">
        <v>4430</v>
      </c>
      <c r="B751" s="1574" t="s">
        <v>700</v>
      </c>
      <c r="C751" s="832">
        <v>181000</v>
      </c>
      <c r="D751" s="830">
        <f t="shared" si="102"/>
        <v>181000</v>
      </c>
      <c r="E751" s="830">
        <f t="shared" si="100"/>
        <v>75288</v>
      </c>
      <c r="F751" s="2939">
        <f t="shared" si="103"/>
        <v>41.59558011049724</v>
      </c>
      <c r="G751" s="832">
        <v>81000</v>
      </c>
      <c r="H751" s="830">
        <v>37356</v>
      </c>
      <c r="I751" s="2921">
        <f aca="true" t="shared" si="104" ref="I751:I778">H751/G751*100</f>
        <v>46.11851851851852</v>
      </c>
      <c r="J751" s="1514"/>
      <c r="K751" s="830"/>
      <c r="L751" s="1446"/>
      <c r="M751" s="832">
        <v>100000</v>
      </c>
      <c r="N751" s="830">
        <v>37932</v>
      </c>
      <c r="O751" s="1748">
        <f t="shared" si="99"/>
        <v>37.932</v>
      </c>
      <c r="P751" s="830"/>
      <c r="Q751" s="830"/>
      <c r="R751" s="834"/>
    </row>
    <row r="752" spans="1:18" ht="12.75">
      <c r="A752" s="1443">
        <v>4440</v>
      </c>
      <c r="B752" s="1451" t="s">
        <v>901</v>
      </c>
      <c r="C752" s="832">
        <v>707600</v>
      </c>
      <c r="D752" s="830">
        <f t="shared" si="102"/>
        <v>707600</v>
      </c>
      <c r="E752" s="830">
        <f t="shared" si="100"/>
        <v>529696</v>
      </c>
      <c r="F752" s="1682">
        <f t="shared" si="103"/>
        <v>74.85811192764274</v>
      </c>
      <c r="G752" s="832">
        <v>389200</v>
      </c>
      <c r="H752" s="830">
        <v>290918</v>
      </c>
      <c r="I752" s="1366">
        <f t="shared" si="104"/>
        <v>74.74768756423433</v>
      </c>
      <c r="J752" s="1445"/>
      <c r="K752" s="1390"/>
      <c r="L752" s="1446"/>
      <c r="M752" s="1389">
        <v>318400</v>
      </c>
      <c r="N752" s="1390">
        <v>238778</v>
      </c>
      <c r="O752" s="1584">
        <f t="shared" si="99"/>
        <v>74.9930904522613</v>
      </c>
      <c r="P752" s="1390"/>
      <c r="Q752" s="1390"/>
      <c r="R752" s="1454"/>
    </row>
    <row r="753" spans="1:18" ht="24">
      <c r="A753" s="1443">
        <v>6050</v>
      </c>
      <c r="B753" s="1451" t="s">
        <v>719</v>
      </c>
      <c r="C753" s="832">
        <v>1302500</v>
      </c>
      <c r="D753" s="830">
        <f t="shared" si="102"/>
        <v>1407500</v>
      </c>
      <c r="E753" s="830">
        <f t="shared" si="100"/>
        <v>147664</v>
      </c>
      <c r="F753" s="1682">
        <f t="shared" si="103"/>
        <v>10.491225577264654</v>
      </c>
      <c r="G753" s="832">
        <f>600000+105000</f>
        <v>705000</v>
      </c>
      <c r="H753" s="830">
        <v>99998</v>
      </c>
      <c r="I753" s="1366">
        <f t="shared" si="104"/>
        <v>14.184113475177304</v>
      </c>
      <c r="J753" s="1445"/>
      <c r="K753" s="1390"/>
      <c r="L753" s="1446"/>
      <c r="M753" s="1389">
        <v>702500</v>
      </c>
      <c r="N753" s="1390">
        <v>47666</v>
      </c>
      <c r="O753" s="1584">
        <f t="shared" si="99"/>
        <v>6.785195729537366</v>
      </c>
      <c r="P753" s="1390"/>
      <c r="Q753" s="1390"/>
      <c r="R753" s="1454"/>
    </row>
    <row r="754" spans="1:18" ht="36">
      <c r="A754" s="1443">
        <v>6060</v>
      </c>
      <c r="B754" s="1451" t="s">
        <v>753</v>
      </c>
      <c r="C754" s="832">
        <v>10000</v>
      </c>
      <c r="D754" s="830">
        <f t="shared" si="102"/>
        <v>10000</v>
      </c>
      <c r="E754" s="830">
        <f t="shared" si="100"/>
        <v>0</v>
      </c>
      <c r="F754" s="1682">
        <f t="shared" si="103"/>
        <v>0</v>
      </c>
      <c r="G754" s="832"/>
      <c r="H754" s="830"/>
      <c r="I754" s="1366"/>
      <c r="J754" s="1445"/>
      <c r="K754" s="1390"/>
      <c r="L754" s="1446"/>
      <c r="M754" s="1389">
        <v>10000</v>
      </c>
      <c r="N754" s="1390"/>
      <c r="O754" s="1584">
        <f t="shared" si="99"/>
        <v>0</v>
      </c>
      <c r="P754" s="1390"/>
      <c r="Q754" s="1390"/>
      <c r="R754" s="1454"/>
    </row>
    <row r="755" spans="1:18" ht="36" hidden="1">
      <c r="A755" s="1443">
        <v>6068</v>
      </c>
      <c r="B755" s="1451" t="s">
        <v>753</v>
      </c>
      <c r="C755" s="832"/>
      <c r="D755" s="830">
        <f t="shared" si="102"/>
        <v>0</v>
      </c>
      <c r="E755" s="830">
        <f t="shared" si="100"/>
        <v>0</v>
      </c>
      <c r="F755" s="1682" t="e">
        <f t="shared" si="103"/>
        <v>#DIV/0!</v>
      </c>
      <c r="G755" s="832"/>
      <c r="H755" s="830"/>
      <c r="I755" s="1366"/>
      <c r="J755" s="1445"/>
      <c r="K755" s="1390"/>
      <c r="L755" s="1446"/>
      <c r="M755" s="1389"/>
      <c r="N755" s="1390"/>
      <c r="O755" s="1584" t="e">
        <f t="shared" si="99"/>
        <v>#DIV/0!</v>
      </c>
      <c r="P755" s="1390"/>
      <c r="Q755" s="1390"/>
      <c r="R755" s="1454"/>
    </row>
    <row r="756" spans="1:18" ht="36" hidden="1">
      <c r="A756" s="1443">
        <v>6069</v>
      </c>
      <c r="B756" s="1451" t="s">
        <v>753</v>
      </c>
      <c r="C756" s="832"/>
      <c r="D756" s="830">
        <f t="shared" si="102"/>
        <v>0</v>
      </c>
      <c r="E756" s="830">
        <f t="shared" si="100"/>
        <v>0</v>
      </c>
      <c r="F756" s="1682" t="e">
        <f t="shared" si="103"/>
        <v>#DIV/0!</v>
      </c>
      <c r="G756" s="832"/>
      <c r="H756" s="830"/>
      <c r="I756" s="1366"/>
      <c r="J756" s="1445"/>
      <c r="K756" s="1390"/>
      <c r="L756" s="1446"/>
      <c r="M756" s="1389"/>
      <c r="N756" s="1390"/>
      <c r="O756" s="1584" t="e">
        <f t="shared" si="99"/>
        <v>#DIV/0!</v>
      </c>
      <c r="P756" s="1390"/>
      <c r="Q756" s="1390"/>
      <c r="R756" s="1454"/>
    </row>
    <row r="757" spans="1:18" ht="48">
      <c r="A757" s="1443">
        <v>2540</v>
      </c>
      <c r="B757" s="1451" t="s">
        <v>1273</v>
      </c>
      <c r="C757" s="832">
        <v>30000</v>
      </c>
      <c r="D757" s="830">
        <f t="shared" si="102"/>
        <v>30000</v>
      </c>
      <c r="E757" s="830">
        <f t="shared" si="100"/>
        <v>15000</v>
      </c>
      <c r="F757" s="1682">
        <f t="shared" si="103"/>
        <v>50</v>
      </c>
      <c r="G757" s="832">
        <v>30000</v>
      </c>
      <c r="H757" s="830">
        <v>15000</v>
      </c>
      <c r="I757" s="1366">
        <f t="shared" si="104"/>
        <v>50</v>
      </c>
      <c r="J757" s="1445"/>
      <c r="K757" s="1390"/>
      <c r="L757" s="1446"/>
      <c r="M757" s="1389"/>
      <c r="N757" s="1390"/>
      <c r="O757" s="1395"/>
      <c r="P757" s="1390"/>
      <c r="Q757" s="1390"/>
      <c r="R757" s="1454"/>
    </row>
    <row r="758" spans="1:18" ht="36" hidden="1">
      <c r="A758" s="1443">
        <v>2480</v>
      </c>
      <c r="B758" s="1451" t="s">
        <v>1274</v>
      </c>
      <c r="C758" s="832"/>
      <c r="D758" s="830">
        <f t="shared" si="102"/>
        <v>0</v>
      </c>
      <c r="E758" s="830">
        <f t="shared" si="100"/>
        <v>0</v>
      </c>
      <c r="F758" s="1682" t="e">
        <f t="shared" si="103"/>
        <v>#DIV/0!</v>
      </c>
      <c r="G758" s="832"/>
      <c r="H758" s="830"/>
      <c r="I758" s="1366" t="e">
        <f t="shared" si="104"/>
        <v>#DIV/0!</v>
      </c>
      <c r="J758" s="1445"/>
      <c r="K758" s="1390"/>
      <c r="L758" s="1446"/>
      <c r="M758" s="1389"/>
      <c r="N758" s="1390"/>
      <c r="O758" s="1395"/>
      <c r="P758" s="1390"/>
      <c r="Q758" s="1390"/>
      <c r="R758" s="1454"/>
    </row>
    <row r="759" spans="1:18" ht="60.75" thickBot="1">
      <c r="A759" s="1443">
        <v>2820</v>
      </c>
      <c r="B759" s="1451" t="s">
        <v>902</v>
      </c>
      <c r="C759" s="832">
        <v>28500</v>
      </c>
      <c r="D759" s="830">
        <f t="shared" si="102"/>
        <v>28500</v>
      </c>
      <c r="E759" s="830">
        <f t="shared" si="100"/>
        <v>11000</v>
      </c>
      <c r="F759" s="1682">
        <f t="shared" si="103"/>
        <v>38.59649122807017</v>
      </c>
      <c r="G759" s="1389">
        <v>28500</v>
      </c>
      <c r="H759" s="1390">
        <v>11000</v>
      </c>
      <c r="I759" s="1366">
        <f t="shared" si="104"/>
        <v>38.59649122807017</v>
      </c>
      <c r="J759" s="1445"/>
      <c r="K759" s="1390"/>
      <c r="L759" s="1446"/>
      <c r="M759" s="1389"/>
      <c r="N759" s="1390"/>
      <c r="O759" s="1395"/>
      <c r="P759" s="1390"/>
      <c r="Q759" s="1390"/>
      <c r="R759" s="1454"/>
    </row>
    <row r="760" spans="1:18" ht="27" customHeight="1" thickBot="1" thickTop="1">
      <c r="A760" s="1429">
        <v>803</v>
      </c>
      <c r="B760" s="1430" t="s">
        <v>903</v>
      </c>
      <c r="C760" s="812">
        <f>SUM(C761)+C768</f>
        <v>55988</v>
      </c>
      <c r="D760" s="813">
        <f t="shared" si="102"/>
        <v>54710</v>
      </c>
      <c r="E760" s="813">
        <f>E761+E768</f>
        <v>42485</v>
      </c>
      <c r="F760" s="1683">
        <f t="shared" si="103"/>
        <v>77.65490769511972</v>
      </c>
      <c r="G760" s="1431">
        <f>G761+G768</f>
        <v>54710</v>
      </c>
      <c r="H760" s="1416">
        <f>H761+H768</f>
        <v>42485</v>
      </c>
      <c r="I760" s="1342">
        <f t="shared" si="104"/>
        <v>77.65490769511972</v>
      </c>
      <c r="J760" s="1432"/>
      <c r="K760" s="1416"/>
      <c r="L760" s="1433"/>
      <c r="M760" s="1431"/>
      <c r="N760" s="1416"/>
      <c r="O760" s="1434"/>
      <c r="P760" s="1416"/>
      <c r="Q760" s="1416"/>
      <c r="R760" s="1528"/>
    </row>
    <row r="761" spans="1:18" ht="23.25" customHeight="1" thickTop="1">
      <c r="A761" s="1623">
        <v>80309</v>
      </c>
      <c r="B761" s="1624" t="s">
        <v>1275</v>
      </c>
      <c r="C761" s="838">
        <f>SUM(C762:C763)</f>
        <v>50988</v>
      </c>
      <c r="D761" s="843">
        <f t="shared" si="102"/>
        <v>49710</v>
      </c>
      <c r="E761" s="843">
        <f>H761+K761+Q761+N761</f>
        <v>42485</v>
      </c>
      <c r="F761" s="1684">
        <f t="shared" si="103"/>
        <v>85.46570106618387</v>
      </c>
      <c r="G761" s="1625">
        <f>SUM(G762:G763)</f>
        <v>49710</v>
      </c>
      <c r="H761" s="1530">
        <f>SUM(H762:H763)</f>
        <v>42485</v>
      </c>
      <c r="I761" s="1354">
        <f t="shared" si="104"/>
        <v>85.46570106618387</v>
      </c>
      <c r="J761" s="1648"/>
      <c r="K761" s="1530"/>
      <c r="L761" s="1569"/>
      <c r="M761" s="1625"/>
      <c r="N761" s="1530"/>
      <c r="O761" s="1685"/>
      <c r="P761" s="1530"/>
      <c r="Q761" s="1530"/>
      <c r="R761" s="1650"/>
    </row>
    <row r="762" spans="1:18" ht="24">
      <c r="A762" s="1422">
        <v>3210</v>
      </c>
      <c r="B762" s="1547" t="s">
        <v>905</v>
      </c>
      <c r="C762" s="864">
        <v>10000</v>
      </c>
      <c r="D762" s="869">
        <f t="shared" si="102"/>
        <v>10000</v>
      </c>
      <c r="E762" s="869">
        <f aca="true" t="shared" si="105" ref="E762:E767">SUM(H762+K762+N762+Q762)</f>
        <v>4290</v>
      </c>
      <c r="F762" s="1686">
        <f t="shared" si="103"/>
        <v>42.9</v>
      </c>
      <c r="G762" s="1393">
        <v>10000</v>
      </c>
      <c r="H762" s="1407">
        <v>4290</v>
      </c>
      <c r="I762" s="1391">
        <f t="shared" si="104"/>
        <v>42.9</v>
      </c>
      <c r="J762" s="1548"/>
      <c r="K762" s="1407"/>
      <c r="L762" s="1543"/>
      <c r="M762" s="1393"/>
      <c r="N762" s="1407"/>
      <c r="O762" s="1549"/>
      <c r="P762" s="1407"/>
      <c r="Q762" s="1407"/>
      <c r="R762" s="1550"/>
    </row>
    <row r="763" spans="1:18" s="1471" customFormat="1" ht="36">
      <c r="A763" s="1461"/>
      <c r="B763" s="1462" t="s">
        <v>1276</v>
      </c>
      <c r="C763" s="1463">
        <f>SUM(C764:C767)</f>
        <v>40988</v>
      </c>
      <c r="D763" s="1465">
        <f t="shared" si="102"/>
        <v>39710</v>
      </c>
      <c r="E763" s="1465">
        <f t="shared" si="105"/>
        <v>38195</v>
      </c>
      <c r="F763" s="1682">
        <f t="shared" si="103"/>
        <v>96.18484009065726</v>
      </c>
      <c r="G763" s="1463">
        <f>SUM(G764:G767)</f>
        <v>39710</v>
      </c>
      <c r="H763" s="1465">
        <f>SUM(H764:H767)</f>
        <v>38195</v>
      </c>
      <c r="I763" s="1366">
        <f t="shared" si="104"/>
        <v>96.18484009065726</v>
      </c>
      <c r="J763" s="1466"/>
      <c r="K763" s="1465"/>
      <c r="L763" s="1526"/>
      <c r="M763" s="1463"/>
      <c r="N763" s="1465"/>
      <c r="O763" s="1470"/>
      <c r="P763" s="1465"/>
      <c r="Q763" s="1465"/>
      <c r="R763" s="880"/>
    </row>
    <row r="764" spans="1:18" ht="24">
      <c r="A764" s="1443">
        <v>3218</v>
      </c>
      <c r="B764" s="1451" t="s">
        <v>905</v>
      </c>
      <c r="C764" s="832">
        <v>27560</v>
      </c>
      <c r="D764" s="830">
        <f t="shared" si="102"/>
        <v>28553</v>
      </c>
      <c r="E764" s="830">
        <f t="shared" si="105"/>
        <v>28552</v>
      </c>
      <c r="F764" s="1682">
        <f t="shared" si="103"/>
        <v>99.99649774104297</v>
      </c>
      <c r="G764" s="1389">
        <f>27560+993</f>
        <v>28553</v>
      </c>
      <c r="H764" s="1390">
        <f>28553-1</f>
        <v>28552</v>
      </c>
      <c r="I764" s="1366">
        <f t="shared" si="104"/>
        <v>99.99649774104297</v>
      </c>
      <c r="J764" s="1445"/>
      <c r="K764" s="1390"/>
      <c r="L764" s="1446"/>
      <c r="M764" s="1389"/>
      <c r="N764" s="1390"/>
      <c r="O764" s="1447"/>
      <c r="P764" s="1390"/>
      <c r="Q764" s="1390"/>
      <c r="R764" s="1454"/>
    </row>
    <row r="765" spans="1:18" ht="24">
      <c r="A765" s="1443">
        <v>3219</v>
      </c>
      <c r="B765" s="1451" t="s">
        <v>905</v>
      </c>
      <c r="C765" s="832">
        <v>12940</v>
      </c>
      <c r="D765" s="830">
        <f t="shared" si="102"/>
        <v>9518</v>
      </c>
      <c r="E765" s="830">
        <f t="shared" si="105"/>
        <v>9518</v>
      </c>
      <c r="F765" s="1682">
        <f t="shared" si="103"/>
        <v>100</v>
      </c>
      <c r="G765" s="1389">
        <f>12940-3422</f>
        <v>9518</v>
      </c>
      <c r="H765" s="1390">
        <v>9518</v>
      </c>
      <c r="I765" s="1366">
        <f t="shared" si="104"/>
        <v>100</v>
      </c>
      <c r="J765" s="1445"/>
      <c r="K765" s="1390"/>
      <c r="L765" s="1446"/>
      <c r="M765" s="1389"/>
      <c r="N765" s="1390"/>
      <c r="O765" s="1447"/>
      <c r="P765" s="1390"/>
      <c r="Q765" s="1390"/>
      <c r="R765" s="1454"/>
    </row>
    <row r="766" spans="1:18" ht="24">
      <c r="A766" s="1443">
        <v>4218</v>
      </c>
      <c r="B766" s="1669" t="s">
        <v>690</v>
      </c>
      <c r="C766" s="832">
        <v>332</v>
      </c>
      <c r="D766" s="830">
        <f t="shared" si="102"/>
        <v>1229</v>
      </c>
      <c r="E766" s="830">
        <f t="shared" si="105"/>
        <v>94</v>
      </c>
      <c r="F766" s="1682">
        <f t="shared" si="103"/>
        <v>7.648494711147275</v>
      </c>
      <c r="G766" s="1389">
        <f>332+897</f>
        <v>1229</v>
      </c>
      <c r="H766" s="1390">
        <v>94</v>
      </c>
      <c r="I766" s="1366">
        <f t="shared" si="104"/>
        <v>7.648494711147275</v>
      </c>
      <c r="J766" s="1445"/>
      <c r="K766" s="1390"/>
      <c r="L766" s="1446"/>
      <c r="M766" s="1389"/>
      <c r="N766" s="1390"/>
      <c r="O766" s="1447"/>
      <c r="P766" s="1390"/>
      <c r="Q766" s="1390"/>
      <c r="R766" s="1454"/>
    </row>
    <row r="767" spans="1:18" ht="24">
      <c r="A767" s="1443">
        <v>4219</v>
      </c>
      <c r="B767" s="1669" t="s">
        <v>690</v>
      </c>
      <c r="C767" s="861">
        <v>156</v>
      </c>
      <c r="D767" s="830">
        <f t="shared" si="102"/>
        <v>410</v>
      </c>
      <c r="E767" s="830">
        <f t="shared" si="105"/>
        <v>31</v>
      </c>
      <c r="F767" s="1682">
        <f t="shared" si="103"/>
        <v>7.560975609756097</v>
      </c>
      <c r="G767" s="1494">
        <f>156+254</f>
        <v>410</v>
      </c>
      <c r="H767" s="1487">
        <v>31</v>
      </c>
      <c r="I767" s="1366">
        <f t="shared" si="104"/>
        <v>7.560975609756097</v>
      </c>
      <c r="J767" s="1495"/>
      <c r="K767" s="1487"/>
      <c r="L767" s="1551"/>
      <c r="M767" s="1494"/>
      <c r="N767" s="1487"/>
      <c r="O767" s="1498"/>
      <c r="P767" s="1487"/>
      <c r="Q767" s="1487"/>
      <c r="R767" s="1539"/>
    </row>
    <row r="768" spans="1:18" ht="17.25" customHeight="1">
      <c r="A768" s="1479">
        <v>80395</v>
      </c>
      <c r="B768" s="1576" t="s">
        <v>299</v>
      </c>
      <c r="C768" s="823">
        <f>C769+C770</f>
        <v>5000</v>
      </c>
      <c r="D768" s="845">
        <f t="shared" si="102"/>
        <v>5000</v>
      </c>
      <c r="E768" s="845">
        <f>SUM(E769:E770)</f>
        <v>0</v>
      </c>
      <c r="F768" s="1475">
        <f t="shared" si="103"/>
        <v>0</v>
      </c>
      <c r="G768" s="823">
        <f>SUM(G769:G770)</f>
        <v>5000</v>
      </c>
      <c r="H768" s="845">
        <f>SUM(H769:H770)</f>
        <v>0</v>
      </c>
      <c r="I768" s="1475">
        <f t="shared" si="104"/>
        <v>0</v>
      </c>
      <c r="J768" s="1476"/>
      <c r="K768" s="1477"/>
      <c r="L768" s="1575"/>
      <c r="M768" s="1474"/>
      <c r="N768" s="1477"/>
      <c r="O768" s="1442"/>
      <c r="P768" s="1477"/>
      <c r="Q768" s="1477"/>
      <c r="R768" s="1478"/>
    </row>
    <row r="769" spans="1:18" ht="57" customHeight="1" hidden="1">
      <c r="A769" s="1443">
        <v>2820</v>
      </c>
      <c r="B769" s="1687" t="s">
        <v>309</v>
      </c>
      <c r="C769" s="832"/>
      <c r="D769" s="830">
        <f t="shared" si="102"/>
        <v>0</v>
      </c>
      <c r="E769" s="830">
        <f>SUM(H769+K769+N769+Q769)</f>
        <v>0</v>
      </c>
      <c r="F769" s="1682" t="e">
        <f>E769/D769*100</f>
        <v>#DIV/0!</v>
      </c>
      <c r="G769" s="1389"/>
      <c r="H769" s="1390"/>
      <c r="I769" s="1366" t="e">
        <f>H769/G769*100</f>
        <v>#DIV/0!</v>
      </c>
      <c r="J769" s="1445"/>
      <c r="K769" s="1390"/>
      <c r="L769" s="1446"/>
      <c r="M769" s="1389"/>
      <c r="N769" s="1390"/>
      <c r="O769" s="1395"/>
      <c r="P769" s="1390"/>
      <c r="Q769" s="1390"/>
      <c r="R769" s="1454"/>
    </row>
    <row r="770" spans="1:18" ht="34.5" thickBot="1">
      <c r="A770" s="1443">
        <v>3040</v>
      </c>
      <c r="B770" s="1687" t="s">
        <v>906</v>
      </c>
      <c r="C770" s="832">
        <v>5000</v>
      </c>
      <c r="D770" s="830">
        <f t="shared" si="102"/>
        <v>5000</v>
      </c>
      <c r="E770" s="830">
        <f>SUM(H770+K770+N770+Q770)</f>
        <v>0</v>
      </c>
      <c r="F770" s="1682">
        <f>E770/D770*100</f>
        <v>0</v>
      </c>
      <c r="G770" s="1389">
        <v>5000</v>
      </c>
      <c r="H770" s="1390"/>
      <c r="I770" s="1366">
        <f>H770/G770*100</f>
        <v>0</v>
      </c>
      <c r="J770" s="1445"/>
      <c r="K770" s="1390"/>
      <c r="L770" s="1446"/>
      <c r="M770" s="1389"/>
      <c r="N770" s="1390"/>
      <c r="O770" s="1395"/>
      <c r="P770" s="1390"/>
      <c r="Q770" s="1390"/>
      <c r="R770" s="1454"/>
    </row>
    <row r="771" spans="1:18" s="1435" customFormat="1" ht="17.25" customHeight="1" thickBot="1" thickTop="1">
      <c r="A771" s="1429">
        <v>851</v>
      </c>
      <c r="B771" s="1430" t="s">
        <v>148</v>
      </c>
      <c r="C771" s="1431">
        <f>C774+C780+C787+C799+C801+C817+C772</f>
        <v>4920000</v>
      </c>
      <c r="D771" s="813">
        <f t="shared" si="102"/>
        <v>2686500</v>
      </c>
      <c r="E771" s="1416">
        <f>H771+K771+Q771+N771</f>
        <v>835345</v>
      </c>
      <c r="F771" s="1683">
        <f t="shared" si="103"/>
        <v>31.094174576586635</v>
      </c>
      <c r="G771" s="1431">
        <f>G774+G780+G787+G799+G801+G817+G772</f>
        <v>2679500</v>
      </c>
      <c r="H771" s="1416">
        <f>H774+H780+H787+H799+H801+H817+H772</f>
        <v>831943</v>
      </c>
      <c r="I771" s="1342">
        <f t="shared" si="104"/>
        <v>31.048441873483856</v>
      </c>
      <c r="J771" s="1432"/>
      <c r="K771" s="1416"/>
      <c r="L771" s="1433"/>
      <c r="M771" s="1431"/>
      <c r="N771" s="1416"/>
      <c r="O771" s="1434"/>
      <c r="P771" s="1416">
        <f>P774+P780+P787+P799+P801+P817</f>
        <v>7000</v>
      </c>
      <c r="Q771" s="1416">
        <f>Q774+Q780+Q787+Q799+Q801+Q817</f>
        <v>3402</v>
      </c>
      <c r="R771" s="1349">
        <f>Q771/P771*100</f>
        <v>48.6</v>
      </c>
    </row>
    <row r="772" spans="1:18" s="1435" customFormat="1" ht="17.25" customHeight="1" thickTop="1">
      <c r="A772" s="1623">
        <v>85111</v>
      </c>
      <c r="B772" s="1624" t="s">
        <v>310</v>
      </c>
      <c r="C772" s="1625">
        <f>SUM(C773)</f>
        <v>3000000</v>
      </c>
      <c r="D772" s="1464">
        <f>G772+J772+M772+P772</f>
        <v>0</v>
      </c>
      <c r="E772" s="1626">
        <f>Q772+N772+K772+H772</f>
        <v>0</v>
      </c>
      <c r="F772" s="1684"/>
      <c r="G772" s="1625">
        <f>SUM(G773)</f>
        <v>0</v>
      </c>
      <c r="H772" s="1530">
        <f>SUM(H773)</f>
        <v>0</v>
      </c>
      <c r="I772" s="1354"/>
      <c r="J772" s="1648"/>
      <c r="K772" s="1530"/>
      <c r="L772" s="1569"/>
      <c r="M772" s="1625"/>
      <c r="N772" s="1530"/>
      <c r="O772" s="1685"/>
      <c r="P772" s="1530"/>
      <c r="Q772" s="1530"/>
      <c r="R772" s="1688"/>
    </row>
    <row r="773" spans="1:18" s="1286" customFormat="1" ht="72">
      <c r="A773" s="1512">
        <v>2330</v>
      </c>
      <c r="B773" s="1574" t="s">
        <v>0</v>
      </c>
      <c r="C773" s="832">
        <v>3000000</v>
      </c>
      <c r="D773" s="856">
        <f>G773+J773+M773+P773</f>
        <v>0</v>
      </c>
      <c r="E773" s="856">
        <f>Q773+N773+K773+H773</f>
        <v>0</v>
      </c>
      <c r="F773" s="1682"/>
      <c r="G773" s="832">
        <f>3000000-3000000</f>
        <v>0</v>
      </c>
      <c r="H773" s="830"/>
      <c r="I773" s="1366"/>
      <c r="J773" s="1514"/>
      <c r="K773" s="830"/>
      <c r="L773" s="1446"/>
      <c r="M773" s="832"/>
      <c r="N773" s="830"/>
      <c r="O773" s="1515"/>
      <c r="P773" s="830"/>
      <c r="Q773" s="830"/>
      <c r="R773" s="831"/>
    </row>
    <row r="774" spans="1:18" ht="25.5" customHeight="1">
      <c r="A774" s="1436">
        <v>85149</v>
      </c>
      <c r="B774" s="1529" t="s">
        <v>311</v>
      </c>
      <c r="C774" s="1378">
        <f>SUM(C775:C779)</f>
        <v>27000</v>
      </c>
      <c r="D774" s="845">
        <f>G774+J774+P774+M774</f>
        <v>161000</v>
      </c>
      <c r="E774" s="1387">
        <f>SUM(E775:E779)</f>
        <v>31110</v>
      </c>
      <c r="F774" s="1671">
        <f t="shared" si="103"/>
        <v>19.322981366459626</v>
      </c>
      <c r="G774" s="1378">
        <f>SUM(G775:G779)</f>
        <v>161000</v>
      </c>
      <c r="H774" s="1387">
        <f>SUM(H775:H779)</f>
        <v>31110</v>
      </c>
      <c r="I774" s="1381">
        <f t="shared" si="104"/>
        <v>19.322981366459626</v>
      </c>
      <c r="J774" s="1488"/>
      <c r="K774" s="1387"/>
      <c r="L774" s="1482"/>
      <c r="M774" s="1378"/>
      <c r="N774" s="1387"/>
      <c r="O774" s="1489"/>
      <c r="P774" s="1387"/>
      <c r="Q774" s="1387"/>
      <c r="R774" s="1421"/>
    </row>
    <row r="775" spans="1:18" ht="52.5" customHeight="1" hidden="1">
      <c r="A775" s="1422">
        <v>2620</v>
      </c>
      <c r="B775" s="1689" t="s">
        <v>1</v>
      </c>
      <c r="C775" s="1393"/>
      <c r="D775" s="869">
        <f>G775+J775+P775+M775</f>
        <v>0</v>
      </c>
      <c r="E775" s="1407">
        <f>SUM(H775+K775+N775+Q775)</f>
        <v>0</v>
      </c>
      <c r="F775" s="1686" t="e">
        <f t="shared" si="103"/>
        <v>#DIV/0!</v>
      </c>
      <c r="G775" s="1393">
        <f>8000+7000-15000</f>
        <v>0</v>
      </c>
      <c r="H775" s="1407">
        <f>15000-15000</f>
        <v>0</v>
      </c>
      <c r="I775" s="1391" t="e">
        <f t="shared" si="104"/>
        <v>#DIV/0!</v>
      </c>
      <c r="J775" s="1548"/>
      <c r="K775" s="1407"/>
      <c r="L775" s="1543"/>
      <c r="M775" s="1393"/>
      <c r="N775" s="1407"/>
      <c r="O775" s="1549"/>
      <c r="P775" s="1407"/>
      <c r="Q775" s="1407"/>
      <c r="R775" s="1550"/>
    </row>
    <row r="776" spans="1:18" ht="52.5" customHeight="1">
      <c r="A776" s="1443">
        <v>2570</v>
      </c>
      <c r="B776" s="1689" t="s">
        <v>2</v>
      </c>
      <c r="C776" s="1389">
        <v>20000</v>
      </c>
      <c r="D776" s="830">
        <f>G776+J776+P776+M776</f>
        <v>0</v>
      </c>
      <c r="E776" s="1390">
        <f>SUM(H776+K776+N776+Q776)</f>
        <v>0</v>
      </c>
      <c r="F776" s="1690"/>
      <c r="G776" s="1389">
        <f>20000-20000</f>
        <v>0</v>
      </c>
      <c r="H776" s="1390"/>
      <c r="I776" s="1369"/>
      <c r="J776" s="1445"/>
      <c r="K776" s="1390"/>
      <c r="L776" s="1446"/>
      <c r="M776" s="1389"/>
      <c r="N776" s="1390"/>
      <c r="O776" s="1447"/>
      <c r="P776" s="1390"/>
      <c r="Q776" s="1390"/>
      <c r="R776" s="1454"/>
    </row>
    <row r="777" spans="1:18" ht="52.5" customHeight="1">
      <c r="A777" s="1443">
        <v>2800</v>
      </c>
      <c r="B777" s="1669" t="s">
        <v>912</v>
      </c>
      <c r="C777" s="1389"/>
      <c r="D777" s="830">
        <f>G777+J777+P777+M777</f>
        <v>8000</v>
      </c>
      <c r="E777" s="1390">
        <f>SUM(H777+K777+N777+Q777)</f>
        <v>0</v>
      </c>
      <c r="F777" s="1682">
        <f t="shared" si="103"/>
        <v>0</v>
      </c>
      <c r="G777" s="1389">
        <v>8000</v>
      </c>
      <c r="H777" s="1390"/>
      <c r="I777" s="1369">
        <f t="shared" si="104"/>
        <v>0</v>
      </c>
      <c r="J777" s="1445"/>
      <c r="K777" s="1390"/>
      <c r="L777" s="1446"/>
      <c r="M777" s="1389"/>
      <c r="N777" s="1390"/>
      <c r="O777" s="1447"/>
      <c r="P777" s="1390"/>
      <c r="Q777" s="1390"/>
      <c r="R777" s="1454"/>
    </row>
    <row r="778" spans="1:18" ht="84">
      <c r="A778" s="1443">
        <v>2830</v>
      </c>
      <c r="B778" s="1669" t="s">
        <v>312</v>
      </c>
      <c r="C778" s="1389">
        <v>4000</v>
      </c>
      <c r="D778" s="830">
        <f>G778+J778+P778+M778</f>
        <v>4000</v>
      </c>
      <c r="E778" s="1390">
        <f>SUM(H778+K778+N778+Q778)</f>
        <v>0</v>
      </c>
      <c r="F778" s="1682">
        <f t="shared" si="103"/>
        <v>0</v>
      </c>
      <c r="G778" s="1389">
        <v>4000</v>
      </c>
      <c r="H778" s="1390"/>
      <c r="I778" s="1369">
        <f t="shared" si="104"/>
        <v>0</v>
      </c>
      <c r="J778" s="1445"/>
      <c r="K778" s="1390"/>
      <c r="L778" s="1446"/>
      <c r="M778" s="1389"/>
      <c r="N778" s="1390"/>
      <c r="O778" s="1447"/>
      <c r="P778" s="1390"/>
      <c r="Q778" s="1390"/>
      <c r="R778" s="1454"/>
    </row>
    <row r="779" spans="1:18" ht="16.5" customHeight="1">
      <c r="A779" s="1492">
        <v>4300</v>
      </c>
      <c r="B779" s="1670" t="s">
        <v>698</v>
      </c>
      <c r="C779" s="1494">
        <v>3000</v>
      </c>
      <c r="D779" s="862">
        <f aca="true" t="shared" si="106" ref="D779:D804">G779+J779+P779+M779</f>
        <v>149000</v>
      </c>
      <c r="E779" s="1487">
        <f aca="true" t="shared" si="107" ref="E779:E786">SUM(H779+K779+N779+Q779)</f>
        <v>31110</v>
      </c>
      <c r="F779" s="1691">
        <f t="shared" si="103"/>
        <v>20.879194630872483</v>
      </c>
      <c r="G779" s="1494">
        <f>3000+12000+122000+12000</f>
        <v>149000</v>
      </c>
      <c r="H779" s="1496">
        <v>31110</v>
      </c>
      <c r="I779" s="1419">
        <f>H779/G779*100</f>
        <v>20.879194630872483</v>
      </c>
      <c r="J779" s="1633"/>
      <c r="K779" s="1487"/>
      <c r="L779" s="1551"/>
      <c r="M779" s="1632"/>
      <c r="N779" s="1496"/>
      <c r="O779" s="1634"/>
      <c r="P779" s="1496"/>
      <c r="Q779" s="1496"/>
      <c r="R779" s="1635"/>
    </row>
    <row r="780" spans="1:18" s="1435" customFormat="1" ht="13.5" customHeight="1">
      <c r="A780" s="1436">
        <v>85153</v>
      </c>
      <c r="B780" s="1529" t="s">
        <v>313</v>
      </c>
      <c r="C780" s="1438">
        <f>SUM(C781:C786)</f>
        <v>80000</v>
      </c>
      <c r="D780" s="845">
        <f t="shared" si="106"/>
        <v>80000</v>
      </c>
      <c r="E780" s="1380">
        <f t="shared" si="107"/>
        <v>28374</v>
      </c>
      <c r="F780" s="1671">
        <f t="shared" si="103"/>
        <v>35.4675</v>
      </c>
      <c r="G780" s="1438">
        <f>SUM(G781:G786)</f>
        <v>80000</v>
      </c>
      <c r="H780" s="1380">
        <f>SUM(H781:H786)</f>
        <v>28374</v>
      </c>
      <c r="I780" s="1381">
        <f aca="true" t="shared" si="108" ref="I780:I825">H780/G780*100</f>
        <v>35.4675</v>
      </c>
      <c r="J780" s="1440"/>
      <c r="K780" s="1380"/>
      <c r="L780" s="1441"/>
      <c r="M780" s="1438"/>
      <c r="N780" s="1380"/>
      <c r="O780" s="1442"/>
      <c r="P780" s="1380"/>
      <c r="Q780" s="1380"/>
      <c r="R780" s="1478"/>
    </row>
    <row r="781" spans="1:18" ht="72" customHeight="1" hidden="1">
      <c r="A781" s="1617">
        <v>2620</v>
      </c>
      <c r="B781" s="1547" t="s">
        <v>3</v>
      </c>
      <c r="C781" s="1393"/>
      <c r="D781" s="869">
        <f t="shared" si="106"/>
        <v>0</v>
      </c>
      <c r="E781" s="1407">
        <f t="shared" si="107"/>
        <v>0</v>
      </c>
      <c r="F781" s="1686" t="e">
        <f t="shared" si="103"/>
        <v>#DIV/0!</v>
      </c>
      <c r="G781" s="1393">
        <f>3000-3000</f>
        <v>0</v>
      </c>
      <c r="H781" s="1407">
        <f>3000-3000</f>
        <v>0</v>
      </c>
      <c r="I781" s="1391" t="e">
        <f t="shared" si="108"/>
        <v>#DIV/0!</v>
      </c>
      <c r="J781" s="1548"/>
      <c r="K781" s="1407"/>
      <c r="L781" s="1543"/>
      <c r="M781" s="1393"/>
      <c r="N781" s="1407"/>
      <c r="O781" s="1549"/>
      <c r="P781" s="1407"/>
      <c r="Q781" s="1407"/>
      <c r="R781" s="1550"/>
    </row>
    <row r="782" spans="1:18" ht="72" hidden="1">
      <c r="A782" s="1443">
        <v>2570</v>
      </c>
      <c r="B782" s="1689" t="s">
        <v>4</v>
      </c>
      <c r="C782" s="1389"/>
      <c r="D782" s="830">
        <f t="shared" si="106"/>
        <v>0</v>
      </c>
      <c r="E782" s="1390">
        <f t="shared" si="107"/>
        <v>0</v>
      </c>
      <c r="F782" s="1682" t="e">
        <f t="shared" si="103"/>
        <v>#DIV/0!</v>
      </c>
      <c r="G782" s="1389"/>
      <c r="H782" s="1390"/>
      <c r="I782" s="1366" t="e">
        <f t="shared" si="108"/>
        <v>#DIV/0!</v>
      </c>
      <c r="J782" s="1445"/>
      <c r="K782" s="1390"/>
      <c r="L782" s="1446"/>
      <c r="M782" s="1389"/>
      <c r="N782" s="1390"/>
      <c r="O782" s="1447"/>
      <c r="P782" s="1390"/>
      <c r="Q782" s="1390"/>
      <c r="R782" s="1454"/>
    </row>
    <row r="783" spans="1:18" ht="61.5" customHeight="1">
      <c r="A783" s="1527">
        <v>2820</v>
      </c>
      <c r="B783" s="1451" t="s">
        <v>314</v>
      </c>
      <c r="C783" s="1389">
        <v>50000</v>
      </c>
      <c r="D783" s="830">
        <f t="shared" si="106"/>
        <v>50000</v>
      </c>
      <c r="E783" s="1390">
        <f t="shared" si="107"/>
        <v>23328</v>
      </c>
      <c r="F783" s="1682">
        <f t="shared" si="103"/>
        <v>46.656</v>
      </c>
      <c r="G783" s="1389">
        <v>50000</v>
      </c>
      <c r="H783" s="1390">
        <v>23328</v>
      </c>
      <c r="I783" s="1366">
        <f t="shared" si="108"/>
        <v>46.656</v>
      </c>
      <c r="J783" s="1445"/>
      <c r="K783" s="1390"/>
      <c r="L783" s="1446"/>
      <c r="M783" s="1389"/>
      <c r="N783" s="1390"/>
      <c r="O783" s="1447"/>
      <c r="P783" s="1390"/>
      <c r="Q783" s="1390"/>
      <c r="R783" s="1454"/>
    </row>
    <row r="784" spans="1:18" ht="24" hidden="1">
      <c r="A784" s="1443">
        <v>4170</v>
      </c>
      <c r="B784" s="1451" t="s">
        <v>744</v>
      </c>
      <c r="C784" s="1389"/>
      <c r="D784" s="830">
        <f t="shared" si="106"/>
        <v>0</v>
      </c>
      <c r="E784" s="1390">
        <f t="shared" si="107"/>
        <v>0</v>
      </c>
      <c r="F784" s="1682" t="e">
        <f t="shared" si="103"/>
        <v>#DIV/0!</v>
      </c>
      <c r="G784" s="1389"/>
      <c r="H784" s="1390"/>
      <c r="I784" s="1366" t="e">
        <f t="shared" si="108"/>
        <v>#DIV/0!</v>
      </c>
      <c r="J784" s="1445"/>
      <c r="K784" s="1390"/>
      <c r="L784" s="1446"/>
      <c r="M784" s="1389"/>
      <c r="N784" s="1390"/>
      <c r="O784" s="1447"/>
      <c r="P784" s="1390"/>
      <c r="Q784" s="1390"/>
      <c r="R784" s="1454"/>
    </row>
    <row r="785" spans="1:18" ht="24">
      <c r="A785" s="1443">
        <v>4210</v>
      </c>
      <c r="B785" s="1451" t="s">
        <v>690</v>
      </c>
      <c r="C785" s="1389">
        <v>6000</v>
      </c>
      <c r="D785" s="830">
        <f t="shared" si="106"/>
        <v>6000</v>
      </c>
      <c r="E785" s="1390">
        <f t="shared" si="107"/>
        <v>4391</v>
      </c>
      <c r="F785" s="1682">
        <f t="shared" si="103"/>
        <v>73.18333333333334</v>
      </c>
      <c r="G785" s="1389">
        <v>6000</v>
      </c>
      <c r="H785" s="1390">
        <v>4391</v>
      </c>
      <c r="I785" s="1366">
        <f t="shared" si="108"/>
        <v>73.18333333333334</v>
      </c>
      <c r="J785" s="1445"/>
      <c r="K785" s="1390"/>
      <c r="L785" s="1446"/>
      <c r="M785" s="1389"/>
      <c r="N785" s="1390"/>
      <c r="O785" s="1447"/>
      <c r="P785" s="1390"/>
      <c r="Q785" s="1390"/>
      <c r="R785" s="1454"/>
    </row>
    <row r="786" spans="1:18" ht="12.75" customHeight="1">
      <c r="A786" s="1443">
        <v>4300</v>
      </c>
      <c r="B786" s="1451" t="s">
        <v>698</v>
      </c>
      <c r="C786" s="1389">
        <v>24000</v>
      </c>
      <c r="D786" s="830">
        <f t="shared" si="106"/>
        <v>24000</v>
      </c>
      <c r="E786" s="1390">
        <f t="shared" si="107"/>
        <v>655</v>
      </c>
      <c r="F786" s="1682">
        <f t="shared" si="103"/>
        <v>2.7291666666666665</v>
      </c>
      <c r="G786" s="1389">
        <v>24000</v>
      </c>
      <c r="H786" s="1390">
        <f>656-1</f>
        <v>655</v>
      </c>
      <c r="I786" s="1366">
        <f t="shared" si="108"/>
        <v>2.7291666666666665</v>
      </c>
      <c r="J786" s="1445"/>
      <c r="K786" s="1390"/>
      <c r="L786" s="1446"/>
      <c r="M786" s="1389"/>
      <c r="N786" s="1390"/>
      <c r="O786" s="1447"/>
      <c r="P786" s="1390"/>
      <c r="Q786" s="1390"/>
      <c r="R786" s="1454"/>
    </row>
    <row r="787" spans="1:18" ht="24" customHeight="1">
      <c r="A787" s="1436">
        <v>85154</v>
      </c>
      <c r="B787" s="1529" t="s">
        <v>315</v>
      </c>
      <c r="C787" s="1438">
        <f>SUM(C788:C798)</f>
        <v>1260000</v>
      </c>
      <c r="D787" s="845">
        <f t="shared" si="106"/>
        <v>1882700</v>
      </c>
      <c r="E787" s="1380">
        <f>H787+K787+Q787+N787</f>
        <v>537894</v>
      </c>
      <c r="F787" s="1671">
        <f t="shared" si="103"/>
        <v>28.570351091517505</v>
      </c>
      <c r="G787" s="1438">
        <f>SUM(G788:G798)</f>
        <v>1882700</v>
      </c>
      <c r="H787" s="1380">
        <f>SUM(H788:H798)</f>
        <v>537894</v>
      </c>
      <c r="I787" s="1381">
        <f t="shared" si="108"/>
        <v>28.570351091517505</v>
      </c>
      <c r="J787" s="1440"/>
      <c r="K787" s="1380"/>
      <c r="L787" s="1441"/>
      <c r="M787" s="1438"/>
      <c r="N787" s="1380"/>
      <c r="O787" s="1442"/>
      <c r="P787" s="1380"/>
      <c r="Q787" s="1380"/>
      <c r="R787" s="1478"/>
    </row>
    <row r="788" spans="1:18" ht="36">
      <c r="A788" s="1422">
        <v>2480</v>
      </c>
      <c r="B788" s="1547" t="s">
        <v>316</v>
      </c>
      <c r="C788" s="1393">
        <v>110000</v>
      </c>
      <c r="D788" s="869">
        <f t="shared" si="106"/>
        <v>110000</v>
      </c>
      <c r="E788" s="1407">
        <f aca="true" t="shared" si="109" ref="E788:E798">SUM(H788+K788+N788+Q788)</f>
        <v>37500</v>
      </c>
      <c r="F788" s="1686">
        <f t="shared" si="103"/>
        <v>34.090909090909086</v>
      </c>
      <c r="G788" s="1393">
        <v>110000</v>
      </c>
      <c r="H788" s="1407">
        <v>37500</v>
      </c>
      <c r="I788" s="1391">
        <f t="shared" si="108"/>
        <v>34.090909090909086</v>
      </c>
      <c r="J788" s="1548"/>
      <c r="K788" s="1407"/>
      <c r="L788" s="1543"/>
      <c r="M788" s="1393"/>
      <c r="N788" s="1407"/>
      <c r="O788" s="1549"/>
      <c r="P788" s="1407"/>
      <c r="Q788" s="1407"/>
      <c r="R788" s="1550"/>
    </row>
    <row r="789" spans="1:18" ht="60">
      <c r="A789" s="1443">
        <v>2820</v>
      </c>
      <c r="B789" s="1451" t="s">
        <v>314</v>
      </c>
      <c r="C789" s="1389">
        <v>400000</v>
      </c>
      <c r="D789" s="830">
        <f t="shared" si="106"/>
        <v>425000</v>
      </c>
      <c r="E789" s="1390">
        <f t="shared" si="109"/>
        <v>211669</v>
      </c>
      <c r="F789" s="1682">
        <f t="shared" si="103"/>
        <v>49.8044705882353</v>
      </c>
      <c r="G789" s="1389">
        <f>400000+25000</f>
        <v>425000</v>
      </c>
      <c r="H789" s="1390">
        <v>211669</v>
      </c>
      <c r="I789" s="1366">
        <f t="shared" si="108"/>
        <v>49.8044705882353</v>
      </c>
      <c r="J789" s="1445"/>
      <c r="K789" s="1390"/>
      <c r="L789" s="1446"/>
      <c r="M789" s="1389"/>
      <c r="N789" s="1390"/>
      <c r="O789" s="1447"/>
      <c r="P789" s="1390"/>
      <c r="Q789" s="1390"/>
      <c r="R789" s="1454"/>
    </row>
    <row r="790" spans="1:18" ht="25.5" customHeight="1">
      <c r="A790" s="1443">
        <v>3030</v>
      </c>
      <c r="B790" s="1451" t="s">
        <v>678</v>
      </c>
      <c r="C790" s="1389">
        <v>38000</v>
      </c>
      <c r="D790" s="830">
        <f t="shared" si="106"/>
        <v>38000</v>
      </c>
      <c r="E790" s="1390">
        <f t="shared" si="109"/>
        <v>21300</v>
      </c>
      <c r="F790" s="1682">
        <f t="shared" si="103"/>
        <v>56.05263157894736</v>
      </c>
      <c r="G790" s="1389">
        <v>38000</v>
      </c>
      <c r="H790" s="1390">
        <v>21300</v>
      </c>
      <c r="I790" s="1366">
        <f t="shared" si="108"/>
        <v>56.05263157894736</v>
      </c>
      <c r="J790" s="1445"/>
      <c r="K790" s="1390"/>
      <c r="L790" s="1446"/>
      <c r="M790" s="1389"/>
      <c r="N790" s="1390"/>
      <c r="O790" s="1447"/>
      <c r="P790" s="1390"/>
      <c r="Q790" s="1390"/>
      <c r="R790" s="1454"/>
    </row>
    <row r="791" spans="1:18" ht="25.5" customHeight="1">
      <c r="A791" s="1443">
        <v>4170</v>
      </c>
      <c r="B791" s="1451" t="s">
        <v>744</v>
      </c>
      <c r="C791" s="1389"/>
      <c r="D791" s="830">
        <f>G791+J791+P791+M791</f>
        <v>4240</v>
      </c>
      <c r="E791" s="1390">
        <f>SUM(H791+K791+N791+Q791)</f>
        <v>1520</v>
      </c>
      <c r="F791" s="1682">
        <f>E791/D791*100</f>
        <v>35.84905660377358</v>
      </c>
      <c r="G791" s="1389">
        <f>2000+2240</f>
        <v>4240</v>
      </c>
      <c r="H791" s="1390">
        <v>1520</v>
      </c>
      <c r="I791" s="1366">
        <f t="shared" si="108"/>
        <v>35.84905660377358</v>
      </c>
      <c r="J791" s="1445"/>
      <c r="K791" s="1390"/>
      <c r="L791" s="1446"/>
      <c r="M791" s="1389"/>
      <c r="N791" s="1390"/>
      <c r="O791" s="1447"/>
      <c r="P791" s="1390"/>
      <c r="Q791" s="1390"/>
      <c r="R791" s="1454"/>
    </row>
    <row r="792" spans="1:18" ht="24" customHeight="1">
      <c r="A792" s="1443">
        <v>4210</v>
      </c>
      <c r="B792" s="1451" t="s">
        <v>690</v>
      </c>
      <c r="C792" s="1389">
        <v>25000</v>
      </c>
      <c r="D792" s="830">
        <f t="shared" si="106"/>
        <v>35000</v>
      </c>
      <c r="E792" s="1390">
        <f t="shared" si="109"/>
        <v>12963</v>
      </c>
      <c r="F792" s="1682">
        <f t="shared" si="103"/>
        <v>37.037142857142854</v>
      </c>
      <c r="G792" s="1389">
        <f>25000+10000</f>
        <v>35000</v>
      </c>
      <c r="H792" s="1390">
        <v>12963</v>
      </c>
      <c r="I792" s="1366">
        <f t="shared" si="108"/>
        <v>37.037142857142854</v>
      </c>
      <c r="J792" s="1445"/>
      <c r="K792" s="1390"/>
      <c r="L792" s="1446"/>
      <c r="M792" s="1389"/>
      <c r="N792" s="1390"/>
      <c r="O792" s="1447"/>
      <c r="P792" s="1390"/>
      <c r="Q792" s="1390"/>
      <c r="R792" s="1454"/>
    </row>
    <row r="793" spans="1:18" ht="36">
      <c r="A793" s="1443">
        <v>4240</v>
      </c>
      <c r="B793" s="1451" t="s">
        <v>5</v>
      </c>
      <c r="C793" s="1389">
        <v>6000</v>
      </c>
      <c r="D793" s="830">
        <f t="shared" si="106"/>
        <v>10000</v>
      </c>
      <c r="E793" s="1390">
        <f t="shared" si="109"/>
        <v>6100</v>
      </c>
      <c r="F793" s="1682">
        <f t="shared" si="103"/>
        <v>61</v>
      </c>
      <c r="G793" s="1389">
        <f>6000+4000</f>
        <v>10000</v>
      </c>
      <c r="H793" s="1390">
        <v>6100</v>
      </c>
      <c r="I793" s="1366">
        <f t="shared" si="108"/>
        <v>61</v>
      </c>
      <c r="J793" s="1445"/>
      <c r="K793" s="1390"/>
      <c r="L793" s="1446"/>
      <c r="M793" s="1389"/>
      <c r="N793" s="1390"/>
      <c r="O793" s="1447"/>
      <c r="P793" s="1390"/>
      <c r="Q793" s="1390"/>
      <c r="R793" s="1454"/>
    </row>
    <row r="794" spans="1:18" ht="13.5" customHeight="1">
      <c r="A794" s="1443">
        <v>4300</v>
      </c>
      <c r="B794" s="1451" t="s">
        <v>698</v>
      </c>
      <c r="C794" s="1389">
        <v>558000</v>
      </c>
      <c r="D794" s="830">
        <f t="shared" si="106"/>
        <v>1135860</v>
      </c>
      <c r="E794" s="1390">
        <f t="shared" si="109"/>
        <v>196149</v>
      </c>
      <c r="F794" s="1682">
        <f t="shared" si="103"/>
        <v>17.268765516877078</v>
      </c>
      <c r="G794" s="1389">
        <f>558000-2000+583700-3840</f>
        <v>1135860</v>
      </c>
      <c r="H794" s="1390">
        <v>196149</v>
      </c>
      <c r="I794" s="1366">
        <f t="shared" si="108"/>
        <v>17.268765516877078</v>
      </c>
      <c r="J794" s="1445"/>
      <c r="K794" s="1390"/>
      <c r="L794" s="1446"/>
      <c r="M794" s="1389"/>
      <c r="N794" s="1390"/>
      <c r="O794" s="1447"/>
      <c r="P794" s="1390"/>
      <c r="Q794" s="1390"/>
      <c r="R794" s="1454"/>
    </row>
    <row r="795" spans="1:18" ht="13.5" customHeight="1">
      <c r="A795" s="1443">
        <v>4410</v>
      </c>
      <c r="B795" s="1451" t="s">
        <v>672</v>
      </c>
      <c r="C795" s="1389">
        <v>1500</v>
      </c>
      <c r="D795" s="830">
        <f t="shared" si="106"/>
        <v>1500</v>
      </c>
      <c r="E795" s="1390">
        <f t="shared" si="109"/>
        <v>693</v>
      </c>
      <c r="F795" s="1682">
        <f t="shared" si="103"/>
        <v>46.2</v>
      </c>
      <c r="G795" s="1389">
        <v>1500</v>
      </c>
      <c r="H795" s="1390">
        <v>693</v>
      </c>
      <c r="I795" s="1366">
        <f t="shared" si="108"/>
        <v>46.2</v>
      </c>
      <c r="J795" s="1445"/>
      <c r="K795" s="1390"/>
      <c r="L795" s="1446"/>
      <c r="M795" s="1389"/>
      <c r="N795" s="1390"/>
      <c r="O795" s="1447"/>
      <c r="P795" s="1390"/>
      <c r="Q795" s="1390"/>
      <c r="R795" s="1454"/>
    </row>
    <row r="796" spans="1:18" ht="13.5" customHeight="1">
      <c r="A796" s="1443">
        <v>4430</v>
      </c>
      <c r="B796" s="1451" t="s">
        <v>700</v>
      </c>
      <c r="C796" s="1389">
        <v>1500</v>
      </c>
      <c r="D796" s="830">
        <f t="shared" si="106"/>
        <v>1500</v>
      </c>
      <c r="E796" s="1390">
        <f t="shared" si="109"/>
        <v>0</v>
      </c>
      <c r="F796" s="1682">
        <f t="shared" si="103"/>
        <v>0</v>
      </c>
      <c r="G796" s="1389">
        <v>1500</v>
      </c>
      <c r="H796" s="1390"/>
      <c r="I796" s="1366">
        <f t="shared" si="108"/>
        <v>0</v>
      </c>
      <c r="J796" s="1445"/>
      <c r="K796" s="1390"/>
      <c r="L796" s="1446"/>
      <c r="M796" s="1389"/>
      <c r="N796" s="1390"/>
      <c r="O796" s="1447"/>
      <c r="P796" s="1390"/>
      <c r="Q796" s="1390"/>
      <c r="R796" s="1454"/>
    </row>
    <row r="797" spans="1:18" ht="24">
      <c r="A797" s="1443">
        <v>4610</v>
      </c>
      <c r="B797" s="1451" t="s">
        <v>12</v>
      </c>
      <c r="C797" s="1389"/>
      <c r="D797" s="830">
        <f>G797+J797+P797+M797</f>
        <v>1600</v>
      </c>
      <c r="E797" s="1390">
        <f>SUM(H797+K797+N797+Q797)</f>
        <v>0</v>
      </c>
      <c r="F797" s="1682">
        <f>E797/D797*100</f>
        <v>0</v>
      </c>
      <c r="G797" s="1389">
        <v>1600</v>
      </c>
      <c r="H797" s="1390"/>
      <c r="I797" s="1366">
        <f t="shared" si="108"/>
        <v>0</v>
      </c>
      <c r="J797" s="1445"/>
      <c r="K797" s="1390"/>
      <c r="L797" s="1446"/>
      <c r="M797" s="1389"/>
      <c r="N797" s="1390"/>
      <c r="O797" s="1447"/>
      <c r="P797" s="1390"/>
      <c r="Q797" s="1390"/>
      <c r="R797" s="1454"/>
    </row>
    <row r="798" spans="1:18" ht="24">
      <c r="A798" s="1492">
        <v>6050</v>
      </c>
      <c r="B798" s="1493" t="s">
        <v>719</v>
      </c>
      <c r="C798" s="1494">
        <v>120000</v>
      </c>
      <c r="D798" s="862">
        <f t="shared" si="106"/>
        <v>120000</v>
      </c>
      <c r="E798" s="1487">
        <f t="shared" si="109"/>
        <v>50000</v>
      </c>
      <c r="F798" s="1691">
        <f t="shared" si="103"/>
        <v>41.66666666666667</v>
      </c>
      <c r="G798" s="1494">
        <v>120000</v>
      </c>
      <c r="H798" s="1487">
        <v>50000</v>
      </c>
      <c r="I798" s="1419">
        <f t="shared" si="108"/>
        <v>41.66666666666667</v>
      </c>
      <c r="J798" s="1495"/>
      <c r="K798" s="1487"/>
      <c r="L798" s="1551"/>
      <c r="M798" s="1494"/>
      <c r="N798" s="1487"/>
      <c r="O798" s="1498"/>
      <c r="P798" s="1487"/>
      <c r="Q798" s="1487"/>
      <c r="R798" s="1539"/>
    </row>
    <row r="799" spans="1:18" s="1435" customFormat="1" ht="60" customHeight="1">
      <c r="A799" s="1436">
        <v>85156</v>
      </c>
      <c r="B799" s="1529" t="s">
        <v>6</v>
      </c>
      <c r="C799" s="1438">
        <f>SUM(C800)</f>
        <v>7000</v>
      </c>
      <c r="D799" s="845">
        <f t="shared" si="106"/>
        <v>7000</v>
      </c>
      <c r="E799" s="1380">
        <f>SUM(E800)</f>
        <v>3402</v>
      </c>
      <c r="F799" s="1671">
        <f>E799/D799*100</f>
        <v>48.6</v>
      </c>
      <c r="G799" s="1438"/>
      <c r="H799" s="1380"/>
      <c r="I799" s="1692"/>
      <c r="J799" s="1440"/>
      <c r="K799" s="1380"/>
      <c r="L799" s="1441"/>
      <c r="M799" s="1438"/>
      <c r="N799" s="1380"/>
      <c r="O799" s="1442"/>
      <c r="P799" s="1380">
        <f>SUM(P800)</f>
        <v>7000</v>
      </c>
      <c r="Q799" s="1380">
        <f>SUM(Q800)</f>
        <v>3402</v>
      </c>
      <c r="R799" s="1388">
        <f>Q799/P799*100</f>
        <v>48.6</v>
      </c>
    </row>
    <row r="800" spans="1:18" s="1435" customFormat="1" ht="23.25" customHeight="1">
      <c r="A800" s="1443">
        <v>4130</v>
      </c>
      <c r="B800" s="1451" t="s">
        <v>873</v>
      </c>
      <c r="C800" s="1389">
        <v>7000</v>
      </c>
      <c r="D800" s="830">
        <f t="shared" si="106"/>
        <v>7000</v>
      </c>
      <c r="E800" s="1390">
        <f>SUM(H800+K800+N800+Q800)</f>
        <v>3402</v>
      </c>
      <c r="F800" s="1682">
        <f>E800/D800*100</f>
        <v>48.6</v>
      </c>
      <c r="G800" s="1389"/>
      <c r="H800" s="1390"/>
      <c r="I800" s="1605"/>
      <c r="J800" s="1445"/>
      <c r="K800" s="1390"/>
      <c r="L800" s="1446"/>
      <c r="M800" s="1389"/>
      <c r="N800" s="1390"/>
      <c r="O800" s="1447"/>
      <c r="P800" s="1390">
        <v>7000</v>
      </c>
      <c r="Q800" s="1390">
        <v>3402</v>
      </c>
      <c r="R800" s="1395">
        <f>Q800/P800*100</f>
        <v>48.6</v>
      </c>
    </row>
    <row r="801" spans="1:18" ht="13.5" customHeight="1" hidden="1">
      <c r="A801" s="1436">
        <v>85158</v>
      </c>
      <c r="B801" s="1668" t="s">
        <v>7</v>
      </c>
      <c r="C801" s="1438">
        <f>SUM(C803:C816)</f>
        <v>0</v>
      </c>
      <c r="D801" s="845">
        <f t="shared" si="106"/>
        <v>0</v>
      </c>
      <c r="E801" s="1380">
        <f>SUM(E802:E816)</f>
        <v>0</v>
      </c>
      <c r="F801" s="1671" t="e">
        <f t="shared" si="103"/>
        <v>#DIV/0!</v>
      </c>
      <c r="G801" s="1675">
        <f>SUM(G802:G816)</f>
        <v>0</v>
      </c>
      <c r="H801" s="1380">
        <f>SUM(H802:H816)</f>
        <v>0</v>
      </c>
      <c r="I801" s="1381" t="e">
        <f t="shared" si="108"/>
        <v>#DIV/0!</v>
      </c>
      <c r="J801" s="1440"/>
      <c r="K801" s="1380"/>
      <c r="L801" s="1441"/>
      <c r="M801" s="1438"/>
      <c r="N801" s="1380"/>
      <c r="O801" s="1442"/>
      <c r="P801" s="1380"/>
      <c r="Q801" s="1380"/>
      <c r="R801" s="1478"/>
    </row>
    <row r="802" spans="1:18" ht="36.75" customHeight="1" hidden="1">
      <c r="A802" s="1422">
        <v>3020</v>
      </c>
      <c r="B802" s="1547" t="s">
        <v>739</v>
      </c>
      <c r="C802" s="864">
        <v>0</v>
      </c>
      <c r="D802" s="869">
        <f>G802+J802+P802+M802</f>
        <v>0</v>
      </c>
      <c r="E802" s="1407">
        <f>SUM(H802+K802+N802+Q802)</f>
        <v>0</v>
      </c>
      <c r="F802" s="1686" t="e">
        <f t="shared" si="103"/>
        <v>#DIV/0!</v>
      </c>
      <c r="G802" s="1393"/>
      <c r="H802" s="1407"/>
      <c r="I802" s="1391" t="e">
        <f>H802/G802*100</f>
        <v>#DIV/0!</v>
      </c>
      <c r="J802" s="1693"/>
      <c r="K802" s="1678"/>
      <c r="L802" s="1677"/>
      <c r="M802" s="1694"/>
      <c r="N802" s="1678"/>
      <c r="O802" s="1549"/>
      <c r="P802" s="1678"/>
      <c r="Q802" s="1678"/>
      <c r="R802" s="1550"/>
    </row>
    <row r="803" spans="1:18" ht="24.75" customHeight="1" hidden="1">
      <c r="A803" s="1443">
        <v>4010</v>
      </c>
      <c r="B803" s="1669" t="s">
        <v>837</v>
      </c>
      <c r="C803" s="1389"/>
      <c r="D803" s="830">
        <f t="shared" si="106"/>
        <v>0</v>
      </c>
      <c r="E803" s="1390">
        <f>SUM(H803+K803+N803+Q803)</f>
        <v>0</v>
      </c>
      <c r="F803" s="1682" t="e">
        <f t="shared" si="103"/>
        <v>#DIV/0!</v>
      </c>
      <c r="G803" s="1389"/>
      <c r="H803" s="1390"/>
      <c r="I803" s="1366" t="e">
        <f t="shared" si="108"/>
        <v>#DIV/0!</v>
      </c>
      <c r="J803" s="1445"/>
      <c r="K803" s="1390"/>
      <c r="L803" s="1446"/>
      <c r="M803" s="1389"/>
      <c r="N803" s="1390"/>
      <c r="O803" s="1447"/>
      <c r="P803" s="1390"/>
      <c r="Q803" s="1390"/>
      <c r="R803" s="1454"/>
    </row>
    <row r="804" spans="1:18" ht="21.75" customHeight="1" hidden="1">
      <c r="A804" s="1443">
        <v>4040</v>
      </c>
      <c r="B804" s="1669" t="s">
        <v>740</v>
      </c>
      <c r="C804" s="1389"/>
      <c r="D804" s="830">
        <f t="shared" si="106"/>
        <v>0</v>
      </c>
      <c r="E804" s="1390">
        <f>SUM(H804+K804+N804+Q804)</f>
        <v>0</v>
      </c>
      <c r="F804" s="1682" t="e">
        <f t="shared" si="103"/>
        <v>#DIV/0!</v>
      </c>
      <c r="G804" s="1389"/>
      <c r="H804" s="1390"/>
      <c r="I804" s="1366" t="e">
        <f t="shared" si="108"/>
        <v>#DIV/0!</v>
      </c>
      <c r="J804" s="1445"/>
      <c r="K804" s="1390"/>
      <c r="L804" s="1446"/>
      <c r="M804" s="1389"/>
      <c r="N804" s="1390"/>
      <c r="O804" s="1447"/>
      <c r="P804" s="1390"/>
      <c r="Q804" s="1390"/>
      <c r="R804" s="1454"/>
    </row>
    <row r="805" spans="1:18" ht="24.75" customHeight="1" hidden="1">
      <c r="A805" s="1443">
        <v>4110</v>
      </c>
      <c r="B805" s="1669" t="s">
        <v>686</v>
      </c>
      <c r="C805" s="1389"/>
      <c r="D805" s="830">
        <f>G805+J805+P805+M805</f>
        <v>0</v>
      </c>
      <c r="E805" s="1390">
        <f>SUM(H805+K805+N805+Q805)</f>
        <v>0</v>
      </c>
      <c r="F805" s="1682" t="e">
        <f t="shared" si="103"/>
        <v>#DIV/0!</v>
      </c>
      <c r="G805" s="1389"/>
      <c r="H805" s="1390"/>
      <c r="I805" s="1366" t="e">
        <f t="shared" si="108"/>
        <v>#DIV/0!</v>
      </c>
      <c r="J805" s="1445"/>
      <c r="K805" s="1390"/>
      <c r="L805" s="1446"/>
      <c r="M805" s="1390"/>
      <c r="N805" s="1390"/>
      <c r="O805" s="1447"/>
      <c r="P805" s="1390"/>
      <c r="Q805" s="1390"/>
      <c r="R805" s="1454"/>
    </row>
    <row r="806" spans="1:18" ht="11.25" customHeight="1" hidden="1">
      <c r="A806" s="1443">
        <v>4120</v>
      </c>
      <c r="B806" s="1669" t="s">
        <v>781</v>
      </c>
      <c r="C806" s="1389"/>
      <c r="D806" s="830">
        <f>G806+J806+P806+M806</f>
        <v>0</v>
      </c>
      <c r="E806" s="1390">
        <f>SUM(H806+K806+N806+Q806)</f>
        <v>0</v>
      </c>
      <c r="F806" s="1682" t="e">
        <f t="shared" si="103"/>
        <v>#DIV/0!</v>
      </c>
      <c r="G806" s="1389"/>
      <c r="H806" s="1390"/>
      <c r="I806" s="1366" t="e">
        <f t="shared" si="108"/>
        <v>#DIV/0!</v>
      </c>
      <c r="J806" s="1445"/>
      <c r="K806" s="1390"/>
      <c r="L806" s="1446"/>
      <c r="M806" s="1390"/>
      <c r="N806" s="1390"/>
      <c r="O806" s="1447"/>
      <c r="P806" s="1390"/>
      <c r="Q806" s="1390"/>
      <c r="R806" s="1454"/>
    </row>
    <row r="807" spans="1:18" ht="22.5" customHeight="1" hidden="1">
      <c r="A807" s="1443">
        <v>4210</v>
      </c>
      <c r="B807" s="1669" t="s">
        <v>690</v>
      </c>
      <c r="C807" s="1389"/>
      <c r="D807" s="830">
        <f aca="true" t="shared" si="110" ref="D807:D825">G807+J807+P807+M807</f>
        <v>0</v>
      </c>
      <c r="E807" s="1390">
        <f aca="true" t="shared" si="111" ref="E807:E816">SUM(H807+K807+N807+Q807)</f>
        <v>0</v>
      </c>
      <c r="F807" s="1682" t="e">
        <f t="shared" si="103"/>
        <v>#DIV/0!</v>
      </c>
      <c r="G807" s="1389"/>
      <c r="H807" s="1390"/>
      <c r="I807" s="1366" t="e">
        <f t="shared" si="108"/>
        <v>#DIV/0!</v>
      </c>
      <c r="J807" s="1445"/>
      <c r="K807" s="1390"/>
      <c r="L807" s="1446"/>
      <c r="M807" s="1390"/>
      <c r="N807" s="1390"/>
      <c r="O807" s="1447"/>
      <c r="P807" s="1390"/>
      <c r="Q807" s="1390"/>
      <c r="R807" s="1454"/>
    </row>
    <row r="808" spans="1:18" ht="11.25" customHeight="1" hidden="1">
      <c r="A808" s="1443">
        <v>4260</v>
      </c>
      <c r="B808" s="1669" t="s">
        <v>694</v>
      </c>
      <c r="C808" s="1389"/>
      <c r="D808" s="830">
        <f t="shared" si="110"/>
        <v>0</v>
      </c>
      <c r="E808" s="1390">
        <f t="shared" si="111"/>
        <v>0</v>
      </c>
      <c r="F808" s="1682" t="e">
        <f t="shared" si="103"/>
        <v>#DIV/0!</v>
      </c>
      <c r="G808" s="1389"/>
      <c r="H808" s="1390"/>
      <c r="I808" s="1366" t="e">
        <f t="shared" si="108"/>
        <v>#DIV/0!</v>
      </c>
      <c r="J808" s="1445"/>
      <c r="K808" s="1390"/>
      <c r="L808" s="1446"/>
      <c r="M808" s="1390"/>
      <c r="N808" s="1390"/>
      <c r="O808" s="1447"/>
      <c r="P808" s="1390"/>
      <c r="Q808" s="1390"/>
      <c r="R808" s="1454"/>
    </row>
    <row r="809" spans="1:18" ht="11.25" customHeight="1" hidden="1">
      <c r="A809" s="1443">
        <v>4270</v>
      </c>
      <c r="B809" s="1669" t="s">
        <v>696</v>
      </c>
      <c r="C809" s="1389"/>
      <c r="D809" s="830">
        <f t="shared" si="110"/>
        <v>0</v>
      </c>
      <c r="E809" s="1390">
        <f t="shared" si="111"/>
        <v>0</v>
      </c>
      <c r="F809" s="1682" t="e">
        <f t="shared" si="103"/>
        <v>#DIV/0!</v>
      </c>
      <c r="G809" s="1389"/>
      <c r="H809" s="1390"/>
      <c r="I809" s="1366" t="e">
        <f t="shared" si="108"/>
        <v>#DIV/0!</v>
      </c>
      <c r="J809" s="1445"/>
      <c r="K809" s="1390"/>
      <c r="L809" s="1446"/>
      <c r="M809" s="1390"/>
      <c r="N809" s="1390"/>
      <c r="O809" s="1447"/>
      <c r="P809" s="1390"/>
      <c r="Q809" s="1390"/>
      <c r="R809" s="1454"/>
    </row>
    <row r="810" spans="1:18" ht="24" customHeight="1" hidden="1">
      <c r="A810" s="1443">
        <v>4280</v>
      </c>
      <c r="B810" s="1669" t="s">
        <v>8</v>
      </c>
      <c r="C810" s="1389"/>
      <c r="D810" s="830">
        <f t="shared" si="110"/>
        <v>0</v>
      </c>
      <c r="E810" s="1390">
        <f t="shared" si="111"/>
        <v>0</v>
      </c>
      <c r="F810" s="1682" t="e">
        <f t="shared" si="103"/>
        <v>#DIV/0!</v>
      </c>
      <c r="G810" s="1389"/>
      <c r="H810" s="1390"/>
      <c r="I810" s="1366" t="e">
        <f t="shared" si="108"/>
        <v>#DIV/0!</v>
      </c>
      <c r="J810" s="1445"/>
      <c r="K810" s="1390"/>
      <c r="L810" s="1446"/>
      <c r="M810" s="1390"/>
      <c r="N810" s="1390"/>
      <c r="O810" s="1447"/>
      <c r="P810" s="1390"/>
      <c r="Q810" s="1390"/>
      <c r="R810" s="1454"/>
    </row>
    <row r="811" spans="1:18" ht="11.25" customHeight="1" hidden="1">
      <c r="A811" s="1443">
        <v>4300</v>
      </c>
      <c r="B811" s="1669" t="s">
        <v>698</v>
      </c>
      <c r="C811" s="1389"/>
      <c r="D811" s="830">
        <f t="shared" si="110"/>
        <v>0</v>
      </c>
      <c r="E811" s="1390">
        <f t="shared" si="111"/>
        <v>0</v>
      </c>
      <c r="F811" s="1682" t="e">
        <f t="shared" si="103"/>
        <v>#DIV/0!</v>
      </c>
      <c r="G811" s="1389"/>
      <c r="H811" s="1390"/>
      <c r="I811" s="1366" t="e">
        <f t="shared" si="108"/>
        <v>#DIV/0!</v>
      </c>
      <c r="J811" s="1445"/>
      <c r="K811" s="1390"/>
      <c r="L811" s="1446"/>
      <c r="M811" s="1390"/>
      <c r="N811" s="1390"/>
      <c r="O811" s="1447"/>
      <c r="P811" s="1390"/>
      <c r="Q811" s="1390"/>
      <c r="R811" s="1454"/>
    </row>
    <row r="812" spans="1:18" ht="12.75" customHeight="1" hidden="1">
      <c r="A812" s="1443">
        <v>4410</v>
      </c>
      <c r="B812" s="1669" t="s">
        <v>672</v>
      </c>
      <c r="C812" s="1389"/>
      <c r="D812" s="830">
        <f t="shared" si="110"/>
        <v>0</v>
      </c>
      <c r="E812" s="1390">
        <f t="shared" si="111"/>
        <v>0</v>
      </c>
      <c r="F812" s="1682" t="e">
        <f aca="true" t="shared" si="112" ref="F812:F875">E812/D812*100</f>
        <v>#DIV/0!</v>
      </c>
      <c r="G812" s="1389"/>
      <c r="H812" s="1390"/>
      <c r="I812" s="1366" t="e">
        <f t="shared" si="108"/>
        <v>#DIV/0!</v>
      </c>
      <c r="J812" s="1445"/>
      <c r="K812" s="1390"/>
      <c r="L812" s="1446"/>
      <c r="M812" s="1390"/>
      <c r="N812" s="1390"/>
      <c r="O812" s="1447"/>
      <c r="P812" s="1390"/>
      <c r="Q812" s="1390"/>
      <c r="R812" s="1454"/>
    </row>
    <row r="813" spans="1:18" ht="12.75" customHeight="1" hidden="1">
      <c r="A813" s="1443">
        <v>4430</v>
      </c>
      <c r="B813" s="1669" t="s">
        <v>700</v>
      </c>
      <c r="C813" s="1389"/>
      <c r="D813" s="830">
        <f t="shared" si="110"/>
        <v>0</v>
      </c>
      <c r="E813" s="1390">
        <f t="shared" si="111"/>
        <v>0</v>
      </c>
      <c r="F813" s="1682" t="e">
        <f t="shared" si="112"/>
        <v>#DIV/0!</v>
      </c>
      <c r="G813" s="1389"/>
      <c r="H813" s="1449"/>
      <c r="I813" s="1366" t="e">
        <f t="shared" si="108"/>
        <v>#DIV/0!</v>
      </c>
      <c r="J813" s="1484"/>
      <c r="K813" s="1390"/>
      <c r="L813" s="1446"/>
      <c r="M813" s="1449"/>
      <c r="N813" s="1449"/>
      <c r="O813" s="1636"/>
      <c r="P813" s="1449"/>
      <c r="Q813" s="1449"/>
      <c r="R813" s="1450"/>
    </row>
    <row r="814" spans="1:18" ht="11.25" customHeight="1" hidden="1">
      <c r="A814" s="1443">
        <v>4440</v>
      </c>
      <c r="B814" s="1669" t="s">
        <v>702</v>
      </c>
      <c r="C814" s="1389"/>
      <c r="D814" s="830">
        <f t="shared" si="110"/>
        <v>0</v>
      </c>
      <c r="E814" s="1390">
        <f t="shared" si="111"/>
        <v>0</v>
      </c>
      <c r="F814" s="1682" t="e">
        <f t="shared" si="112"/>
        <v>#DIV/0!</v>
      </c>
      <c r="G814" s="1389"/>
      <c r="H814" s="1390"/>
      <c r="I814" s="1366" t="e">
        <f t="shared" si="108"/>
        <v>#DIV/0!</v>
      </c>
      <c r="J814" s="1445"/>
      <c r="K814" s="1390"/>
      <c r="L814" s="1446"/>
      <c r="M814" s="1390"/>
      <c r="N814" s="1390"/>
      <c r="O814" s="1447"/>
      <c r="P814" s="1390"/>
      <c r="Q814" s="1390"/>
      <c r="R814" s="1454"/>
    </row>
    <row r="815" spans="1:18" s="1435" customFormat="1" ht="12.75" customHeight="1" hidden="1">
      <c r="A815" s="1443">
        <v>4480</v>
      </c>
      <c r="B815" s="1669" t="s">
        <v>198</v>
      </c>
      <c r="C815" s="1389"/>
      <c r="D815" s="830">
        <f t="shared" si="110"/>
        <v>0</v>
      </c>
      <c r="E815" s="1390">
        <f t="shared" si="111"/>
        <v>0</v>
      </c>
      <c r="F815" s="1682" t="e">
        <f t="shared" si="112"/>
        <v>#DIV/0!</v>
      </c>
      <c r="G815" s="1389"/>
      <c r="H815" s="1390"/>
      <c r="I815" s="1366" t="e">
        <f t="shared" si="108"/>
        <v>#DIV/0!</v>
      </c>
      <c r="J815" s="1445"/>
      <c r="K815" s="1390"/>
      <c r="L815" s="1446"/>
      <c r="M815" s="1390"/>
      <c r="N815" s="1390"/>
      <c r="O815" s="1447"/>
      <c r="P815" s="1390"/>
      <c r="Q815" s="1390"/>
      <c r="R815" s="1454"/>
    </row>
    <row r="816" spans="1:18" s="1435" customFormat="1" ht="24" hidden="1">
      <c r="A816" s="1492">
        <v>4520</v>
      </c>
      <c r="B816" s="1670" t="s">
        <v>9</v>
      </c>
      <c r="C816" s="1494"/>
      <c r="D816" s="862">
        <f t="shared" si="110"/>
        <v>0</v>
      </c>
      <c r="E816" s="1487">
        <f t="shared" si="111"/>
        <v>0</v>
      </c>
      <c r="F816" s="1691" t="e">
        <f t="shared" si="112"/>
        <v>#DIV/0!</v>
      </c>
      <c r="G816" s="1494"/>
      <c r="H816" s="1487"/>
      <c r="I816" s="1419" t="e">
        <f t="shared" si="108"/>
        <v>#DIV/0!</v>
      </c>
      <c r="J816" s="1495"/>
      <c r="K816" s="1487"/>
      <c r="L816" s="1551"/>
      <c r="M816" s="1487"/>
      <c r="N816" s="1487"/>
      <c r="O816" s="1498"/>
      <c r="P816" s="1487"/>
      <c r="Q816" s="1487"/>
      <c r="R816" s="1539"/>
    </row>
    <row r="817" spans="1:18" s="1695" customFormat="1" ht="11.25" customHeight="1">
      <c r="A817" s="1436">
        <v>85195</v>
      </c>
      <c r="B817" s="1668" t="s">
        <v>299</v>
      </c>
      <c r="C817" s="1438">
        <f>SUM(C818:C825)</f>
        <v>546000</v>
      </c>
      <c r="D817" s="845">
        <f t="shared" si="110"/>
        <v>555800</v>
      </c>
      <c r="E817" s="1380">
        <f>SUM(E818:E825)</f>
        <v>234565</v>
      </c>
      <c r="F817" s="1671">
        <f t="shared" si="112"/>
        <v>42.20313062252609</v>
      </c>
      <c r="G817" s="1438">
        <f>SUM(G818:G825)</f>
        <v>555800</v>
      </c>
      <c r="H817" s="1380">
        <f>SUM(H818:H825)</f>
        <v>234565</v>
      </c>
      <c r="I817" s="1381">
        <f t="shared" si="108"/>
        <v>42.20313062252609</v>
      </c>
      <c r="J817" s="1440"/>
      <c r="K817" s="1380"/>
      <c r="L817" s="1441"/>
      <c r="M817" s="1380"/>
      <c r="N817" s="1380"/>
      <c r="O817" s="1442"/>
      <c r="P817" s="1380"/>
      <c r="Q817" s="1380"/>
      <c r="R817" s="1478"/>
    </row>
    <row r="818" spans="1:18" ht="67.5" hidden="1">
      <c r="A818" s="1422">
        <v>2620</v>
      </c>
      <c r="B818" s="1696" t="s">
        <v>10</v>
      </c>
      <c r="C818" s="1393"/>
      <c r="D818" s="869">
        <f t="shared" si="110"/>
        <v>0</v>
      </c>
      <c r="E818" s="1407">
        <f aca="true" t="shared" si="113" ref="E818:E825">SUM(H818+K818+N818+Q818)</f>
        <v>0</v>
      </c>
      <c r="F818" s="1686" t="e">
        <f t="shared" si="112"/>
        <v>#DIV/0!</v>
      </c>
      <c r="G818" s="1393">
        <f>24700-24700</f>
        <v>0</v>
      </c>
      <c r="H818" s="1407">
        <f>24700-24700</f>
        <v>0</v>
      </c>
      <c r="I818" s="1391" t="e">
        <f t="shared" si="108"/>
        <v>#DIV/0!</v>
      </c>
      <c r="J818" s="1548"/>
      <c r="K818" s="1407"/>
      <c r="L818" s="1543"/>
      <c r="M818" s="1407"/>
      <c r="N818" s="1407"/>
      <c r="O818" s="1549"/>
      <c r="P818" s="1407"/>
      <c r="Q818" s="1407"/>
      <c r="R818" s="1550"/>
    </row>
    <row r="819" spans="1:18" ht="48" hidden="1">
      <c r="A819" s="1443">
        <v>2570</v>
      </c>
      <c r="B819" s="1697" t="s">
        <v>2</v>
      </c>
      <c r="C819" s="1389"/>
      <c r="D819" s="830">
        <f t="shared" si="110"/>
        <v>0</v>
      </c>
      <c r="E819" s="1390">
        <f t="shared" si="113"/>
        <v>0</v>
      </c>
      <c r="F819" s="1682" t="e">
        <f t="shared" si="112"/>
        <v>#DIV/0!</v>
      </c>
      <c r="G819" s="1389"/>
      <c r="H819" s="1390"/>
      <c r="I819" s="1366" t="e">
        <f t="shared" si="108"/>
        <v>#DIV/0!</v>
      </c>
      <c r="J819" s="1445"/>
      <c r="K819" s="1390"/>
      <c r="L819" s="1446"/>
      <c r="M819" s="1390"/>
      <c r="N819" s="1390"/>
      <c r="O819" s="1447"/>
      <c r="P819" s="1390"/>
      <c r="Q819" s="1390"/>
      <c r="R819" s="1454"/>
    </row>
    <row r="820" spans="1:18" s="1564" customFormat="1" ht="60">
      <c r="A820" s="1443">
        <v>2820</v>
      </c>
      <c r="B820" s="1698" t="s">
        <v>314</v>
      </c>
      <c r="C820" s="1389">
        <v>101000</v>
      </c>
      <c r="D820" s="830">
        <f t="shared" si="110"/>
        <v>103200</v>
      </c>
      <c r="E820" s="1390">
        <f t="shared" si="113"/>
        <v>56000</v>
      </c>
      <c r="F820" s="1682">
        <f t="shared" si="112"/>
        <v>54.263565891472865</v>
      </c>
      <c r="G820" s="1389">
        <f>101000+2200</f>
        <v>103200</v>
      </c>
      <c r="H820" s="1390">
        <v>56000</v>
      </c>
      <c r="I820" s="1366">
        <f t="shared" si="108"/>
        <v>54.263565891472865</v>
      </c>
      <c r="J820" s="1445"/>
      <c r="K820" s="1390"/>
      <c r="L820" s="1446"/>
      <c r="M820" s="1390"/>
      <c r="N820" s="1390"/>
      <c r="O820" s="1447"/>
      <c r="P820" s="1390"/>
      <c r="Q820" s="1390"/>
      <c r="R820" s="1454"/>
    </row>
    <row r="821" spans="1:18" s="1564" customFormat="1" ht="24">
      <c r="A821" s="1443">
        <v>4210</v>
      </c>
      <c r="B821" s="1698" t="s">
        <v>11</v>
      </c>
      <c r="C821" s="1389"/>
      <c r="D821" s="830">
        <f t="shared" si="110"/>
        <v>900</v>
      </c>
      <c r="E821" s="1390">
        <f t="shared" si="113"/>
        <v>600</v>
      </c>
      <c r="F821" s="1682">
        <f t="shared" si="112"/>
        <v>66.66666666666666</v>
      </c>
      <c r="G821" s="1389">
        <f>600+300</f>
        <v>900</v>
      </c>
      <c r="H821" s="1390">
        <v>600</v>
      </c>
      <c r="I821" s="1366">
        <f t="shared" si="108"/>
        <v>66.66666666666666</v>
      </c>
      <c r="J821" s="1445"/>
      <c r="K821" s="1390"/>
      <c r="L821" s="1446"/>
      <c r="M821" s="1390"/>
      <c r="N821" s="1390"/>
      <c r="O821" s="1447"/>
      <c r="P821" s="1390"/>
      <c r="Q821" s="1390"/>
      <c r="R821" s="1454"/>
    </row>
    <row r="822" spans="1:18" s="1564" customFormat="1" ht="12.75" hidden="1">
      <c r="A822" s="1443">
        <v>4260</v>
      </c>
      <c r="B822" s="1698" t="s">
        <v>694</v>
      </c>
      <c r="C822" s="1389"/>
      <c r="D822" s="830">
        <f t="shared" si="110"/>
        <v>0</v>
      </c>
      <c r="E822" s="1390">
        <f t="shared" si="113"/>
        <v>0</v>
      </c>
      <c r="F822" s="1682" t="e">
        <f t="shared" si="112"/>
        <v>#DIV/0!</v>
      </c>
      <c r="G822" s="1389"/>
      <c r="H822" s="1390"/>
      <c r="I822" s="1366" t="e">
        <f t="shared" si="108"/>
        <v>#DIV/0!</v>
      </c>
      <c r="J822" s="1445"/>
      <c r="K822" s="1390"/>
      <c r="L822" s="1446"/>
      <c r="M822" s="1390"/>
      <c r="N822" s="1390"/>
      <c r="O822" s="1447"/>
      <c r="P822" s="1390"/>
      <c r="Q822" s="1390"/>
      <c r="R822" s="1454"/>
    </row>
    <row r="823" spans="1:18" s="1564" customFormat="1" ht="13.5" thickBot="1">
      <c r="A823" s="1443">
        <v>4300</v>
      </c>
      <c r="B823" s="1669" t="s">
        <v>712</v>
      </c>
      <c r="C823" s="1389">
        <v>445000</v>
      </c>
      <c r="D823" s="830">
        <f t="shared" si="110"/>
        <v>451700</v>
      </c>
      <c r="E823" s="1390">
        <f t="shared" si="113"/>
        <v>177965</v>
      </c>
      <c r="F823" s="1682">
        <f t="shared" si="112"/>
        <v>39.39893734779721</v>
      </c>
      <c r="G823" s="1389">
        <f>445000-600-12400+20000-300</f>
        <v>451700</v>
      </c>
      <c r="H823" s="1390">
        <v>177965</v>
      </c>
      <c r="I823" s="1366">
        <f t="shared" si="108"/>
        <v>39.39893734779721</v>
      </c>
      <c r="J823" s="1445"/>
      <c r="K823" s="1390"/>
      <c r="L823" s="1446"/>
      <c r="M823" s="1390"/>
      <c r="N823" s="1390"/>
      <c r="O823" s="1447"/>
      <c r="P823" s="1390"/>
      <c r="Q823" s="1390"/>
      <c r="R823" s="1454"/>
    </row>
    <row r="824" spans="1:18" s="1564" customFormat="1" ht="13.5" hidden="1" thickBot="1">
      <c r="A824" s="1443">
        <v>4410</v>
      </c>
      <c r="B824" s="1669" t="s">
        <v>672</v>
      </c>
      <c r="C824" s="1389"/>
      <c r="D824" s="830">
        <f t="shared" si="110"/>
        <v>0</v>
      </c>
      <c r="E824" s="1390">
        <f t="shared" si="113"/>
        <v>0</v>
      </c>
      <c r="F824" s="1682" t="e">
        <f t="shared" si="112"/>
        <v>#DIV/0!</v>
      </c>
      <c r="G824" s="1389"/>
      <c r="H824" s="1390"/>
      <c r="I824" s="1366" t="e">
        <f t="shared" si="108"/>
        <v>#DIV/0!</v>
      </c>
      <c r="J824" s="1445"/>
      <c r="K824" s="1390"/>
      <c r="L824" s="1446"/>
      <c r="M824" s="1390"/>
      <c r="N824" s="1390"/>
      <c r="O824" s="1447"/>
      <c r="P824" s="1390"/>
      <c r="Q824" s="1390"/>
      <c r="R824" s="1454"/>
    </row>
    <row r="825" spans="1:18" ht="24.75" hidden="1" thickBot="1">
      <c r="A825" s="1443">
        <v>4610</v>
      </c>
      <c r="B825" s="1669" t="s">
        <v>12</v>
      </c>
      <c r="C825" s="1389"/>
      <c r="D825" s="830">
        <f t="shared" si="110"/>
        <v>0</v>
      </c>
      <c r="E825" s="1390">
        <f t="shared" si="113"/>
        <v>0</v>
      </c>
      <c r="F825" s="1682" t="e">
        <f t="shared" si="112"/>
        <v>#DIV/0!</v>
      </c>
      <c r="G825" s="1389"/>
      <c r="H825" s="1449"/>
      <c r="I825" s="1366" t="e">
        <f t="shared" si="108"/>
        <v>#DIV/0!</v>
      </c>
      <c r="J825" s="1484"/>
      <c r="K825" s="1390"/>
      <c r="L825" s="1446"/>
      <c r="M825" s="1449"/>
      <c r="N825" s="1449"/>
      <c r="O825" s="1636"/>
      <c r="P825" s="1449"/>
      <c r="Q825" s="1449"/>
      <c r="R825" s="1450"/>
    </row>
    <row r="826" spans="1:18" s="817" customFormat="1" ht="14.25" customHeight="1" thickBot="1" thickTop="1">
      <c r="A826" s="810">
        <v>852</v>
      </c>
      <c r="B826" s="811" t="s">
        <v>150</v>
      </c>
      <c r="C826" s="812">
        <f>C827+C842+C845+C904+C912+C928+C931+C952+C934+C1010+C1020+C978+C985+C995+C937+C939+C1018</f>
        <v>47786485</v>
      </c>
      <c r="D826" s="813">
        <f>G826+J826+P826+M826</f>
        <v>55122461</v>
      </c>
      <c r="E826" s="813">
        <f>H826+K826+Q826+N826</f>
        <v>21317754</v>
      </c>
      <c r="F826" s="1699">
        <f t="shared" si="112"/>
        <v>38.6734438435178</v>
      </c>
      <c r="G826" s="812">
        <f>G827+G842+G845+G904+G912+G928+G931+G952+G934+G1010+G1020+G978+G985+G995+G937+G939+G1018</f>
        <v>19216437</v>
      </c>
      <c r="H826" s="813">
        <f>H827+H842+H845+H904+H912+H928+H931+H952+H934+H1010+H1020+H978+H985+H995+H937+H939+H1018</f>
        <v>9614415</v>
      </c>
      <c r="I826" s="1700">
        <f>H826/G826*100</f>
        <v>50.03224583204472</v>
      </c>
      <c r="J826" s="813">
        <f>J827+J842+J845+J904+J912+J928+J931+J952+J934+J1010+J1020+J978+J985+J995+J937+J939</f>
        <v>31605525</v>
      </c>
      <c r="K826" s="813">
        <f>K827+K842+K845+K904+K912+K928+K931+K952+K934+K1010+K1020+K978+K985+K995+K937+K939</f>
        <v>9601750</v>
      </c>
      <c r="L826" s="1460">
        <f>K826/J826*100</f>
        <v>30.37997312178804</v>
      </c>
      <c r="M826" s="874">
        <f>M827+M842+M845+M904+M912+M931+M952+M934+M1010+M1020+M978+M985+M995+M937+M939</f>
        <v>4300499</v>
      </c>
      <c r="N826" s="813">
        <f>N827+N842+N845+N904+N912+N931+N952+N934+N1010+N1020+N978+N985+N995+N937+N939</f>
        <v>2101589</v>
      </c>
      <c r="O826" s="1701">
        <f aca="true" t="shared" si="114" ref="O826:O841">N826/M826*100</f>
        <v>48.86849177269894</v>
      </c>
      <c r="P826" s="813"/>
      <c r="Q826" s="813"/>
      <c r="R826" s="1701"/>
    </row>
    <row r="827" spans="1:18" s="1435" customFormat="1" ht="33.75" customHeight="1" thickTop="1">
      <c r="A827" s="1623">
        <v>85201</v>
      </c>
      <c r="B827" s="1702" t="s">
        <v>13</v>
      </c>
      <c r="C827" s="1353">
        <f>SUM(C828:C841)</f>
        <v>1080319</v>
      </c>
      <c r="D827" s="843">
        <f>G827+J827+P827+M827</f>
        <v>1020319</v>
      </c>
      <c r="E827" s="1536">
        <f>H827+K827+Q827+N827</f>
        <v>462850</v>
      </c>
      <c r="F827" s="1691">
        <f t="shared" si="112"/>
        <v>45.36326384199451</v>
      </c>
      <c r="G827" s="1625"/>
      <c r="H827" s="1530"/>
      <c r="I827" s="1703"/>
      <c r="J827" s="1648"/>
      <c r="K827" s="1530"/>
      <c r="L827" s="1569"/>
      <c r="M827" s="1355">
        <f>SUM(M828:M841)</f>
        <v>1020319</v>
      </c>
      <c r="N827" s="1355">
        <f>SUM(N828:N841)</f>
        <v>462850</v>
      </c>
      <c r="O827" s="1420">
        <f t="shared" si="114"/>
        <v>45.36326384199451</v>
      </c>
      <c r="P827" s="1355"/>
      <c r="Q827" s="1355"/>
      <c r="R827" s="1704"/>
    </row>
    <row r="828" spans="1:18" s="1435" customFormat="1" ht="60">
      <c r="A828" s="1443">
        <v>2320</v>
      </c>
      <c r="B828" s="1669" t="s">
        <v>779</v>
      </c>
      <c r="C828" s="1389">
        <v>650560</v>
      </c>
      <c r="D828" s="830">
        <f aca="true" t="shared" si="115" ref="D828:E841">G828+J828+P828+M828</f>
        <v>590560</v>
      </c>
      <c r="E828" s="830">
        <f t="shared" si="115"/>
        <v>228468</v>
      </c>
      <c r="F828" s="1682">
        <f t="shared" si="112"/>
        <v>38.68667027905717</v>
      </c>
      <c r="G828" s="1523"/>
      <c r="H828" s="1524"/>
      <c r="I828" s="1605"/>
      <c r="J828" s="1525"/>
      <c r="K828" s="1524"/>
      <c r="L828" s="1526"/>
      <c r="M828" s="1393">
        <f>650560-60000-75000+75000</f>
        <v>590560</v>
      </c>
      <c r="N828" s="1407">
        <v>228468</v>
      </c>
      <c r="O828" s="1395">
        <f t="shared" si="114"/>
        <v>38.68667027905717</v>
      </c>
      <c r="P828" s="1390"/>
      <c r="Q828" s="1390"/>
      <c r="R828" s="1454"/>
    </row>
    <row r="829" spans="1:18" s="1435" customFormat="1" ht="52.5" customHeight="1">
      <c r="A829" s="1443">
        <v>2820</v>
      </c>
      <c r="B829" s="1669" t="s">
        <v>14</v>
      </c>
      <c r="C829" s="1389">
        <v>72000</v>
      </c>
      <c r="D829" s="830">
        <f t="shared" si="115"/>
        <v>72000</v>
      </c>
      <c r="E829" s="830">
        <f t="shared" si="115"/>
        <v>30000</v>
      </c>
      <c r="F829" s="1682">
        <f t="shared" si="112"/>
        <v>41.66666666666667</v>
      </c>
      <c r="G829" s="1523"/>
      <c r="H829" s="1524"/>
      <c r="I829" s="1605"/>
      <c r="J829" s="1525"/>
      <c r="K829" s="1524"/>
      <c r="L829" s="1526"/>
      <c r="M829" s="1389">
        <v>72000</v>
      </c>
      <c r="N829" s="1390">
        <v>30000</v>
      </c>
      <c r="O829" s="1369">
        <f t="shared" si="114"/>
        <v>41.66666666666667</v>
      </c>
      <c r="P829" s="1390"/>
      <c r="Q829" s="1390"/>
      <c r="R829" s="1454"/>
    </row>
    <row r="830" spans="1:18" s="1435" customFormat="1" ht="16.5" customHeight="1">
      <c r="A830" s="1443">
        <v>3110</v>
      </c>
      <c r="B830" s="1669" t="s">
        <v>15</v>
      </c>
      <c r="C830" s="1389">
        <v>120000</v>
      </c>
      <c r="D830" s="830">
        <f t="shared" si="115"/>
        <v>120000</v>
      </c>
      <c r="E830" s="830">
        <f t="shared" si="115"/>
        <v>90734</v>
      </c>
      <c r="F830" s="1682">
        <f t="shared" si="112"/>
        <v>75.61166666666666</v>
      </c>
      <c r="G830" s="1523"/>
      <c r="H830" s="1524"/>
      <c r="I830" s="1605"/>
      <c r="J830" s="1525"/>
      <c r="K830" s="1524"/>
      <c r="L830" s="1526"/>
      <c r="M830" s="1389">
        <v>120000</v>
      </c>
      <c r="N830" s="1390">
        <v>90734</v>
      </c>
      <c r="O830" s="1395">
        <f t="shared" si="114"/>
        <v>75.61166666666666</v>
      </c>
      <c r="P830" s="1390"/>
      <c r="Q830" s="1390"/>
      <c r="R830" s="1454"/>
    </row>
    <row r="831" spans="1:18" s="1435" customFormat="1" ht="24">
      <c r="A831" s="1443">
        <v>4010</v>
      </c>
      <c r="B831" s="1669" t="s">
        <v>680</v>
      </c>
      <c r="C831" s="1389">
        <v>55098</v>
      </c>
      <c r="D831" s="830">
        <f t="shared" si="115"/>
        <v>55098</v>
      </c>
      <c r="E831" s="830">
        <f t="shared" si="115"/>
        <v>28234</v>
      </c>
      <c r="F831" s="1682">
        <f t="shared" si="112"/>
        <v>51.243239319031545</v>
      </c>
      <c r="G831" s="1523"/>
      <c r="H831" s="1524"/>
      <c r="I831" s="1605"/>
      <c r="J831" s="1525"/>
      <c r="K831" s="1524"/>
      <c r="L831" s="1526"/>
      <c r="M831" s="1389">
        <v>55098</v>
      </c>
      <c r="N831" s="1390">
        <v>28234</v>
      </c>
      <c r="O831" s="1395">
        <f t="shared" si="114"/>
        <v>51.243239319031545</v>
      </c>
      <c r="P831" s="1390"/>
      <c r="Q831" s="1390"/>
      <c r="R831" s="1454"/>
    </row>
    <row r="832" spans="1:18" s="1435" customFormat="1" ht="24">
      <c r="A832" s="1443">
        <v>4040</v>
      </c>
      <c r="B832" s="1669" t="s">
        <v>740</v>
      </c>
      <c r="C832" s="1389">
        <v>4659</v>
      </c>
      <c r="D832" s="830">
        <f t="shared" si="115"/>
        <v>4672</v>
      </c>
      <c r="E832" s="1390">
        <f aca="true" t="shared" si="116" ref="E832:E841">SUM(H832+K832+N832+Q832)</f>
        <v>4659</v>
      </c>
      <c r="F832" s="1682">
        <f t="shared" si="112"/>
        <v>99.72174657534246</v>
      </c>
      <c r="G832" s="1523"/>
      <c r="H832" s="1524"/>
      <c r="I832" s="1605"/>
      <c r="J832" s="1525"/>
      <c r="K832" s="1524"/>
      <c r="L832" s="1526"/>
      <c r="M832" s="1389">
        <f>4659+13</f>
        <v>4672</v>
      </c>
      <c r="N832" s="1390">
        <v>4659</v>
      </c>
      <c r="O832" s="1369">
        <f t="shared" si="114"/>
        <v>99.72174657534246</v>
      </c>
      <c r="P832" s="1390"/>
      <c r="Q832" s="1390"/>
      <c r="R832" s="1454"/>
    </row>
    <row r="833" spans="1:18" s="1435" customFormat="1" ht="24">
      <c r="A833" s="1443">
        <v>4110</v>
      </c>
      <c r="B833" s="1669" t="s">
        <v>686</v>
      </c>
      <c r="C833" s="1389">
        <v>10595</v>
      </c>
      <c r="D833" s="830">
        <f t="shared" si="115"/>
        <v>10595</v>
      </c>
      <c r="E833" s="1390">
        <f t="shared" si="116"/>
        <v>5846</v>
      </c>
      <c r="F833" s="1682">
        <f t="shared" si="112"/>
        <v>55.17697026899481</v>
      </c>
      <c r="G833" s="1523"/>
      <c r="H833" s="1524"/>
      <c r="I833" s="1605"/>
      <c r="J833" s="1525"/>
      <c r="K833" s="1524"/>
      <c r="L833" s="1526"/>
      <c r="M833" s="1389">
        <v>10595</v>
      </c>
      <c r="N833" s="1390">
        <v>5846</v>
      </c>
      <c r="O833" s="1395">
        <f t="shared" si="114"/>
        <v>55.17697026899481</v>
      </c>
      <c r="P833" s="1390"/>
      <c r="Q833" s="1390"/>
      <c r="R833" s="1454"/>
    </row>
    <row r="834" spans="1:18" s="1435" customFormat="1" ht="12.75">
      <c r="A834" s="1443">
        <v>4120</v>
      </c>
      <c r="B834" s="1669" t="s">
        <v>781</v>
      </c>
      <c r="C834" s="1389">
        <v>1464</v>
      </c>
      <c r="D834" s="830">
        <f t="shared" si="115"/>
        <v>1464</v>
      </c>
      <c r="E834" s="1390">
        <f t="shared" si="116"/>
        <v>806</v>
      </c>
      <c r="F834" s="1682">
        <f t="shared" si="112"/>
        <v>55.05464480874317</v>
      </c>
      <c r="G834" s="1523"/>
      <c r="H834" s="1524"/>
      <c r="I834" s="1605"/>
      <c r="J834" s="1525"/>
      <c r="K834" s="1524"/>
      <c r="L834" s="1526"/>
      <c r="M834" s="1389">
        <v>1464</v>
      </c>
      <c r="N834" s="1390">
        <v>806</v>
      </c>
      <c r="O834" s="1395">
        <f t="shared" si="114"/>
        <v>55.05464480874317</v>
      </c>
      <c r="P834" s="1390"/>
      <c r="Q834" s="1390"/>
      <c r="R834" s="1454"/>
    </row>
    <row r="835" spans="1:18" s="1435" customFormat="1" ht="24">
      <c r="A835" s="1443">
        <v>4210</v>
      </c>
      <c r="B835" s="1669" t="s">
        <v>690</v>
      </c>
      <c r="C835" s="1389">
        <v>16260</v>
      </c>
      <c r="D835" s="830">
        <f t="shared" si="115"/>
        <v>16260</v>
      </c>
      <c r="E835" s="1390">
        <f t="shared" si="116"/>
        <v>0</v>
      </c>
      <c r="F835" s="1682">
        <f t="shared" si="112"/>
        <v>0</v>
      </c>
      <c r="G835" s="1523"/>
      <c r="H835" s="1524"/>
      <c r="I835" s="1605"/>
      <c r="J835" s="1525"/>
      <c r="K835" s="1524"/>
      <c r="L835" s="1526"/>
      <c r="M835" s="1389">
        <v>16260</v>
      </c>
      <c r="N835" s="1390"/>
      <c r="O835" s="1395">
        <f t="shared" si="114"/>
        <v>0</v>
      </c>
      <c r="P835" s="1390"/>
      <c r="Q835" s="1390"/>
      <c r="R835" s="1454"/>
    </row>
    <row r="836" spans="1:18" s="1435" customFormat="1" ht="12.75">
      <c r="A836" s="1443">
        <v>4260</v>
      </c>
      <c r="B836" s="1669" t="s">
        <v>694</v>
      </c>
      <c r="C836" s="1389">
        <v>8400</v>
      </c>
      <c r="D836" s="830">
        <f t="shared" si="115"/>
        <v>8400</v>
      </c>
      <c r="E836" s="1390">
        <f t="shared" si="116"/>
        <v>4119</v>
      </c>
      <c r="F836" s="1682">
        <f t="shared" si="112"/>
        <v>49.035714285714285</v>
      </c>
      <c r="G836" s="1523"/>
      <c r="H836" s="1524"/>
      <c r="I836" s="1605"/>
      <c r="J836" s="1525"/>
      <c r="K836" s="1524"/>
      <c r="L836" s="1526"/>
      <c r="M836" s="1389">
        <v>8400</v>
      </c>
      <c r="N836" s="1390">
        <v>4119</v>
      </c>
      <c r="O836" s="1395">
        <f t="shared" si="114"/>
        <v>49.035714285714285</v>
      </c>
      <c r="P836" s="1390"/>
      <c r="Q836" s="1390"/>
      <c r="R836" s="1454"/>
    </row>
    <row r="837" spans="1:18" s="1435" customFormat="1" ht="12.75">
      <c r="A837" s="1443">
        <v>4270</v>
      </c>
      <c r="B837" s="1669" t="s">
        <v>696</v>
      </c>
      <c r="C837" s="1389">
        <v>1000</v>
      </c>
      <c r="D837" s="830">
        <f t="shared" si="115"/>
        <v>1000</v>
      </c>
      <c r="E837" s="1390">
        <f t="shared" si="116"/>
        <v>0</v>
      </c>
      <c r="F837" s="1682">
        <f t="shared" si="112"/>
        <v>0</v>
      </c>
      <c r="G837" s="1523"/>
      <c r="H837" s="1524"/>
      <c r="I837" s="1605"/>
      <c r="J837" s="1525"/>
      <c r="K837" s="1524"/>
      <c r="L837" s="1526"/>
      <c r="M837" s="1389">
        <v>1000</v>
      </c>
      <c r="N837" s="1390"/>
      <c r="O837" s="1395">
        <f t="shared" si="114"/>
        <v>0</v>
      </c>
      <c r="P837" s="1390"/>
      <c r="Q837" s="1390"/>
      <c r="R837" s="1454"/>
    </row>
    <row r="838" spans="1:18" s="1435" customFormat="1" ht="24">
      <c r="A838" s="1443">
        <v>4280</v>
      </c>
      <c r="B838" s="1669" t="s">
        <v>16</v>
      </c>
      <c r="C838" s="1389">
        <v>2600</v>
      </c>
      <c r="D838" s="830">
        <f t="shared" si="115"/>
        <v>2600</v>
      </c>
      <c r="E838" s="1390">
        <f t="shared" si="116"/>
        <v>0</v>
      </c>
      <c r="F838" s="1682">
        <f t="shared" si="112"/>
        <v>0</v>
      </c>
      <c r="G838" s="1523"/>
      <c r="H838" s="1524"/>
      <c r="I838" s="1605"/>
      <c r="J838" s="1525"/>
      <c r="K838" s="1524"/>
      <c r="L838" s="1526"/>
      <c r="M838" s="1389">
        <v>2600</v>
      </c>
      <c r="N838" s="1390"/>
      <c r="O838" s="1369">
        <f t="shared" si="114"/>
        <v>0</v>
      </c>
      <c r="P838" s="1390"/>
      <c r="Q838" s="1390"/>
      <c r="R838" s="1454"/>
    </row>
    <row r="839" spans="1:18" s="1435" customFormat="1" ht="12" customHeight="1">
      <c r="A839" s="1443">
        <v>4300</v>
      </c>
      <c r="B839" s="1669" t="s">
        <v>698</v>
      </c>
      <c r="C839" s="1389">
        <v>133000</v>
      </c>
      <c r="D839" s="830">
        <f t="shared" si="115"/>
        <v>132987</v>
      </c>
      <c r="E839" s="1390">
        <f t="shared" si="116"/>
        <v>65322</v>
      </c>
      <c r="F839" s="1682">
        <f t="shared" si="112"/>
        <v>49.119086828035826</v>
      </c>
      <c r="G839" s="1523"/>
      <c r="H839" s="1524"/>
      <c r="I839" s="1605"/>
      <c r="J839" s="1525"/>
      <c r="K839" s="1524"/>
      <c r="L839" s="1526"/>
      <c r="M839" s="1389">
        <f>133000-13</f>
        <v>132987</v>
      </c>
      <c r="N839" s="1390">
        <v>65322</v>
      </c>
      <c r="O839" s="1395">
        <f t="shared" si="114"/>
        <v>49.119086828035826</v>
      </c>
      <c r="P839" s="1390"/>
      <c r="Q839" s="1390"/>
      <c r="R839" s="1454"/>
    </row>
    <row r="840" spans="1:18" s="1435" customFormat="1" ht="24" hidden="1">
      <c r="A840" s="1443">
        <v>4330</v>
      </c>
      <c r="B840" s="1669" t="s">
        <v>17</v>
      </c>
      <c r="C840" s="1389"/>
      <c r="D840" s="830">
        <f t="shared" si="115"/>
        <v>0</v>
      </c>
      <c r="E840" s="1390">
        <f t="shared" si="116"/>
        <v>0</v>
      </c>
      <c r="F840" s="1682" t="e">
        <f t="shared" si="112"/>
        <v>#DIV/0!</v>
      </c>
      <c r="G840" s="1523"/>
      <c r="H840" s="1524"/>
      <c r="I840" s="1605"/>
      <c r="J840" s="1525"/>
      <c r="K840" s="1524"/>
      <c r="L840" s="1526"/>
      <c r="M840" s="1389"/>
      <c r="N840" s="1390"/>
      <c r="O840" s="1395" t="e">
        <f t="shared" si="114"/>
        <v>#DIV/0!</v>
      </c>
      <c r="P840" s="1390"/>
      <c r="Q840" s="1390"/>
      <c r="R840" s="1454"/>
    </row>
    <row r="841" spans="1:18" s="1435" customFormat="1" ht="12" customHeight="1">
      <c r="A841" s="1492">
        <v>4440</v>
      </c>
      <c r="B841" s="1670" t="s">
        <v>702</v>
      </c>
      <c r="C841" s="1494">
        <v>4683</v>
      </c>
      <c r="D841" s="862">
        <f t="shared" si="115"/>
        <v>4683</v>
      </c>
      <c r="E841" s="1487">
        <f t="shared" si="116"/>
        <v>4662</v>
      </c>
      <c r="F841" s="1691">
        <f t="shared" si="112"/>
        <v>99.55156950672645</v>
      </c>
      <c r="G841" s="1533"/>
      <c r="H841" s="1536"/>
      <c r="I841" s="1705"/>
      <c r="J841" s="1537"/>
      <c r="K841" s="1536"/>
      <c r="L841" s="1538"/>
      <c r="M841" s="1494">
        <v>4683</v>
      </c>
      <c r="N841" s="1487">
        <v>4662</v>
      </c>
      <c r="O841" s="1666">
        <f t="shared" si="114"/>
        <v>99.55156950672645</v>
      </c>
      <c r="P841" s="1487"/>
      <c r="Q841" s="1487"/>
      <c r="R841" s="1539"/>
    </row>
    <row r="842" spans="1:18" s="1471" customFormat="1" ht="12" customHeight="1">
      <c r="A842" s="1552">
        <v>85202</v>
      </c>
      <c r="B842" s="1706" t="s">
        <v>18</v>
      </c>
      <c r="C842" s="820">
        <f>SUM(C843:C844)</f>
        <v>200000</v>
      </c>
      <c r="D842" s="821">
        <f aca="true" t="shared" si="117" ref="D842:E844">G842+J842+M842+P842</f>
        <v>200000</v>
      </c>
      <c r="E842" s="821">
        <f t="shared" si="117"/>
        <v>173836</v>
      </c>
      <c r="F842" s="1691">
        <f t="shared" si="112"/>
        <v>86.91799999999999</v>
      </c>
      <c r="G842" s="820">
        <f>SUM(G843:G844)</f>
        <v>200000</v>
      </c>
      <c r="H842" s="821">
        <f>SUM(H843:H844)</f>
        <v>173836</v>
      </c>
      <c r="I842" s="1707">
        <f>H842/G842*100</f>
        <v>86.91799999999999</v>
      </c>
      <c r="J842" s="1554"/>
      <c r="K842" s="1554"/>
      <c r="L842" s="1538"/>
      <c r="M842" s="1554"/>
      <c r="N842" s="821"/>
      <c r="O842" s="1708"/>
      <c r="P842" s="821"/>
      <c r="Q842" s="821"/>
      <c r="R842" s="1556"/>
    </row>
    <row r="843" spans="1:18" s="1286" customFormat="1" ht="12" customHeight="1">
      <c r="A843" s="1512">
        <v>4300</v>
      </c>
      <c r="B843" s="1698" t="s">
        <v>712</v>
      </c>
      <c r="C843" s="832">
        <v>200000</v>
      </c>
      <c r="D843" s="830">
        <f t="shared" si="117"/>
        <v>0</v>
      </c>
      <c r="E843" s="830">
        <f t="shared" si="117"/>
        <v>0</v>
      </c>
      <c r="F843" s="1682"/>
      <c r="G843" s="832"/>
      <c r="H843" s="830"/>
      <c r="I843" s="1602"/>
      <c r="J843" s="1514"/>
      <c r="K843" s="1514"/>
      <c r="L843" s="1446"/>
      <c r="M843" s="1514"/>
      <c r="N843" s="830"/>
      <c r="O843" s="1584"/>
      <c r="P843" s="830"/>
      <c r="Q843" s="830"/>
      <c r="R843" s="834"/>
    </row>
    <row r="844" spans="1:18" s="1286" customFormat="1" ht="24">
      <c r="A844" s="1545">
        <v>4330</v>
      </c>
      <c r="B844" s="1709" t="s">
        <v>17</v>
      </c>
      <c r="C844" s="861"/>
      <c r="D844" s="830">
        <f t="shared" si="117"/>
        <v>200000</v>
      </c>
      <c r="E844" s="830">
        <f t="shared" si="117"/>
        <v>173836</v>
      </c>
      <c r="F844" s="1682">
        <f t="shared" si="112"/>
        <v>86.91799999999999</v>
      </c>
      <c r="G844" s="861">
        <v>200000</v>
      </c>
      <c r="H844" s="862">
        <v>173836</v>
      </c>
      <c r="I844" s="1707">
        <f>H844/G844*100</f>
        <v>86.91799999999999</v>
      </c>
      <c r="J844" s="1516"/>
      <c r="K844" s="1516"/>
      <c r="L844" s="1551"/>
      <c r="M844" s="1516"/>
      <c r="N844" s="862"/>
      <c r="O844" s="1666"/>
      <c r="P844" s="862"/>
      <c r="Q844" s="862"/>
      <c r="R844" s="1519"/>
    </row>
    <row r="845" spans="1:18" s="1286" customFormat="1" ht="12.75">
      <c r="A845" s="1479">
        <v>85203</v>
      </c>
      <c r="B845" s="1710" t="s">
        <v>241</v>
      </c>
      <c r="C845" s="823">
        <f>C846+C860+C888+C872</f>
        <v>959318</v>
      </c>
      <c r="D845" s="845">
        <f>G845+J845+P845+M845</f>
        <v>988069</v>
      </c>
      <c r="E845" s="845">
        <f>H845+K845+Q845+N845</f>
        <v>507950</v>
      </c>
      <c r="F845" s="1671">
        <f t="shared" si="112"/>
        <v>51.40835306036319</v>
      </c>
      <c r="G845" s="823">
        <f>G846+G860+G888</f>
        <v>534069</v>
      </c>
      <c r="H845" s="845">
        <f>H846+H860+H888</f>
        <v>286714</v>
      </c>
      <c r="I845" s="1381">
        <f>H845/G845*100</f>
        <v>53.684823496589395</v>
      </c>
      <c r="J845" s="1510">
        <f>J846+J860+J888+J872</f>
        <v>454000</v>
      </c>
      <c r="K845" s="1510">
        <f>K846+K860+K888+K872</f>
        <v>221236</v>
      </c>
      <c r="L845" s="1475">
        <f>K845/J845*100</f>
        <v>48.730396475770924</v>
      </c>
      <c r="M845" s="845"/>
      <c r="N845" s="845"/>
      <c r="O845" s="1711"/>
      <c r="P845" s="845"/>
      <c r="Q845" s="845"/>
      <c r="R845" s="883"/>
    </row>
    <row r="846" spans="1:18" ht="12.75">
      <c r="A846" s="1521"/>
      <c r="B846" s="1712" t="s">
        <v>19</v>
      </c>
      <c r="C846" s="1523">
        <f>SUM(C847:C859)</f>
        <v>166373</v>
      </c>
      <c r="D846" s="1465">
        <f>G846+J846+P846+M846</f>
        <v>166373</v>
      </c>
      <c r="E846" s="1524">
        <f>H846+K846+Q846+N846</f>
        <v>67426</v>
      </c>
      <c r="F846" s="1682">
        <f t="shared" si="112"/>
        <v>40.527008589134056</v>
      </c>
      <c r="G846" s="1463">
        <f>SUM(G847:G859)</f>
        <v>166373</v>
      </c>
      <c r="H846" s="1465">
        <f>SUM(H847:H859)</f>
        <v>67426</v>
      </c>
      <c r="I846" s="1366">
        <f>H846/G846*100</f>
        <v>40.527008589134056</v>
      </c>
      <c r="J846" s="1525"/>
      <c r="K846" s="1525"/>
      <c r="L846" s="1369"/>
      <c r="M846" s="1524"/>
      <c r="N846" s="1524"/>
      <c r="O846" s="1395"/>
      <c r="P846" s="1524"/>
      <c r="Q846" s="1524"/>
      <c r="R846" s="1454"/>
    </row>
    <row r="847" spans="1:18" ht="24">
      <c r="A847" s="1443">
        <v>4010</v>
      </c>
      <c r="B847" s="1669" t="s">
        <v>680</v>
      </c>
      <c r="C847" s="1389">
        <v>64948</v>
      </c>
      <c r="D847" s="830">
        <f aca="true" t="shared" si="118" ref="D847:E866">G847+J847+P847+M847</f>
        <v>64948</v>
      </c>
      <c r="E847" s="1390">
        <f>SUM(H847+K847+N847+Q847)</f>
        <v>24733</v>
      </c>
      <c r="F847" s="1682">
        <f t="shared" si="112"/>
        <v>38.08123421814374</v>
      </c>
      <c r="G847" s="1389">
        <v>64948</v>
      </c>
      <c r="H847" s="830">
        <v>24733</v>
      </c>
      <c r="I847" s="1366">
        <f aca="true" t="shared" si="119" ref="I847:I871">H847/G847*100</f>
        <v>38.08123421814374</v>
      </c>
      <c r="J847" s="1445"/>
      <c r="K847" s="1390"/>
      <c r="L847" s="1369"/>
      <c r="M847" s="1390"/>
      <c r="N847" s="1390"/>
      <c r="O847" s="1395"/>
      <c r="P847" s="1390"/>
      <c r="Q847" s="1390"/>
      <c r="R847" s="1454"/>
    </row>
    <row r="848" spans="1:18" ht="24">
      <c r="A848" s="1443">
        <v>4040</v>
      </c>
      <c r="B848" s="1669" t="s">
        <v>740</v>
      </c>
      <c r="C848" s="1389">
        <v>5849</v>
      </c>
      <c r="D848" s="830">
        <f t="shared" si="118"/>
        <v>5849</v>
      </c>
      <c r="E848" s="1390">
        <f>SUM(H848+K848+N848+Q848)</f>
        <v>3990</v>
      </c>
      <c r="F848" s="1682">
        <f t="shared" si="112"/>
        <v>68.21678919473413</v>
      </c>
      <c r="G848" s="1389">
        <v>5849</v>
      </c>
      <c r="H848" s="830">
        <v>3990</v>
      </c>
      <c r="I848" s="1366">
        <f t="shared" si="119"/>
        <v>68.21678919473413</v>
      </c>
      <c r="J848" s="1445"/>
      <c r="K848" s="1390"/>
      <c r="L848" s="1369"/>
      <c r="M848" s="1390"/>
      <c r="N848" s="1390"/>
      <c r="O848" s="1395"/>
      <c r="P848" s="1390"/>
      <c r="Q848" s="1390"/>
      <c r="R848" s="1454"/>
    </row>
    <row r="849" spans="1:18" ht="24" customHeight="1">
      <c r="A849" s="1443">
        <v>4110</v>
      </c>
      <c r="B849" s="1669" t="s">
        <v>686</v>
      </c>
      <c r="C849" s="1389">
        <v>12552</v>
      </c>
      <c r="D849" s="830">
        <f t="shared" si="118"/>
        <v>12552</v>
      </c>
      <c r="E849" s="1390">
        <f aca="true" t="shared" si="120" ref="E849:E859">SUM(H849+K849+N849+Q849)</f>
        <v>4478</v>
      </c>
      <c r="F849" s="1682">
        <f t="shared" si="112"/>
        <v>35.675589547482474</v>
      </c>
      <c r="G849" s="1389">
        <v>12552</v>
      </c>
      <c r="H849" s="830">
        <v>4478</v>
      </c>
      <c r="I849" s="1366">
        <f t="shared" si="119"/>
        <v>35.675589547482474</v>
      </c>
      <c r="J849" s="1445"/>
      <c r="K849" s="1390"/>
      <c r="L849" s="1369"/>
      <c r="M849" s="1390"/>
      <c r="N849" s="1390"/>
      <c r="O849" s="1395"/>
      <c r="P849" s="1390"/>
      <c r="Q849" s="1390"/>
      <c r="R849" s="1454"/>
    </row>
    <row r="850" spans="1:18" ht="11.25" customHeight="1">
      <c r="A850" s="1443">
        <v>4120</v>
      </c>
      <c r="B850" s="1669" t="s">
        <v>781</v>
      </c>
      <c r="C850" s="1389">
        <v>1735</v>
      </c>
      <c r="D850" s="830">
        <f t="shared" si="118"/>
        <v>1735</v>
      </c>
      <c r="E850" s="1390">
        <f t="shared" si="120"/>
        <v>619</v>
      </c>
      <c r="F850" s="1682">
        <f t="shared" si="112"/>
        <v>35.67723342939481</v>
      </c>
      <c r="G850" s="1389">
        <v>1735</v>
      </c>
      <c r="H850" s="830">
        <v>619</v>
      </c>
      <c r="I850" s="1366">
        <f t="shared" si="119"/>
        <v>35.67723342939481</v>
      </c>
      <c r="J850" s="1445"/>
      <c r="K850" s="1390"/>
      <c r="L850" s="1369"/>
      <c r="M850" s="1390"/>
      <c r="N850" s="1390"/>
      <c r="O850" s="1395"/>
      <c r="P850" s="1390"/>
      <c r="Q850" s="1390"/>
      <c r="R850" s="1454"/>
    </row>
    <row r="851" spans="1:18" ht="24">
      <c r="A851" s="1443">
        <v>4210</v>
      </c>
      <c r="B851" s="1669" t="s">
        <v>690</v>
      </c>
      <c r="C851" s="1389">
        <v>5500</v>
      </c>
      <c r="D851" s="830">
        <f t="shared" si="118"/>
        <v>5500</v>
      </c>
      <c r="E851" s="1390">
        <f t="shared" si="120"/>
        <v>897</v>
      </c>
      <c r="F851" s="1682">
        <f t="shared" si="112"/>
        <v>16.30909090909091</v>
      </c>
      <c r="G851" s="1389">
        <v>5500</v>
      </c>
      <c r="H851" s="830">
        <v>897</v>
      </c>
      <c r="I851" s="1366">
        <f t="shared" si="119"/>
        <v>16.30909090909091</v>
      </c>
      <c r="J851" s="1445"/>
      <c r="K851" s="1390"/>
      <c r="L851" s="1369"/>
      <c r="M851" s="1390"/>
      <c r="N851" s="1390"/>
      <c r="O851" s="1395"/>
      <c r="P851" s="1390"/>
      <c r="Q851" s="1390"/>
      <c r="R851" s="1454"/>
    </row>
    <row r="852" spans="1:18" ht="24">
      <c r="A852" s="1443">
        <v>4230</v>
      </c>
      <c r="B852" s="1669" t="s">
        <v>692</v>
      </c>
      <c r="C852" s="1389">
        <v>200</v>
      </c>
      <c r="D852" s="830">
        <f t="shared" si="118"/>
        <v>200</v>
      </c>
      <c r="E852" s="1390">
        <f t="shared" si="120"/>
        <v>0</v>
      </c>
      <c r="F852" s="1682">
        <f t="shared" si="112"/>
        <v>0</v>
      </c>
      <c r="G852" s="1389">
        <v>200</v>
      </c>
      <c r="H852" s="830"/>
      <c r="I852" s="1366">
        <f t="shared" si="119"/>
        <v>0</v>
      </c>
      <c r="J852" s="1445"/>
      <c r="K852" s="1390"/>
      <c r="L852" s="1369"/>
      <c r="M852" s="1390"/>
      <c r="N852" s="1390"/>
      <c r="O852" s="1395"/>
      <c r="P852" s="1390"/>
      <c r="Q852" s="1390"/>
      <c r="R852" s="1454"/>
    </row>
    <row r="853" spans="1:18" ht="12.75">
      <c r="A853" s="1443">
        <v>4260</v>
      </c>
      <c r="B853" s="1669" t="s">
        <v>694</v>
      </c>
      <c r="C853" s="1389">
        <v>15100</v>
      </c>
      <c r="D853" s="830">
        <f t="shared" si="118"/>
        <v>15100</v>
      </c>
      <c r="E853" s="1390">
        <f t="shared" si="120"/>
        <v>7611</v>
      </c>
      <c r="F853" s="1682">
        <f t="shared" si="112"/>
        <v>50.40397350993378</v>
      </c>
      <c r="G853" s="1389">
        <v>15100</v>
      </c>
      <c r="H853" s="830">
        <v>7611</v>
      </c>
      <c r="I853" s="1366">
        <f t="shared" si="119"/>
        <v>50.40397350993378</v>
      </c>
      <c r="J853" s="1445"/>
      <c r="K853" s="1390"/>
      <c r="L853" s="1369"/>
      <c r="M853" s="1390"/>
      <c r="N853" s="1390"/>
      <c r="O853" s="1395"/>
      <c r="P853" s="1390"/>
      <c r="Q853" s="1390"/>
      <c r="R853" s="1454"/>
    </row>
    <row r="854" spans="1:18" ht="12.75" hidden="1">
      <c r="A854" s="1443">
        <v>4270</v>
      </c>
      <c r="B854" s="1669" t="s">
        <v>696</v>
      </c>
      <c r="C854" s="1389"/>
      <c r="D854" s="830">
        <f t="shared" si="118"/>
        <v>0</v>
      </c>
      <c r="E854" s="1390">
        <f t="shared" si="120"/>
        <v>0</v>
      </c>
      <c r="F854" s="1682" t="e">
        <f t="shared" si="112"/>
        <v>#DIV/0!</v>
      </c>
      <c r="G854" s="1389"/>
      <c r="H854" s="830"/>
      <c r="I854" s="1366" t="e">
        <f t="shared" si="119"/>
        <v>#DIV/0!</v>
      </c>
      <c r="J854" s="1445"/>
      <c r="K854" s="1390"/>
      <c r="L854" s="1369"/>
      <c r="M854" s="1390"/>
      <c r="N854" s="1390"/>
      <c r="O854" s="1395"/>
      <c r="P854" s="1390"/>
      <c r="Q854" s="1390"/>
      <c r="R854" s="1454"/>
    </row>
    <row r="855" spans="1:18" ht="12.75" customHeight="1">
      <c r="A855" s="1443">
        <v>4300</v>
      </c>
      <c r="B855" s="1669" t="s">
        <v>698</v>
      </c>
      <c r="C855" s="1389">
        <v>56916</v>
      </c>
      <c r="D855" s="830">
        <f t="shared" si="118"/>
        <v>56916</v>
      </c>
      <c r="E855" s="1390">
        <f t="shared" si="120"/>
        <v>22390</v>
      </c>
      <c r="F855" s="1682">
        <f t="shared" si="112"/>
        <v>39.33867453791552</v>
      </c>
      <c r="G855" s="1389">
        <v>56916</v>
      </c>
      <c r="H855" s="830">
        <v>22390</v>
      </c>
      <c r="I855" s="1366">
        <f t="shared" si="119"/>
        <v>39.33867453791552</v>
      </c>
      <c r="J855" s="1445"/>
      <c r="K855" s="1390"/>
      <c r="L855" s="1369"/>
      <c r="M855" s="1390"/>
      <c r="N855" s="1390"/>
      <c r="O855" s="1395"/>
      <c r="P855" s="1390"/>
      <c r="Q855" s="1390"/>
      <c r="R855" s="1454"/>
    </row>
    <row r="856" spans="1:18" ht="12.75" customHeight="1">
      <c r="A856" s="1443">
        <v>4410</v>
      </c>
      <c r="B856" s="1669" t="s">
        <v>672</v>
      </c>
      <c r="C856" s="1389">
        <v>150</v>
      </c>
      <c r="D856" s="830">
        <f t="shared" si="118"/>
        <v>150</v>
      </c>
      <c r="E856" s="1390">
        <f t="shared" si="120"/>
        <v>0</v>
      </c>
      <c r="F856" s="1682">
        <f t="shared" si="112"/>
        <v>0</v>
      </c>
      <c r="G856" s="1389">
        <v>150</v>
      </c>
      <c r="H856" s="830"/>
      <c r="I856" s="1366">
        <f t="shared" si="119"/>
        <v>0</v>
      </c>
      <c r="J856" s="1445"/>
      <c r="K856" s="1390"/>
      <c r="L856" s="1369"/>
      <c r="M856" s="1390"/>
      <c r="N856" s="1390"/>
      <c r="O856" s="1395"/>
      <c r="P856" s="1390"/>
      <c r="Q856" s="1390"/>
      <c r="R856" s="1454"/>
    </row>
    <row r="857" spans="1:18" ht="12.75" customHeight="1">
      <c r="A857" s="1443">
        <v>4430</v>
      </c>
      <c r="B857" s="1669" t="s">
        <v>700</v>
      </c>
      <c r="C857" s="1389">
        <v>100</v>
      </c>
      <c r="D857" s="830">
        <f t="shared" si="118"/>
        <v>100</v>
      </c>
      <c r="E857" s="1390">
        <f t="shared" si="120"/>
        <v>0</v>
      </c>
      <c r="F857" s="1682">
        <f t="shared" si="112"/>
        <v>0</v>
      </c>
      <c r="G857" s="1389">
        <v>100</v>
      </c>
      <c r="H857" s="830"/>
      <c r="I857" s="1366">
        <f t="shared" si="119"/>
        <v>0</v>
      </c>
      <c r="J857" s="1445"/>
      <c r="K857" s="1390"/>
      <c r="L857" s="1369"/>
      <c r="M857" s="1390"/>
      <c r="N857" s="1390"/>
      <c r="O857" s="1395"/>
      <c r="P857" s="1390"/>
      <c r="Q857" s="1390"/>
      <c r="R857" s="1454"/>
    </row>
    <row r="858" spans="1:18" ht="12.75" customHeight="1">
      <c r="A858" s="1443">
        <v>4480</v>
      </c>
      <c r="B858" s="1669" t="s">
        <v>198</v>
      </c>
      <c r="C858" s="1389">
        <v>1260</v>
      </c>
      <c r="D858" s="830">
        <f t="shared" si="118"/>
        <v>1260</v>
      </c>
      <c r="E858" s="1390">
        <f>SUM(H858+K858+N858+Q858)</f>
        <v>645</v>
      </c>
      <c r="F858" s="1682">
        <f>E858/D858*100</f>
        <v>51.19047619047619</v>
      </c>
      <c r="G858" s="1389">
        <v>1260</v>
      </c>
      <c r="H858" s="830">
        <v>645</v>
      </c>
      <c r="I858" s="1366">
        <f t="shared" si="119"/>
        <v>51.19047619047619</v>
      </c>
      <c r="J858" s="1445"/>
      <c r="K858" s="1390"/>
      <c r="L858" s="1369"/>
      <c r="M858" s="1390"/>
      <c r="N858" s="1390"/>
      <c r="O858" s="1395"/>
      <c r="P858" s="1390"/>
      <c r="Q858" s="1390"/>
      <c r="R858" s="1454"/>
    </row>
    <row r="859" spans="1:18" s="1435" customFormat="1" ht="12.75" customHeight="1">
      <c r="A859" s="1492">
        <v>4440</v>
      </c>
      <c r="B859" s="1670" t="s">
        <v>702</v>
      </c>
      <c r="C859" s="1494">
        <v>2063</v>
      </c>
      <c r="D859" s="862">
        <f t="shared" si="118"/>
        <v>2063</v>
      </c>
      <c r="E859" s="1487">
        <f t="shared" si="120"/>
        <v>2063</v>
      </c>
      <c r="F859" s="1691">
        <f t="shared" si="112"/>
        <v>100</v>
      </c>
      <c r="G859" s="1494">
        <v>2063</v>
      </c>
      <c r="H859" s="862">
        <v>2063</v>
      </c>
      <c r="I859" s="1419">
        <f t="shared" si="119"/>
        <v>100</v>
      </c>
      <c r="J859" s="1495"/>
      <c r="K859" s="1487"/>
      <c r="L859" s="1439"/>
      <c r="M859" s="1487"/>
      <c r="N859" s="1487"/>
      <c r="O859" s="1420"/>
      <c r="P859" s="1487"/>
      <c r="Q859" s="1487"/>
      <c r="R859" s="1539"/>
    </row>
    <row r="860" spans="1:18" s="1435" customFormat="1" ht="25.5" customHeight="1">
      <c r="A860" s="1492"/>
      <c r="B860" s="1713" t="s">
        <v>20</v>
      </c>
      <c r="C860" s="1438">
        <f>SUM(C861:C871)</f>
        <v>338945</v>
      </c>
      <c r="D860" s="845">
        <f t="shared" si="118"/>
        <v>367696</v>
      </c>
      <c r="E860" s="1380">
        <f t="shared" si="118"/>
        <v>219288</v>
      </c>
      <c r="F860" s="1671">
        <f t="shared" si="112"/>
        <v>59.638396936599804</v>
      </c>
      <c r="G860" s="823">
        <f>SUM(G861:G871)</f>
        <v>367696</v>
      </c>
      <c r="H860" s="821">
        <f>SUM(H861:H871)</f>
        <v>219288</v>
      </c>
      <c r="I860" s="1381">
        <f t="shared" si="119"/>
        <v>59.638396936599804</v>
      </c>
      <c r="J860" s="1537"/>
      <c r="K860" s="1536"/>
      <c r="L860" s="1441"/>
      <c r="M860" s="1380"/>
      <c r="N860" s="1380"/>
      <c r="O860" s="1442"/>
      <c r="P860" s="1536"/>
      <c r="Q860" s="1536"/>
      <c r="R860" s="1539"/>
    </row>
    <row r="861" spans="1:18" s="1435" customFormat="1" ht="26.25" customHeight="1">
      <c r="A861" s="1443">
        <v>4010</v>
      </c>
      <c r="B861" s="1669" t="s">
        <v>680</v>
      </c>
      <c r="C861" s="1389">
        <v>204638</v>
      </c>
      <c r="D861" s="830">
        <f t="shared" si="118"/>
        <v>204638</v>
      </c>
      <c r="E861" s="1390">
        <f aca="true" t="shared" si="121" ref="E861:E887">SUM(H861+K861+N861+Q861)</f>
        <v>111155</v>
      </c>
      <c r="F861" s="1682">
        <f t="shared" si="112"/>
        <v>54.3178686265503</v>
      </c>
      <c r="G861" s="1389">
        <v>204638</v>
      </c>
      <c r="H861" s="830">
        <v>111155</v>
      </c>
      <c r="I861" s="1366">
        <f t="shared" si="119"/>
        <v>54.3178686265503</v>
      </c>
      <c r="J861" s="1445"/>
      <c r="K861" s="1390"/>
      <c r="L861" s="1446"/>
      <c r="M861" s="1390"/>
      <c r="N861" s="1390"/>
      <c r="O861" s="1447"/>
      <c r="P861" s="1390"/>
      <c r="Q861" s="1390"/>
      <c r="R861" s="1454"/>
    </row>
    <row r="862" spans="1:18" s="1435" customFormat="1" ht="23.25" customHeight="1">
      <c r="A862" s="1443">
        <v>4040</v>
      </c>
      <c r="B862" s="1669" t="s">
        <v>740</v>
      </c>
      <c r="C862" s="1389">
        <v>14646</v>
      </c>
      <c r="D862" s="830">
        <f t="shared" si="118"/>
        <v>15641</v>
      </c>
      <c r="E862" s="1390">
        <f t="shared" si="121"/>
        <v>14651</v>
      </c>
      <c r="F862" s="1682">
        <f t="shared" si="112"/>
        <v>93.67048142701874</v>
      </c>
      <c r="G862" s="1389">
        <f>14646+995</f>
        <v>15641</v>
      </c>
      <c r="H862" s="830">
        <v>14651</v>
      </c>
      <c r="I862" s="1366">
        <f t="shared" si="119"/>
        <v>93.67048142701874</v>
      </c>
      <c r="J862" s="1445"/>
      <c r="K862" s="1390"/>
      <c r="L862" s="1446"/>
      <c r="M862" s="1390"/>
      <c r="N862" s="1390"/>
      <c r="O862" s="1447"/>
      <c r="P862" s="1390"/>
      <c r="Q862" s="1390"/>
      <c r="R862" s="1454"/>
    </row>
    <row r="863" spans="1:18" s="1435" customFormat="1" ht="25.5" customHeight="1">
      <c r="A863" s="1443">
        <v>4110</v>
      </c>
      <c r="B863" s="1669" t="s">
        <v>686</v>
      </c>
      <c r="C863" s="1389">
        <v>38879</v>
      </c>
      <c r="D863" s="830">
        <f t="shared" si="118"/>
        <v>37884</v>
      </c>
      <c r="E863" s="1390">
        <f t="shared" si="121"/>
        <v>16513</v>
      </c>
      <c r="F863" s="1682">
        <f t="shared" si="112"/>
        <v>43.58832224685884</v>
      </c>
      <c r="G863" s="1389">
        <f>38879-995</f>
        <v>37884</v>
      </c>
      <c r="H863" s="830">
        <v>16513</v>
      </c>
      <c r="I863" s="1366">
        <f t="shared" si="119"/>
        <v>43.58832224685884</v>
      </c>
      <c r="J863" s="1445"/>
      <c r="K863" s="1390"/>
      <c r="L863" s="1446"/>
      <c r="M863" s="1390"/>
      <c r="N863" s="1390"/>
      <c r="O863" s="1447"/>
      <c r="P863" s="1390"/>
      <c r="Q863" s="1390"/>
      <c r="R863" s="1454"/>
    </row>
    <row r="864" spans="1:18" s="1435" customFormat="1" ht="12.75">
      <c r="A864" s="1443">
        <v>4120</v>
      </c>
      <c r="B864" s="1669" t="s">
        <v>781</v>
      </c>
      <c r="C864" s="1389">
        <v>5372</v>
      </c>
      <c r="D864" s="830">
        <f t="shared" si="118"/>
        <v>5372</v>
      </c>
      <c r="E864" s="1390">
        <f t="shared" si="121"/>
        <v>2282</v>
      </c>
      <c r="F864" s="1682">
        <f t="shared" si="112"/>
        <v>42.479523454951604</v>
      </c>
      <c r="G864" s="1389">
        <v>5372</v>
      </c>
      <c r="H864" s="830">
        <v>2282</v>
      </c>
      <c r="I864" s="1366">
        <f t="shared" si="119"/>
        <v>42.479523454951604</v>
      </c>
      <c r="J864" s="1445"/>
      <c r="K864" s="1390"/>
      <c r="L864" s="1446"/>
      <c r="M864" s="1390"/>
      <c r="N864" s="1390"/>
      <c r="O864" s="1447"/>
      <c r="P864" s="1390"/>
      <c r="Q864" s="1390"/>
      <c r="R864" s="1454"/>
    </row>
    <row r="865" spans="1:18" s="1435" customFormat="1" ht="23.25" customHeight="1">
      <c r="A865" s="1443">
        <v>4210</v>
      </c>
      <c r="B865" s="1669" t="s">
        <v>690</v>
      </c>
      <c r="C865" s="1389">
        <v>19000</v>
      </c>
      <c r="D865" s="830">
        <f t="shared" si="118"/>
        <v>14000</v>
      </c>
      <c r="E865" s="1390">
        <f t="shared" si="121"/>
        <v>1170</v>
      </c>
      <c r="F865" s="1682">
        <f t="shared" si="112"/>
        <v>8.357142857142858</v>
      </c>
      <c r="G865" s="1389">
        <f>19000-5000</f>
        <v>14000</v>
      </c>
      <c r="H865" s="830">
        <v>1170</v>
      </c>
      <c r="I865" s="1366">
        <f t="shared" si="119"/>
        <v>8.357142857142858</v>
      </c>
      <c r="J865" s="1445"/>
      <c r="K865" s="1390"/>
      <c r="L865" s="1446"/>
      <c r="M865" s="1390"/>
      <c r="N865" s="1390"/>
      <c r="O865" s="1447"/>
      <c r="P865" s="1390"/>
      <c r="Q865" s="1390"/>
      <c r="R865" s="1454"/>
    </row>
    <row r="866" spans="1:18" s="1435" customFormat="1" ht="12.75">
      <c r="A866" s="1443">
        <v>4260</v>
      </c>
      <c r="B866" s="1669" t="s">
        <v>694</v>
      </c>
      <c r="C866" s="1389">
        <v>30450</v>
      </c>
      <c r="D866" s="830">
        <f t="shared" si="118"/>
        <v>59201</v>
      </c>
      <c r="E866" s="1390">
        <f t="shared" si="121"/>
        <v>50652</v>
      </c>
      <c r="F866" s="1682">
        <f t="shared" si="112"/>
        <v>85.55936555125759</v>
      </c>
      <c r="G866" s="1389">
        <f>30450+28751</f>
        <v>59201</v>
      </c>
      <c r="H866" s="830">
        <v>50652</v>
      </c>
      <c r="I866" s="1366">
        <f t="shared" si="119"/>
        <v>85.55936555125759</v>
      </c>
      <c r="J866" s="1445"/>
      <c r="K866" s="1390"/>
      <c r="L866" s="1446"/>
      <c r="M866" s="1390"/>
      <c r="N866" s="1390"/>
      <c r="O866" s="1447"/>
      <c r="P866" s="1390"/>
      <c r="Q866" s="1390"/>
      <c r="R866" s="1454"/>
    </row>
    <row r="867" spans="1:18" s="1435" customFormat="1" ht="14.25" customHeight="1">
      <c r="A867" s="1443">
        <v>4270</v>
      </c>
      <c r="B867" s="1669" t="s">
        <v>696</v>
      </c>
      <c r="C867" s="1389">
        <v>7000</v>
      </c>
      <c r="D867" s="830">
        <f aca="true" t="shared" si="122" ref="D867:E902">G867+J867+P867+M867</f>
        <v>7000</v>
      </c>
      <c r="E867" s="1390">
        <f t="shared" si="121"/>
        <v>0</v>
      </c>
      <c r="F867" s="1682">
        <f t="shared" si="112"/>
        <v>0</v>
      </c>
      <c r="G867" s="1389">
        <v>7000</v>
      </c>
      <c r="H867" s="830"/>
      <c r="I867" s="1366">
        <f t="shared" si="119"/>
        <v>0</v>
      </c>
      <c r="J867" s="1445"/>
      <c r="K867" s="1390"/>
      <c r="L867" s="1446"/>
      <c r="M867" s="1390"/>
      <c r="N867" s="1390"/>
      <c r="O867" s="1447"/>
      <c r="P867" s="1390"/>
      <c r="Q867" s="1390"/>
      <c r="R867" s="1454"/>
    </row>
    <row r="868" spans="1:18" s="1435" customFormat="1" ht="14.25" customHeight="1">
      <c r="A868" s="1443">
        <v>4300</v>
      </c>
      <c r="B868" s="1669" t="s">
        <v>746</v>
      </c>
      <c r="C868" s="1389">
        <v>10700</v>
      </c>
      <c r="D868" s="830">
        <f t="shared" si="122"/>
        <v>15700</v>
      </c>
      <c r="E868" s="1390">
        <f t="shared" si="121"/>
        <v>15601</v>
      </c>
      <c r="F868" s="1682">
        <f t="shared" si="112"/>
        <v>99.36942675159236</v>
      </c>
      <c r="G868" s="1389">
        <f>10700+5000</f>
        <v>15700</v>
      </c>
      <c r="H868" s="830">
        <f>15600+1</f>
        <v>15601</v>
      </c>
      <c r="I868" s="1366">
        <f t="shared" si="119"/>
        <v>99.36942675159236</v>
      </c>
      <c r="J868" s="1445"/>
      <c r="K868" s="1390"/>
      <c r="L868" s="1446"/>
      <c r="M868" s="1390"/>
      <c r="N868" s="1390"/>
      <c r="O868" s="1447"/>
      <c r="P868" s="1390"/>
      <c r="Q868" s="1390"/>
      <c r="R868" s="1454"/>
    </row>
    <row r="869" spans="1:18" s="1435" customFormat="1" ht="15.75" customHeight="1">
      <c r="A869" s="1443">
        <v>4410</v>
      </c>
      <c r="B869" s="1669" t="s">
        <v>672</v>
      </c>
      <c r="C869" s="1389">
        <v>400</v>
      </c>
      <c r="D869" s="830">
        <f t="shared" si="122"/>
        <v>400</v>
      </c>
      <c r="E869" s="1390">
        <f t="shared" si="121"/>
        <v>380</v>
      </c>
      <c r="F869" s="1682">
        <f t="shared" si="112"/>
        <v>95</v>
      </c>
      <c r="G869" s="1389">
        <v>400</v>
      </c>
      <c r="H869" s="830">
        <v>380</v>
      </c>
      <c r="I869" s="1366">
        <f t="shared" si="119"/>
        <v>95</v>
      </c>
      <c r="J869" s="1445"/>
      <c r="K869" s="1390"/>
      <c r="L869" s="1446"/>
      <c r="M869" s="1390"/>
      <c r="N869" s="1390"/>
      <c r="O869" s="1447"/>
      <c r="P869" s="1390"/>
      <c r="Q869" s="1390"/>
      <c r="R869" s="1454"/>
    </row>
    <row r="870" spans="1:18" s="1435" customFormat="1" ht="15.75" customHeight="1">
      <c r="A870" s="1443">
        <v>4480</v>
      </c>
      <c r="B870" s="1669" t="s">
        <v>198</v>
      </c>
      <c r="C870" s="1389">
        <v>2610</v>
      </c>
      <c r="D870" s="830">
        <f>G870+J870+P870+M870</f>
        <v>2610</v>
      </c>
      <c r="E870" s="1390">
        <f>SUM(H870+K870+N870+Q870)</f>
        <v>1634</v>
      </c>
      <c r="F870" s="1682">
        <f t="shared" si="112"/>
        <v>62.605363984674334</v>
      </c>
      <c r="G870" s="1389">
        <v>2610</v>
      </c>
      <c r="H870" s="830">
        <v>1634</v>
      </c>
      <c r="I870" s="1366">
        <f t="shared" si="119"/>
        <v>62.605363984674334</v>
      </c>
      <c r="J870" s="1445"/>
      <c r="K870" s="1390"/>
      <c r="L870" s="1446"/>
      <c r="M870" s="1390"/>
      <c r="N870" s="1390"/>
      <c r="O870" s="1447"/>
      <c r="P870" s="1390"/>
      <c r="Q870" s="1390"/>
      <c r="R870" s="1454"/>
    </row>
    <row r="871" spans="1:18" s="1435" customFormat="1" ht="14.25" customHeight="1">
      <c r="A871" s="1492">
        <v>4440</v>
      </c>
      <c r="B871" s="1670" t="s">
        <v>702</v>
      </c>
      <c r="C871" s="1494">
        <v>5250</v>
      </c>
      <c r="D871" s="862">
        <f t="shared" si="122"/>
        <v>5250</v>
      </c>
      <c r="E871" s="1487">
        <f t="shared" si="121"/>
        <v>5250</v>
      </c>
      <c r="F871" s="1691">
        <f t="shared" si="112"/>
        <v>100</v>
      </c>
      <c r="G871" s="1494">
        <v>5250</v>
      </c>
      <c r="H871" s="862">
        <v>5250</v>
      </c>
      <c r="I871" s="1419">
        <f t="shared" si="119"/>
        <v>100</v>
      </c>
      <c r="J871" s="1495"/>
      <c r="K871" s="1487"/>
      <c r="L871" s="1551"/>
      <c r="M871" s="1487"/>
      <c r="N871" s="1487"/>
      <c r="O871" s="1498"/>
      <c r="P871" s="1487"/>
      <c r="Q871" s="1487"/>
      <c r="R871" s="1539"/>
    </row>
    <row r="872" spans="1:18" s="1471" customFormat="1" ht="14.25" customHeight="1">
      <c r="A872" s="1552"/>
      <c r="B872" s="1706" t="s">
        <v>21</v>
      </c>
      <c r="C872" s="820">
        <f>SUM(C873:C887)</f>
        <v>204389</v>
      </c>
      <c r="D872" s="821">
        <f t="shared" si="122"/>
        <v>204389</v>
      </c>
      <c r="E872" s="1534">
        <f t="shared" si="121"/>
        <v>104669</v>
      </c>
      <c r="F872" s="1691">
        <f t="shared" si="112"/>
        <v>51.21068159245361</v>
      </c>
      <c r="G872" s="820"/>
      <c r="H872" s="821"/>
      <c r="I872" s="1644"/>
      <c r="J872" s="1554">
        <f>SUM(J873:J887)</f>
        <v>204389</v>
      </c>
      <c r="K872" s="1554">
        <f>SUM(K873:K887)</f>
        <v>104669</v>
      </c>
      <c r="L872" s="1475">
        <f>K872/J872*100</f>
        <v>51.21068159245361</v>
      </c>
      <c r="M872" s="821"/>
      <c r="N872" s="821"/>
      <c r="O872" s="1555"/>
      <c r="P872" s="821"/>
      <c r="Q872" s="821"/>
      <c r="R872" s="1556"/>
    </row>
    <row r="873" spans="1:18" s="1286" customFormat="1" ht="24">
      <c r="A873" s="1443">
        <v>4010</v>
      </c>
      <c r="B873" s="1669" t="s">
        <v>680</v>
      </c>
      <c r="C873" s="832">
        <v>104648</v>
      </c>
      <c r="D873" s="869">
        <f t="shared" si="122"/>
        <v>104648</v>
      </c>
      <c r="E873" s="1407">
        <f t="shared" si="121"/>
        <v>52046</v>
      </c>
      <c r="F873" s="1391">
        <f t="shared" si="112"/>
        <v>49.73434752694748</v>
      </c>
      <c r="G873" s="832"/>
      <c r="H873" s="830"/>
      <c r="I873" s="1366"/>
      <c r="J873" s="832">
        <v>104648</v>
      </c>
      <c r="K873" s="1514">
        <v>52046</v>
      </c>
      <c r="L873" s="1410">
        <f>K873/J873*100</f>
        <v>49.73434752694748</v>
      </c>
      <c r="M873" s="830"/>
      <c r="N873" s="830"/>
      <c r="O873" s="1515"/>
      <c r="P873" s="830"/>
      <c r="Q873" s="830"/>
      <c r="R873" s="834"/>
    </row>
    <row r="874" spans="1:18" s="1286" customFormat="1" ht="24">
      <c r="A874" s="1443">
        <v>4040</v>
      </c>
      <c r="B874" s="1669" t="s">
        <v>740</v>
      </c>
      <c r="C874" s="832">
        <v>9665</v>
      </c>
      <c r="D874" s="830">
        <f t="shared" si="122"/>
        <v>9665</v>
      </c>
      <c r="E874" s="1390">
        <f t="shared" si="121"/>
        <v>9012</v>
      </c>
      <c r="F874" s="1366">
        <f t="shared" si="112"/>
        <v>93.2436627004656</v>
      </c>
      <c r="G874" s="832"/>
      <c r="H874" s="830"/>
      <c r="I874" s="1366"/>
      <c r="J874" s="832">
        <v>9665</v>
      </c>
      <c r="K874" s="1514">
        <f>9012+1-1</f>
        <v>9012</v>
      </c>
      <c r="L874" s="1369">
        <f aca="true" t="shared" si="123" ref="L874:L885">K874/J874*100</f>
        <v>93.2436627004656</v>
      </c>
      <c r="M874" s="830"/>
      <c r="N874" s="830"/>
      <c r="O874" s="1515"/>
      <c r="P874" s="830"/>
      <c r="Q874" s="830"/>
      <c r="R874" s="834"/>
    </row>
    <row r="875" spans="1:18" s="1286" customFormat="1" ht="24">
      <c r="A875" s="1443">
        <v>4110</v>
      </c>
      <c r="B875" s="1669" t="s">
        <v>686</v>
      </c>
      <c r="C875" s="832">
        <v>20268</v>
      </c>
      <c r="D875" s="830">
        <f t="shared" si="122"/>
        <v>20268</v>
      </c>
      <c r="E875" s="1390">
        <f t="shared" si="121"/>
        <v>10712</v>
      </c>
      <c r="F875" s="1366">
        <f t="shared" si="112"/>
        <v>52.85178606670614</v>
      </c>
      <c r="G875" s="832"/>
      <c r="H875" s="830"/>
      <c r="I875" s="1366"/>
      <c r="J875" s="832">
        <v>20268</v>
      </c>
      <c r="K875" s="1514">
        <v>10712</v>
      </c>
      <c r="L875" s="1369">
        <f t="shared" si="123"/>
        <v>52.85178606670614</v>
      </c>
      <c r="M875" s="830"/>
      <c r="N875" s="830"/>
      <c r="O875" s="1515"/>
      <c r="P875" s="830"/>
      <c r="Q875" s="830"/>
      <c r="R875" s="834"/>
    </row>
    <row r="876" spans="1:18" s="1286" customFormat="1" ht="14.25" customHeight="1">
      <c r="A876" s="1443">
        <v>4120</v>
      </c>
      <c r="B876" s="1669" t="s">
        <v>781</v>
      </c>
      <c r="C876" s="832">
        <v>2801</v>
      </c>
      <c r="D876" s="830">
        <f t="shared" si="122"/>
        <v>2801</v>
      </c>
      <c r="E876" s="1390">
        <f t="shared" si="121"/>
        <v>1480</v>
      </c>
      <c r="F876" s="1366">
        <f>E876/D876*100</f>
        <v>52.83827204569796</v>
      </c>
      <c r="G876" s="832"/>
      <c r="H876" s="830"/>
      <c r="I876" s="1366"/>
      <c r="J876" s="832">
        <v>2801</v>
      </c>
      <c r="K876" s="1514">
        <v>1480</v>
      </c>
      <c r="L876" s="1369">
        <f t="shared" si="123"/>
        <v>52.83827204569796</v>
      </c>
      <c r="M876" s="830"/>
      <c r="N876" s="830"/>
      <c r="O876" s="1515"/>
      <c r="P876" s="830"/>
      <c r="Q876" s="830"/>
      <c r="R876" s="834"/>
    </row>
    <row r="877" spans="1:18" s="1286" customFormat="1" ht="24" hidden="1">
      <c r="A877" s="1443">
        <v>4170</v>
      </c>
      <c r="B877" s="1669" t="s">
        <v>744</v>
      </c>
      <c r="C877" s="832"/>
      <c r="D877" s="830">
        <f t="shared" si="122"/>
        <v>0</v>
      </c>
      <c r="E877" s="1390">
        <f>SUM(H877+K877+N877+Q877)</f>
        <v>0</v>
      </c>
      <c r="F877" s="1366" t="e">
        <f>E877/D877*100</f>
        <v>#DIV/0!</v>
      </c>
      <c r="G877" s="832"/>
      <c r="H877" s="830"/>
      <c r="I877" s="1366"/>
      <c r="J877" s="832">
        <f>4400-4400</f>
        <v>0</v>
      </c>
      <c r="K877" s="1514"/>
      <c r="L877" s="1369" t="e">
        <f t="shared" si="123"/>
        <v>#DIV/0!</v>
      </c>
      <c r="M877" s="830"/>
      <c r="N877" s="830"/>
      <c r="O877" s="1515"/>
      <c r="P877" s="830"/>
      <c r="Q877" s="830"/>
      <c r="R877" s="834"/>
    </row>
    <row r="878" spans="1:18" s="1286" customFormat="1" ht="24">
      <c r="A878" s="1443">
        <v>4210</v>
      </c>
      <c r="B878" s="1669" t="s">
        <v>690</v>
      </c>
      <c r="C878" s="832">
        <v>7800</v>
      </c>
      <c r="D878" s="830">
        <f t="shared" si="122"/>
        <v>7800</v>
      </c>
      <c r="E878" s="1390">
        <f t="shared" si="121"/>
        <v>1407</v>
      </c>
      <c r="F878" s="1366">
        <f aca="true" t="shared" si="124" ref="F878:F910">E878/D878*100</f>
        <v>18.03846153846154</v>
      </c>
      <c r="G878" s="832"/>
      <c r="H878" s="830"/>
      <c r="I878" s="1366"/>
      <c r="J878" s="832">
        <f>7800-4400+4400</f>
        <v>7800</v>
      </c>
      <c r="K878" s="1514">
        <v>1407</v>
      </c>
      <c r="L878" s="1369">
        <f t="shared" si="123"/>
        <v>18.03846153846154</v>
      </c>
      <c r="M878" s="830"/>
      <c r="N878" s="830"/>
      <c r="O878" s="1515"/>
      <c r="P878" s="830"/>
      <c r="Q878" s="830"/>
      <c r="R878" s="834"/>
    </row>
    <row r="879" spans="1:18" s="1286" customFormat="1" ht="12.75">
      <c r="A879" s="1443">
        <v>4220</v>
      </c>
      <c r="B879" s="1669" t="s">
        <v>838</v>
      </c>
      <c r="C879" s="832">
        <v>9450</v>
      </c>
      <c r="D879" s="830">
        <f t="shared" si="122"/>
        <v>9450</v>
      </c>
      <c r="E879" s="1390">
        <f t="shared" si="121"/>
        <v>3772</v>
      </c>
      <c r="F879" s="1366">
        <f t="shared" si="124"/>
        <v>39.91534391534392</v>
      </c>
      <c r="G879" s="832"/>
      <c r="H879" s="830"/>
      <c r="I879" s="1366"/>
      <c r="J879" s="832">
        <v>9450</v>
      </c>
      <c r="K879" s="1514">
        <v>3772</v>
      </c>
      <c r="L879" s="1369">
        <f t="shared" si="123"/>
        <v>39.91534391534392</v>
      </c>
      <c r="M879" s="830"/>
      <c r="N879" s="830"/>
      <c r="O879" s="1515"/>
      <c r="P879" s="830"/>
      <c r="Q879" s="830"/>
      <c r="R879" s="834"/>
    </row>
    <row r="880" spans="1:18" s="1286" customFormat="1" ht="24">
      <c r="A880" s="1443">
        <v>4230</v>
      </c>
      <c r="B880" s="1669" t="s">
        <v>692</v>
      </c>
      <c r="C880" s="832">
        <v>200</v>
      </c>
      <c r="D880" s="830">
        <f t="shared" si="122"/>
        <v>200</v>
      </c>
      <c r="E880" s="1390">
        <f t="shared" si="121"/>
        <v>0</v>
      </c>
      <c r="F880" s="1366">
        <f t="shared" si="124"/>
        <v>0</v>
      </c>
      <c r="G880" s="832"/>
      <c r="H880" s="830"/>
      <c r="I880" s="1366"/>
      <c r="J880" s="832">
        <v>200</v>
      </c>
      <c r="K880" s="1514"/>
      <c r="L880" s="1369">
        <f t="shared" si="123"/>
        <v>0</v>
      </c>
      <c r="M880" s="830"/>
      <c r="N880" s="830"/>
      <c r="O880" s="1515"/>
      <c r="P880" s="830"/>
      <c r="Q880" s="830"/>
      <c r="R880" s="834"/>
    </row>
    <row r="881" spans="1:18" s="1286" customFormat="1" ht="14.25" customHeight="1">
      <c r="A881" s="1443">
        <v>4260</v>
      </c>
      <c r="B881" s="1669" t="s">
        <v>694</v>
      </c>
      <c r="C881" s="832">
        <v>12560</v>
      </c>
      <c r="D881" s="830">
        <f t="shared" si="122"/>
        <v>12560</v>
      </c>
      <c r="E881" s="1390">
        <f t="shared" si="121"/>
        <v>5148</v>
      </c>
      <c r="F881" s="1366">
        <f t="shared" si="124"/>
        <v>40.98726114649682</v>
      </c>
      <c r="G881" s="832"/>
      <c r="H881" s="830"/>
      <c r="I881" s="1366"/>
      <c r="J881" s="832">
        <v>12560</v>
      </c>
      <c r="K881" s="1514">
        <v>5148</v>
      </c>
      <c r="L881" s="1369">
        <f t="shared" si="123"/>
        <v>40.98726114649682</v>
      </c>
      <c r="M881" s="830"/>
      <c r="N881" s="830"/>
      <c r="O881" s="1515"/>
      <c r="P881" s="830"/>
      <c r="Q881" s="830"/>
      <c r="R881" s="834"/>
    </row>
    <row r="882" spans="1:18" s="1286" customFormat="1" ht="14.25" customHeight="1" hidden="1">
      <c r="A882" s="1443">
        <v>4270</v>
      </c>
      <c r="B882" s="1669" t="s">
        <v>696</v>
      </c>
      <c r="C882" s="832"/>
      <c r="D882" s="830">
        <f t="shared" si="122"/>
        <v>0</v>
      </c>
      <c r="E882" s="1390">
        <f t="shared" si="121"/>
        <v>0</v>
      </c>
      <c r="F882" s="1366" t="e">
        <f t="shared" si="124"/>
        <v>#DIV/0!</v>
      </c>
      <c r="G882" s="832"/>
      <c r="H882" s="830"/>
      <c r="I882" s="1366"/>
      <c r="J882" s="832"/>
      <c r="K882" s="1514"/>
      <c r="L882" s="1369" t="e">
        <f t="shared" si="123"/>
        <v>#DIV/0!</v>
      </c>
      <c r="M882" s="830"/>
      <c r="N882" s="830"/>
      <c r="O882" s="1515"/>
      <c r="P882" s="830"/>
      <c r="Q882" s="830"/>
      <c r="R882" s="834"/>
    </row>
    <row r="883" spans="1:18" s="1286" customFormat="1" ht="14.25" customHeight="1">
      <c r="A883" s="1443">
        <v>4300</v>
      </c>
      <c r="B883" s="1669" t="s">
        <v>746</v>
      </c>
      <c r="C883" s="832">
        <v>30570</v>
      </c>
      <c r="D883" s="830">
        <f t="shared" si="122"/>
        <v>30570</v>
      </c>
      <c r="E883" s="1390">
        <f t="shared" si="121"/>
        <v>16344</v>
      </c>
      <c r="F883" s="1366">
        <f t="shared" si="124"/>
        <v>53.46418056918547</v>
      </c>
      <c r="G883" s="832"/>
      <c r="H883" s="830"/>
      <c r="I883" s="1366"/>
      <c r="J883" s="832">
        <v>30570</v>
      </c>
      <c r="K883" s="1514">
        <v>16344</v>
      </c>
      <c r="L883" s="1369">
        <f t="shared" si="123"/>
        <v>53.46418056918547</v>
      </c>
      <c r="M883" s="830"/>
      <c r="N883" s="830"/>
      <c r="O883" s="1515"/>
      <c r="P883" s="830"/>
      <c r="Q883" s="830"/>
      <c r="R883" s="834"/>
    </row>
    <row r="884" spans="1:18" s="1286" customFormat="1" ht="14.25" customHeight="1">
      <c r="A884" s="1443">
        <v>4410</v>
      </c>
      <c r="B884" s="1669" t="s">
        <v>672</v>
      </c>
      <c r="C884" s="832">
        <v>300</v>
      </c>
      <c r="D884" s="830">
        <f t="shared" si="122"/>
        <v>300</v>
      </c>
      <c r="E884" s="1390">
        <f t="shared" si="121"/>
        <v>0</v>
      </c>
      <c r="F884" s="1366">
        <f t="shared" si="124"/>
        <v>0</v>
      </c>
      <c r="G884" s="832"/>
      <c r="H884" s="830"/>
      <c r="I884" s="1366"/>
      <c r="J884" s="832">
        <v>300</v>
      </c>
      <c r="K884" s="1514"/>
      <c r="L884" s="1369">
        <f t="shared" si="123"/>
        <v>0</v>
      </c>
      <c r="M884" s="830"/>
      <c r="N884" s="830"/>
      <c r="O884" s="1515"/>
      <c r="P884" s="830"/>
      <c r="Q884" s="830"/>
      <c r="R884" s="834"/>
    </row>
    <row r="885" spans="1:18" s="1286" customFormat="1" ht="14.25" customHeight="1">
      <c r="A885" s="1443">
        <v>4430</v>
      </c>
      <c r="B885" s="1669" t="s">
        <v>700</v>
      </c>
      <c r="C885" s="832">
        <v>400</v>
      </c>
      <c r="D885" s="830">
        <f t="shared" si="122"/>
        <v>400</v>
      </c>
      <c r="E885" s="1390">
        <f t="shared" si="121"/>
        <v>0</v>
      </c>
      <c r="F885" s="1366">
        <f t="shared" si="124"/>
        <v>0</v>
      </c>
      <c r="G885" s="832"/>
      <c r="H885" s="830"/>
      <c r="I885" s="1366"/>
      <c r="J885" s="832">
        <v>400</v>
      </c>
      <c r="K885" s="1514"/>
      <c r="L885" s="1369">
        <f t="shared" si="123"/>
        <v>0</v>
      </c>
      <c r="M885" s="830"/>
      <c r="N885" s="830"/>
      <c r="O885" s="1515"/>
      <c r="P885" s="830"/>
      <c r="Q885" s="830"/>
      <c r="R885" s="834"/>
    </row>
    <row r="886" spans="1:18" s="1286" customFormat="1" ht="13.5" customHeight="1">
      <c r="A886" s="1443">
        <v>4440</v>
      </c>
      <c r="B886" s="1669" t="s">
        <v>702</v>
      </c>
      <c r="C886" s="832">
        <v>3750</v>
      </c>
      <c r="D886" s="830">
        <f t="shared" si="122"/>
        <v>3750</v>
      </c>
      <c r="E886" s="1390">
        <f t="shared" si="121"/>
        <v>3750</v>
      </c>
      <c r="F886" s="1366">
        <f t="shared" si="124"/>
        <v>100</v>
      </c>
      <c r="G886" s="832"/>
      <c r="H886" s="830"/>
      <c r="I886" s="1366"/>
      <c r="J886" s="832">
        <v>3750</v>
      </c>
      <c r="K886" s="1514">
        <v>3750</v>
      </c>
      <c r="L886" s="1369">
        <f>K886/J886*100</f>
        <v>100</v>
      </c>
      <c r="M886" s="830"/>
      <c r="N886" s="830"/>
      <c r="O886" s="1515"/>
      <c r="P886" s="830"/>
      <c r="Q886" s="830"/>
      <c r="R886" s="834"/>
    </row>
    <row r="887" spans="1:18" s="1286" customFormat="1" ht="14.25" customHeight="1">
      <c r="A887" s="1492">
        <v>4480</v>
      </c>
      <c r="B887" s="1670" t="s">
        <v>198</v>
      </c>
      <c r="C887" s="861">
        <v>1977</v>
      </c>
      <c r="D887" s="862">
        <f t="shared" si="122"/>
        <v>1977</v>
      </c>
      <c r="E887" s="1487">
        <f t="shared" si="121"/>
        <v>998</v>
      </c>
      <c r="F887" s="1419">
        <f t="shared" si="124"/>
        <v>50.48052604957005</v>
      </c>
      <c r="G887" s="861"/>
      <c r="H887" s="862"/>
      <c r="I887" s="1419"/>
      <c r="J887" s="861">
        <v>1977</v>
      </c>
      <c r="K887" s="1516">
        <v>998</v>
      </c>
      <c r="L887" s="1439">
        <f>K887/J887*100</f>
        <v>50.48052604957005</v>
      </c>
      <c r="M887" s="862"/>
      <c r="N887" s="862"/>
      <c r="O887" s="1518"/>
      <c r="P887" s="862"/>
      <c r="Q887" s="862"/>
      <c r="R887" s="1519"/>
    </row>
    <row r="888" spans="1:18" s="1471" customFormat="1" ht="24">
      <c r="A888" s="1479"/>
      <c r="B888" s="1710" t="s">
        <v>1277</v>
      </c>
      <c r="C888" s="823">
        <f>SUM(C889:C903)</f>
        <v>249611</v>
      </c>
      <c r="D888" s="845">
        <f t="shared" si="122"/>
        <v>249611</v>
      </c>
      <c r="E888" s="845">
        <f t="shared" si="122"/>
        <v>116567</v>
      </c>
      <c r="F888" s="1671">
        <f t="shared" si="124"/>
        <v>46.69946436655436</v>
      </c>
      <c r="G888" s="823"/>
      <c r="H888" s="845"/>
      <c r="I888" s="1381"/>
      <c r="J888" s="1510">
        <f>SUM(J889:J903)</f>
        <v>249611</v>
      </c>
      <c r="K888" s="1510">
        <f>SUM(K889:K903)</f>
        <v>116567</v>
      </c>
      <c r="L888" s="1475">
        <f>K888/J888*100</f>
        <v>46.69946436655436</v>
      </c>
      <c r="M888" s="845"/>
      <c r="N888" s="845"/>
      <c r="O888" s="1511"/>
      <c r="P888" s="845"/>
      <c r="Q888" s="845"/>
      <c r="R888" s="826"/>
    </row>
    <row r="889" spans="1:18" s="1435" customFormat="1" ht="24.75" customHeight="1">
      <c r="A889" s="1443">
        <v>4010</v>
      </c>
      <c r="B889" s="1669" t="s">
        <v>680</v>
      </c>
      <c r="C889" s="1389">
        <v>120418</v>
      </c>
      <c r="D889" s="830">
        <f t="shared" si="122"/>
        <v>120418</v>
      </c>
      <c r="E889" s="830">
        <f t="shared" si="122"/>
        <v>60741</v>
      </c>
      <c r="F889" s="1682">
        <f t="shared" si="124"/>
        <v>50.44179441611719</v>
      </c>
      <c r="G889" s="832"/>
      <c r="H889" s="830"/>
      <c r="I889" s="1366"/>
      <c r="J889" s="1389">
        <v>120418</v>
      </c>
      <c r="K889" s="1390">
        <v>60741</v>
      </c>
      <c r="L889" s="1369">
        <f aca="true" t="shared" si="125" ref="L889:L903">K889/J889*100</f>
        <v>50.44179441611719</v>
      </c>
      <c r="M889" s="1390"/>
      <c r="N889" s="1390"/>
      <c r="O889" s="1447"/>
      <c r="P889" s="1390"/>
      <c r="Q889" s="1390"/>
      <c r="R889" s="1454"/>
    </row>
    <row r="890" spans="1:18" s="1435" customFormat="1" ht="27" customHeight="1">
      <c r="A890" s="1443">
        <v>4040</v>
      </c>
      <c r="B890" s="1669" t="s">
        <v>740</v>
      </c>
      <c r="C890" s="1389">
        <v>10073</v>
      </c>
      <c r="D890" s="830">
        <f t="shared" si="122"/>
        <v>10395</v>
      </c>
      <c r="E890" s="830">
        <f t="shared" si="122"/>
        <v>9711</v>
      </c>
      <c r="F890" s="1682">
        <f t="shared" si="124"/>
        <v>93.41991341991343</v>
      </c>
      <c r="G890" s="832"/>
      <c r="H890" s="830"/>
      <c r="I890" s="1366"/>
      <c r="J890" s="1389">
        <f>10073+322</f>
        <v>10395</v>
      </c>
      <c r="K890" s="1390">
        <v>9711</v>
      </c>
      <c r="L890" s="1369">
        <f t="shared" si="125"/>
        <v>93.41991341991343</v>
      </c>
      <c r="M890" s="1390"/>
      <c r="N890" s="1390"/>
      <c r="O890" s="1447"/>
      <c r="P890" s="1390"/>
      <c r="Q890" s="1390"/>
      <c r="R890" s="1454"/>
    </row>
    <row r="891" spans="1:18" s="1435" customFormat="1" ht="24" customHeight="1">
      <c r="A891" s="1443">
        <v>4110</v>
      </c>
      <c r="B891" s="1669" t="s">
        <v>686</v>
      </c>
      <c r="C891" s="1389">
        <v>23136</v>
      </c>
      <c r="D891" s="830">
        <f t="shared" si="122"/>
        <v>18414</v>
      </c>
      <c r="E891" s="830">
        <f t="shared" si="122"/>
        <v>12260</v>
      </c>
      <c r="F891" s="1682">
        <f t="shared" si="124"/>
        <v>66.5797762571956</v>
      </c>
      <c r="G891" s="832"/>
      <c r="H891" s="830"/>
      <c r="I891" s="1366"/>
      <c r="J891" s="1389">
        <f>23136-322-4400</f>
        <v>18414</v>
      </c>
      <c r="K891" s="1390">
        <v>12260</v>
      </c>
      <c r="L891" s="1369">
        <f t="shared" si="125"/>
        <v>66.5797762571956</v>
      </c>
      <c r="M891" s="1390"/>
      <c r="N891" s="1390"/>
      <c r="O891" s="1447"/>
      <c r="P891" s="1390"/>
      <c r="Q891" s="1390"/>
      <c r="R891" s="1454"/>
    </row>
    <row r="892" spans="1:18" s="1435" customFormat="1" ht="14.25" customHeight="1">
      <c r="A892" s="1443">
        <v>4120</v>
      </c>
      <c r="B892" s="1669" t="s">
        <v>781</v>
      </c>
      <c r="C892" s="1389">
        <v>3197</v>
      </c>
      <c r="D892" s="830">
        <f t="shared" si="122"/>
        <v>3197</v>
      </c>
      <c r="E892" s="830">
        <f t="shared" si="122"/>
        <v>1694</v>
      </c>
      <c r="F892" s="1682">
        <f t="shared" si="124"/>
        <v>52.98717547700969</v>
      </c>
      <c r="G892" s="832"/>
      <c r="H892" s="830"/>
      <c r="I892" s="1366"/>
      <c r="J892" s="1389">
        <v>3197</v>
      </c>
      <c r="K892" s="1390">
        <v>1694</v>
      </c>
      <c r="L892" s="1369">
        <f t="shared" si="125"/>
        <v>52.98717547700969</v>
      </c>
      <c r="M892" s="1390"/>
      <c r="N892" s="1390"/>
      <c r="O892" s="1447"/>
      <c r="P892" s="1390"/>
      <c r="Q892" s="1390"/>
      <c r="R892" s="1454"/>
    </row>
    <row r="893" spans="1:18" s="1435" customFormat="1" ht="24">
      <c r="A893" s="1443">
        <v>4170</v>
      </c>
      <c r="B893" s="1669" t="s">
        <v>744</v>
      </c>
      <c r="C893" s="1389"/>
      <c r="D893" s="830">
        <f>G893+J893+P893+M893</f>
        <v>4400</v>
      </c>
      <c r="E893" s="830">
        <f>H893+K893+Q893+N893</f>
        <v>0</v>
      </c>
      <c r="F893" s="1682">
        <f>E893/D893*100</f>
        <v>0</v>
      </c>
      <c r="G893" s="832"/>
      <c r="H893" s="830"/>
      <c r="I893" s="1366"/>
      <c r="J893" s="1389">
        <v>4400</v>
      </c>
      <c r="K893" s="1390"/>
      <c r="L893" s="1369">
        <f t="shared" si="125"/>
        <v>0</v>
      </c>
      <c r="M893" s="1390"/>
      <c r="N893" s="1390"/>
      <c r="O893" s="1447"/>
      <c r="P893" s="1390"/>
      <c r="Q893" s="1390"/>
      <c r="R893" s="1454"/>
    </row>
    <row r="894" spans="1:18" s="1435" customFormat="1" ht="24" customHeight="1">
      <c r="A894" s="1443">
        <v>4210</v>
      </c>
      <c r="B894" s="1669" t="s">
        <v>690</v>
      </c>
      <c r="C894" s="1389">
        <v>18352</v>
      </c>
      <c r="D894" s="830">
        <f t="shared" si="122"/>
        <v>18352</v>
      </c>
      <c r="E894" s="830">
        <f t="shared" si="122"/>
        <v>599</v>
      </c>
      <c r="F894" s="1682">
        <f t="shared" si="124"/>
        <v>3.2639494333042722</v>
      </c>
      <c r="G894" s="832"/>
      <c r="H894" s="830"/>
      <c r="I894" s="1366"/>
      <c r="J894" s="1389">
        <v>18352</v>
      </c>
      <c r="K894" s="1390">
        <v>599</v>
      </c>
      <c r="L894" s="1369">
        <f t="shared" si="125"/>
        <v>3.2639494333042722</v>
      </c>
      <c r="M894" s="1390"/>
      <c r="N894" s="1390"/>
      <c r="O894" s="1447"/>
      <c r="P894" s="1390"/>
      <c r="Q894" s="1390"/>
      <c r="R894" s="1454"/>
    </row>
    <row r="895" spans="1:18" s="1435" customFormat="1" ht="12.75">
      <c r="A895" s="1443">
        <v>4220</v>
      </c>
      <c r="B895" s="1669" t="s">
        <v>838</v>
      </c>
      <c r="C895" s="1389">
        <v>9240</v>
      </c>
      <c r="D895" s="830">
        <f t="shared" si="122"/>
        <v>9240</v>
      </c>
      <c r="E895" s="830">
        <f t="shared" si="122"/>
        <v>2311</v>
      </c>
      <c r="F895" s="1682">
        <f t="shared" si="124"/>
        <v>25.01082251082251</v>
      </c>
      <c r="G895" s="832"/>
      <c r="H895" s="830"/>
      <c r="I895" s="1366"/>
      <c r="J895" s="1389">
        <v>9240</v>
      </c>
      <c r="K895" s="1390">
        <v>2311</v>
      </c>
      <c r="L895" s="1369">
        <f t="shared" si="125"/>
        <v>25.01082251082251</v>
      </c>
      <c r="M895" s="1390"/>
      <c r="N895" s="1390"/>
      <c r="O895" s="1447"/>
      <c r="P895" s="1390"/>
      <c r="Q895" s="1390"/>
      <c r="R895" s="1454"/>
    </row>
    <row r="896" spans="1:18" s="1435" customFormat="1" ht="23.25" customHeight="1">
      <c r="A896" s="1443">
        <v>4230</v>
      </c>
      <c r="B896" s="1669" t="s">
        <v>692</v>
      </c>
      <c r="C896" s="1389">
        <v>300</v>
      </c>
      <c r="D896" s="830">
        <f t="shared" si="122"/>
        <v>300</v>
      </c>
      <c r="E896" s="830">
        <f t="shared" si="122"/>
        <v>43</v>
      </c>
      <c r="F896" s="1682">
        <f t="shared" si="124"/>
        <v>14.333333333333334</v>
      </c>
      <c r="G896" s="832"/>
      <c r="H896" s="830"/>
      <c r="I896" s="1366"/>
      <c r="J896" s="1389">
        <v>300</v>
      </c>
      <c r="K896" s="1390">
        <v>43</v>
      </c>
      <c r="L896" s="1369">
        <f t="shared" si="125"/>
        <v>14.333333333333334</v>
      </c>
      <c r="M896" s="1390"/>
      <c r="N896" s="1390"/>
      <c r="O896" s="1447"/>
      <c r="P896" s="1390"/>
      <c r="Q896" s="1390"/>
      <c r="R896" s="1454"/>
    </row>
    <row r="897" spans="1:18" s="1435" customFormat="1" ht="13.5" customHeight="1">
      <c r="A897" s="1443">
        <v>4260</v>
      </c>
      <c r="B897" s="1669" t="s">
        <v>694</v>
      </c>
      <c r="C897" s="1389">
        <v>19691</v>
      </c>
      <c r="D897" s="830">
        <f t="shared" si="122"/>
        <v>19691</v>
      </c>
      <c r="E897" s="830">
        <f t="shared" si="122"/>
        <v>9908</v>
      </c>
      <c r="F897" s="1682">
        <f t="shared" si="124"/>
        <v>50.31740389010208</v>
      </c>
      <c r="G897" s="832"/>
      <c r="H897" s="830"/>
      <c r="I897" s="1366"/>
      <c r="J897" s="1389">
        <v>19691</v>
      </c>
      <c r="K897" s="1390">
        <v>9908</v>
      </c>
      <c r="L897" s="1369">
        <f t="shared" si="125"/>
        <v>50.31740389010208</v>
      </c>
      <c r="M897" s="1390"/>
      <c r="N897" s="1390"/>
      <c r="O897" s="1447"/>
      <c r="P897" s="1390"/>
      <c r="Q897" s="1390"/>
      <c r="R897" s="1454"/>
    </row>
    <row r="898" spans="1:18" s="1435" customFormat="1" ht="13.5" customHeight="1">
      <c r="A898" s="1443">
        <v>4300</v>
      </c>
      <c r="B898" s="1669" t="s">
        <v>746</v>
      </c>
      <c r="C898" s="1389">
        <v>35863</v>
      </c>
      <c r="D898" s="830">
        <f t="shared" si="122"/>
        <v>35863</v>
      </c>
      <c r="E898" s="830">
        <f t="shared" si="122"/>
        <v>14887</v>
      </c>
      <c r="F898" s="1682">
        <f t="shared" si="124"/>
        <v>41.51074924016396</v>
      </c>
      <c r="G898" s="832"/>
      <c r="H898" s="830"/>
      <c r="I898" s="1366"/>
      <c r="J898" s="1389">
        <v>35863</v>
      </c>
      <c r="K898" s="1390">
        <v>14887</v>
      </c>
      <c r="L898" s="1369">
        <f t="shared" si="125"/>
        <v>41.51074924016396</v>
      </c>
      <c r="M898" s="1390"/>
      <c r="N898" s="1390"/>
      <c r="O898" s="1447"/>
      <c r="P898" s="1390"/>
      <c r="Q898" s="1390"/>
      <c r="R898" s="1454"/>
    </row>
    <row r="899" spans="1:18" s="1435" customFormat="1" ht="24">
      <c r="A899" s="1443">
        <v>4350</v>
      </c>
      <c r="B899" s="1669" t="s">
        <v>869</v>
      </c>
      <c r="C899" s="1389">
        <v>1828</v>
      </c>
      <c r="D899" s="830">
        <f t="shared" si="122"/>
        <v>1828</v>
      </c>
      <c r="E899" s="830">
        <f t="shared" si="122"/>
        <v>0</v>
      </c>
      <c r="F899" s="1682">
        <f t="shared" si="124"/>
        <v>0</v>
      </c>
      <c r="G899" s="832"/>
      <c r="H899" s="830"/>
      <c r="I899" s="1366"/>
      <c r="J899" s="1389">
        <v>1828</v>
      </c>
      <c r="K899" s="1390"/>
      <c r="L899" s="1369"/>
      <c r="M899" s="1390"/>
      <c r="N899" s="1390"/>
      <c r="O899" s="1447"/>
      <c r="P899" s="1390"/>
      <c r="Q899" s="1390"/>
      <c r="R899" s="1454"/>
    </row>
    <row r="900" spans="1:18" s="1435" customFormat="1" ht="13.5" customHeight="1">
      <c r="A900" s="1443">
        <v>4410</v>
      </c>
      <c r="B900" s="1669" t="s">
        <v>672</v>
      </c>
      <c r="C900" s="1389">
        <v>2000</v>
      </c>
      <c r="D900" s="830">
        <f>G900+J900+P900+M900</f>
        <v>2000</v>
      </c>
      <c r="E900" s="830">
        <f>H900+K900+Q900+N900</f>
        <v>100</v>
      </c>
      <c r="F900" s="1682">
        <f>E900/D900*100</f>
        <v>5</v>
      </c>
      <c r="G900" s="832"/>
      <c r="H900" s="830"/>
      <c r="I900" s="1366"/>
      <c r="J900" s="1389">
        <v>2000</v>
      </c>
      <c r="K900" s="1390">
        <v>100</v>
      </c>
      <c r="L900" s="1369">
        <f t="shared" si="125"/>
        <v>5</v>
      </c>
      <c r="M900" s="1390"/>
      <c r="N900" s="1390"/>
      <c r="O900" s="1447"/>
      <c r="P900" s="1390"/>
      <c r="Q900" s="1390"/>
      <c r="R900" s="1454"/>
    </row>
    <row r="901" spans="1:18" s="1435" customFormat="1" ht="13.5" customHeight="1">
      <c r="A901" s="1443">
        <v>4430</v>
      </c>
      <c r="B901" s="1669" t="s">
        <v>700</v>
      </c>
      <c r="C901" s="1389">
        <v>1200</v>
      </c>
      <c r="D901" s="830">
        <f t="shared" si="122"/>
        <v>1200</v>
      </c>
      <c r="E901" s="830">
        <f t="shared" si="122"/>
        <v>0</v>
      </c>
      <c r="F901" s="1682">
        <f t="shared" si="124"/>
        <v>0</v>
      </c>
      <c r="G901" s="832"/>
      <c r="H901" s="830"/>
      <c r="I901" s="1366"/>
      <c r="J901" s="1389">
        <v>1200</v>
      </c>
      <c r="K901" s="1390"/>
      <c r="L901" s="1369">
        <f t="shared" si="125"/>
        <v>0</v>
      </c>
      <c r="M901" s="1390"/>
      <c r="N901" s="1390"/>
      <c r="O901" s="1447"/>
      <c r="P901" s="1390"/>
      <c r="Q901" s="1390"/>
      <c r="R901" s="1454"/>
    </row>
    <row r="902" spans="1:18" s="1435" customFormat="1" ht="13.5" customHeight="1">
      <c r="A902" s="1443">
        <v>4440</v>
      </c>
      <c r="B902" s="1669" t="s">
        <v>702</v>
      </c>
      <c r="C902" s="1389">
        <v>4313</v>
      </c>
      <c r="D902" s="830">
        <f t="shared" si="122"/>
        <v>4313</v>
      </c>
      <c r="E902" s="830">
        <f t="shared" si="122"/>
        <v>4313</v>
      </c>
      <c r="F902" s="1682">
        <f t="shared" si="124"/>
        <v>100</v>
      </c>
      <c r="G902" s="832"/>
      <c r="H902" s="830"/>
      <c r="I902" s="1366"/>
      <c r="J902" s="1389">
        <v>4313</v>
      </c>
      <c r="K902" s="1390">
        <v>4313</v>
      </c>
      <c r="L902" s="1369">
        <f t="shared" si="125"/>
        <v>100</v>
      </c>
      <c r="M902" s="1390"/>
      <c r="N902" s="1390"/>
      <c r="O902" s="1447"/>
      <c r="P902" s="1390"/>
      <c r="Q902" s="1390"/>
      <c r="R902" s="1454"/>
    </row>
    <row r="903" spans="1:18" s="1435" customFormat="1" ht="13.5" customHeight="1" hidden="1">
      <c r="A903" s="1492">
        <v>4480</v>
      </c>
      <c r="B903" s="1670" t="s">
        <v>198</v>
      </c>
      <c r="C903" s="1389"/>
      <c r="D903" s="830">
        <f>G903+J903+P903+M903</f>
        <v>0</v>
      </c>
      <c r="E903" s="830">
        <f>H903+K903+Q903+N903</f>
        <v>0</v>
      </c>
      <c r="F903" s="1682" t="e">
        <f>E903/D903*100</f>
        <v>#DIV/0!</v>
      </c>
      <c r="G903" s="861"/>
      <c r="H903" s="862"/>
      <c r="I903" s="1366"/>
      <c r="J903" s="1495"/>
      <c r="K903" s="1487"/>
      <c r="L903" s="1369" t="e">
        <f t="shared" si="125"/>
        <v>#DIV/0!</v>
      </c>
      <c r="M903" s="1487"/>
      <c r="N903" s="1487"/>
      <c r="O903" s="1498"/>
      <c r="P903" s="1487"/>
      <c r="Q903" s="1487"/>
      <c r="R903" s="1539"/>
    </row>
    <row r="904" spans="1:18" s="1435" customFormat="1" ht="15.75" customHeight="1">
      <c r="A904" s="1436">
        <v>85204</v>
      </c>
      <c r="B904" s="1668" t="s">
        <v>22</v>
      </c>
      <c r="C904" s="1438">
        <f>SUM(C905:C911)</f>
        <v>2181000</v>
      </c>
      <c r="D904" s="845">
        <f>G904+J904+P904+M904</f>
        <v>2239700</v>
      </c>
      <c r="E904" s="1380">
        <f>H904+K904+Q904+N904</f>
        <v>1143786</v>
      </c>
      <c r="F904" s="1671">
        <f t="shared" si="124"/>
        <v>51.068714559985715</v>
      </c>
      <c r="G904" s="823"/>
      <c r="H904" s="845"/>
      <c r="I904" s="1692"/>
      <c r="J904" s="1440"/>
      <c r="K904" s="1380"/>
      <c r="L904" s="1441"/>
      <c r="M904" s="1380">
        <f>SUM(M905:M911)</f>
        <v>2239700</v>
      </c>
      <c r="N904" s="1380">
        <f>SUM(N905:N911)</f>
        <v>1143786</v>
      </c>
      <c r="O904" s="1388">
        <f>N904/M904*100</f>
        <v>51.068714559985715</v>
      </c>
      <c r="P904" s="1380"/>
      <c r="Q904" s="1380"/>
      <c r="R904" s="1478"/>
    </row>
    <row r="905" spans="1:18" s="1286" customFormat="1" ht="60">
      <c r="A905" s="1512">
        <v>2320</v>
      </c>
      <c r="B905" s="1698" t="s">
        <v>779</v>
      </c>
      <c r="C905" s="832">
        <v>30000</v>
      </c>
      <c r="D905" s="830">
        <f aca="true" t="shared" si="126" ref="D905:E928">G905+J905+P905+M905</f>
        <v>90000</v>
      </c>
      <c r="E905" s="1390">
        <f aca="true" t="shared" si="127" ref="E905:E927">SUM(H905+K905+N905+Q905)</f>
        <v>56142</v>
      </c>
      <c r="F905" s="1682">
        <f t="shared" si="124"/>
        <v>62.38</v>
      </c>
      <c r="G905" s="832"/>
      <c r="H905" s="830"/>
      <c r="I905" s="1605"/>
      <c r="J905" s="1514"/>
      <c r="K905" s="830"/>
      <c r="L905" s="1446"/>
      <c r="M905" s="832">
        <f>30000+60000</f>
        <v>90000</v>
      </c>
      <c r="N905" s="1407">
        <v>56142</v>
      </c>
      <c r="O905" s="1395">
        <f aca="true" t="shared" si="128" ref="O905:O911">N905/M905*100</f>
        <v>62.38</v>
      </c>
      <c r="P905" s="830"/>
      <c r="Q905" s="830"/>
      <c r="R905" s="834"/>
    </row>
    <row r="906" spans="1:18" s="1435" customFormat="1" ht="13.5" customHeight="1">
      <c r="A906" s="1443">
        <v>3110</v>
      </c>
      <c r="B906" s="1669" t="s">
        <v>15</v>
      </c>
      <c r="C906" s="1389">
        <v>2000000</v>
      </c>
      <c r="D906" s="830">
        <f t="shared" si="126"/>
        <v>2000000</v>
      </c>
      <c r="E906" s="1390">
        <f t="shared" si="127"/>
        <v>1015265</v>
      </c>
      <c r="F906" s="1682">
        <f t="shared" si="124"/>
        <v>50.763250000000006</v>
      </c>
      <c r="G906" s="832"/>
      <c r="H906" s="830"/>
      <c r="I906" s="1605"/>
      <c r="J906" s="1445"/>
      <c r="K906" s="1390"/>
      <c r="L906" s="1446"/>
      <c r="M906" s="1389">
        <v>2000000</v>
      </c>
      <c r="N906" s="1390">
        <v>1015265</v>
      </c>
      <c r="O906" s="1395">
        <f t="shared" si="128"/>
        <v>50.763250000000006</v>
      </c>
      <c r="P906" s="1390"/>
      <c r="Q906" s="1390"/>
      <c r="R906" s="1454"/>
    </row>
    <row r="907" spans="1:18" s="1435" customFormat="1" ht="27" customHeight="1">
      <c r="A907" s="1443">
        <v>4110</v>
      </c>
      <c r="B907" s="1669" t="s">
        <v>686</v>
      </c>
      <c r="C907" s="1389">
        <v>44300</v>
      </c>
      <c r="D907" s="830">
        <f t="shared" si="126"/>
        <v>43000</v>
      </c>
      <c r="E907" s="1390">
        <f t="shared" si="127"/>
        <v>9914</v>
      </c>
      <c r="F907" s="1682">
        <f t="shared" si="124"/>
        <v>23.05581395348837</v>
      </c>
      <c r="G907" s="832"/>
      <c r="H907" s="830"/>
      <c r="I907" s="1605"/>
      <c r="J907" s="1445"/>
      <c r="K907" s="1390"/>
      <c r="L907" s="1446"/>
      <c r="M907" s="1389">
        <f>44300-1300</f>
        <v>43000</v>
      </c>
      <c r="N907" s="1390">
        <v>9914</v>
      </c>
      <c r="O907" s="1395">
        <f t="shared" si="128"/>
        <v>23.05581395348837</v>
      </c>
      <c r="P907" s="1390"/>
      <c r="Q907" s="1390"/>
      <c r="R907" s="1454"/>
    </row>
    <row r="908" spans="1:18" s="1435" customFormat="1" ht="15" customHeight="1">
      <c r="A908" s="1443">
        <v>4120</v>
      </c>
      <c r="B908" s="1669" t="s">
        <v>771</v>
      </c>
      <c r="C908" s="1389">
        <v>6700</v>
      </c>
      <c r="D908" s="830">
        <f t="shared" si="126"/>
        <v>6700</v>
      </c>
      <c r="E908" s="1390">
        <f t="shared" si="127"/>
        <v>1494</v>
      </c>
      <c r="F908" s="1682">
        <f t="shared" si="124"/>
        <v>22.29850746268657</v>
      </c>
      <c r="G908" s="832"/>
      <c r="H908" s="830"/>
      <c r="I908" s="1605"/>
      <c r="J908" s="1445"/>
      <c r="K908" s="1390"/>
      <c r="L908" s="1446"/>
      <c r="M908" s="1389">
        <v>6700</v>
      </c>
      <c r="N908" s="1390">
        <v>1494</v>
      </c>
      <c r="O908" s="1395">
        <f t="shared" si="128"/>
        <v>22.29850746268657</v>
      </c>
      <c r="P908" s="1390"/>
      <c r="Q908" s="1390"/>
      <c r="R908" s="1454"/>
    </row>
    <row r="909" spans="1:18" s="1435" customFormat="1" ht="24">
      <c r="A909" s="1443">
        <v>4170</v>
      </c>
      <c r="B909" s="1669" t="s">
        <v>744</v>
      </c>
      <c r="C909" s="1389">
        <v>100000</v>
      </c>
      <c r="D909" s="862">
        <f t="shared" si="126"/>
        <v>100000</v>
      </c>
      <c r="E909" s="1487">
        <f t="shared" si="127"/>
        <v>60971</v>
      </c>
      <c r="F909" s="1419">
        <f t="shared" si="124"/>
        <v>60.971</v>
      </c>
      <c r="G909" s="832"/>
      <c r="H909" s="830"/>
      <c r="I909" s="1605"/>
      <c r="J909" s="1445"/>
      <c r="K909" s="1390"/>
      <c r="L909" s="1446"/>
      <c r="M909" s="1389">
        <v>100000</v>
      </c>
      <c r="N909" s="1390">
        <f>60972-1</f>
        <v>60971</v>
      </c>
      <c r="O909" s="1395">
        <f t="shared" si="128"/>
        <v>60.971</v>
      </c>
      <c r="P909" s="1390"/>
      <c r="Q909" s="1390"/>
      <c r="R909" s="1454"/>
    </row>
    <row r="910" spans="1:18" s="1435" customFormat="1" ht="12.75" hidden="1">
      <c r="A910" s="1443">
        <v>4300</v>
      </c>
      <c r="B910" s="1697" t="s">
        <v>746</v>
      </c>
      <c r="C910" s="1389"/>
      <c r="D910" s="830">
        <f t="shared" si="126"/>
        <v>0</v>
      </c>
      <c r="E910" s="1390">
        <f t="shared" si="127"/>
        <v>0</v>
      </c>
      <c r="F910" s="1682" t="e">
        <f t="shared" si="124"/>
        <v>#DIV/0!</v>
      </c>
      <c r="G910" s="832"/>
      <c r="H910" s="830"/>
      <c r="I910" s="1605"/>
      <c r="J910" s="1445"/>
      <c r="K910" s="1390"/>
      <c r="L910" s="1446"/>
      <c r="M910" s="1389"/>
      <c r="N910" s="1390"/>
      <c r="O910" s="1369"/>
      <c r="P910" s="1390"/>
      <c r="Q910" s="1390"/>
      <c r="R910" s="1454"/>
    </row>
    <row r="911" spans="1:18" s="1435" customFormat="1" ht="24" hidden="1">
      <c r="A911" s="1492">
        <v>4330</v>
      </c>
      <c r="B911" s="1670" t="s">
        <v>17</v>
      </c>
      <c r="C911" s="1494"/>
      <c r="D911" s="862">
        <f t="shared" si="126"/>
        <v>0</v>
      </c>
      <c r="E911" s="1487">
        <f t="shared" si="127"/>
        <v>0</v>
      </c>
      <c r="F911" s="1714" t="e">
        <f>E911/D911*100</f>
        <v>#DIV/0!</v>
      </c>
      <c r="G911" s="861"/>
      <c r="H911" s="862"/>
      <c r="I911" s="1705"/>
      <c r="J911" s="1495"/>
      <c r="K911" s="1487"/>
      <c r="L911" s="1551"/>
      <c r="M911" s="1494"/>
      <c r="N911" s="1487"/>
      <c r="O911" s="1439" t="e">
        <f t="shared" si="128"/>
        <v>#DIV/0!</v>
      </c>
      <c r="P911" s="1487"/>
      <c r="Q911" s="1487"/>
      <c r="R911" s="1539"/>
    </row>
    <row r="912" spans="1:18" ht="84">
      <c r="A912" s="1436">
        <v>85212</v>
      </c>
      <c r="B912" s="1668" t="s">
        <v>525</v>
      </c>
      <c r="C912" s="1438">
        <f>SUM(C913:C927)</f>
        <v>24611000</v>
      </c>
      <c r="D912" s="821">
        <f t="shared" si="126"/>
        <v>29454000</v>
      </c>
      <c r="E912" s="821">
        <f t="shared" si="127"/>
        <v>8515978</v>
      </c>
      <c r="F912" s="1715">
        <f aca="true" t="shared" si="129" ref="F912:F933">E912/D912*100</f>
        <v>28.912806409995245</v>
      </c>
      <c r="G912" s="1438"/>
      <c r="H912" s="1380"/>
      <c r="I912" s="1381"/>
      <c r="J912" s="1440">
        <f>SUM(J913:J927)</f>
        <v>29454000</v>
      </c>
      <c r="K912" s="1380">
        <f>SUM(K913:K927)</f>
        <v>8515978</v>
      </c>
      <c r="L912" s="1441">
        <f>K912/J912*100</f>
        <v>28.912806409995245</v>
      </c>
      <c r="M912" s="1380"/>
      <c r="N912" s="1380"/>
      <c r="O912" s="1511"/>
      <c r="P912" s="1380"/>
      <c r="Q912" s="1380"/>
      <c r="R912" s="2940"/>
    </row>
    <row r="913" spans="1:18" s="1435" customFormat="1" ht="12.75">
      <c r="A913" s="1443">
        <v>3110</v>
      </c>
      <c r="B913" s="1669" t="s">
        <v>15</v>
      </c>
      <c r="C913" s="1393">
        <v>23672103</v>
      </c>
      <c r="D913" s="869">
        <f t="shared" si="126"/>
        <v>28319813</v>
      </c>
      <c r="E913" s="1407">
        <f t="shared" si="127"/>
        <v>8044274</v>
      </c>
      <c r="F913" s="1410">
        <f t="shared" si="129"/>
        <v>28.405109878373846</v>
      </c>
      <c r="G913" s="1393"/>
      <c r="H913" s="1407"/>
      <c r="I913" s="1391"/>
      <c r="J913" s="1393">
        <f>23672103+4647710</f>
        <v>28319813</v>
      </c>
      <c r="K913" s="1407">
        <v>8044274</v>
      </c>
      <c r="L913" s="1446">
        <f>K913/J913*100</f>
        <v>28.405109878373846</v>
      </c>
      <c r="M913" s="1407"/>
      <c r="N913" s="1407"/>
      <c r="O913" s="1549"/>
      <c r="P913" s="1407"/>
      <c r="Q913" s="1407"/>
      <c r="R913" s="1550"/>
    </row>
    <row r="914" spans="1:18" s="1435" customFormat="1" ht="24">
      <c r="A914" s="1443">
        <v>4010</v>
      </c>
      <c r="B914" s="1669" t="s">
        <v>680</v>
      </c>
      <c r="C914" s="1389">
        <v>414584</v>
      </c>
      <c r="D914" s="830">
        <f t="shared" si="126"/>
        <v>500584</v>
      </c>
      <c r="E914" s="1390">
        <f t="shared" si="127"/>
        <v>223285</v>
      </c>
      <c r="F914" s="1369">
        <f t="shared" si="129"/>
        <v>44.60490147507711</v>
      </c>
      <c r="G914" s="1389"/>
      <c r="H914" s="1390"/>
      <c r="I914" s="1366"/>
      <c r="J914" s="1389">
        <f>414584+86000</f>
        <v>500584</v>
      </c>
      <c r="K914" s="1445">
        <v>223285</v>
      </c>
      <c r="L914" s="1446">
        <f>K914/J914*100</f>
        <v>44.60490147507711</v>
      </c>
      <c r="M914" s="1390"/>
      <c r="N914" s="1390"/>
      <c r="O914" s="1447"/>
      <c r="P914" s="1390"/>
      <c r="Q914" s="1390"/>
      <c r="R914" s="1454"/>
    </row>
    <row r="915" spans="1:18" s="1435" customFormat="1" ht="24">
      <c r="A915" s="1443">
        <v>4040</v>
      </c>
      <c r="B915" s="1669" t="s">
        <v>23</v>
      </c>
      <c r="C915" s="1389">
        <v>33895</v>
      </c>
      <c r="D915" s="830">
        <f t="shared" si="126"/>
        <v>25810</v>
      </c>
      <c r="E915" s="1390">
        <f t="shared" si="127"/>
        <v>25809</v>
      </c>
      <c r="F915" s="1369">
        <f t="shared" si="129"/>
        <v>99.99612553273924</v>
      </c>
      <c r="G915" s="1389"/>
      <c r="H915" s="1390"/>
      <c r="I915" s="1366"/>
      <c r="J915" s="1389">
        <f>33895-8085</f>
        <v>25810</v>
      </c>
      <c r="K915" s="1445">
        <v>25809</v>
      </c>
      <c r="L915" s="1446">
        <f aca="true" t="shared" si="130" ref="L915:L933">K915/J915*100</f>
        <v>99.99612553273924</v>
      </c>
      <c r="M915" s="1390"/>
      <c r="N915" s="1390"/>
      <c r="O915" s="1447"/>
      <c r="P915" s="1390"/>
      <c r="Q915" s="1390"/>
      <c r="R915" s="1454"/>
    </row>
    <row r="916" spans="1:18" s="1435" customFormat="1" ht="24">
      <c r="A916" s="1443">
        <v>4110</v>
      </c>
      <c r="B916" s="1669" t="s">
        <v>686</v>
      </c>
      <c r="C916" s="1389">
        <v>280082</v>
      </c>
      <c r="D916" s="830">
        <f t="shared" si="126"/>
        <v>345382</v>
      </c>
      <c r="E916" s="1390">
        <f t="shared" si="127"/>
        <v>140549</v>
      </c>
      <c r="F916" s="1369">
        <f t="shared" si="129"/>
        <v>40.693782536437915</v>
      </c>
      <c r="G916" s="1389"/>
      <c r="H916" s="1390"/>
      <c r="I916" s="1366"/>
      <c r="J916" s="1389">
        <f>280082+65300</f>
        <v>345382</v>
      </c>
      <c r="K916" s="1445">
        <v>140549</v>
      </c>
      <c r="L916" s="1446">
        <f t="shared" si="130"/>
        <v>40.693782536437915</v>
      </c>
      <c r="M916" s="1390"/>
      <c r="N916" s="1390"/>
      <c r="O916" s="1447"/>
      <c r="P916" s="1390"/>
      <c r="Q916" s="1390"/>
      <c r="R916" s="1454"/>
    </row>
    <row r="917" spans="1:18" s="1435" customFormat="1" ht="12.75">
      <c r="A917" s="1443">
        <v>4120</v>
      </c>
      <c r="B917" s="1669" t="s">
        <v>781</v>
      </c>
      <c r="C917" s="1389">
        <v>10987</v>
      </c>
      <c r="D917" s="830">
        <f t="shared" si="126"/>
        <v>13187</v>
      </c>
      <c r="E917" s="1390">
        <f t="shared" si="127"/>
        <v>6001</v>
      </c>
      <c r="F917" s="1369">
        <f t="shared" si="129"/>
        <v>45.506938651702434</v>
      </c>
      <c r="G917" s="1389"/>
      <c r="H917" s="1390"/>
      <c r="I917" s="1366"/>
      <c r="J917" s="1389">
        <f>10987+2200</f>
        <v>13187</v>
      </c>
      <c r="K917" s="1445">
        <v>6001</v>
      </c>
      <c r="L917" s="1446">
        <f t="shared" si="130"/>
        <v>45.506938651702434</v>
      </c>
      <c r="M917" s="1390"/>
      <c r="N917" s="1390"/>
      <c r="O917" s="1447"/>
      <c r="P917" s="1390"/>
      <c r="Q917" s="1390"/>
      <c r="R917" s="1454"/>
    </row>
    <row r="918" spans="1:18" s="1435" customFormat="1" ht="24" hidden="1">
      <c r="A918" s="1443">
        <v>4170</v>
      </c>
      <c r="B918" s="1669" t="s">
        <v>744</v>
      </c>
      <c r="C918" s="1389"/>
      <c r="D918" s="830">
        <f t="shared" si="126"/>
        <v>0</v>
      </c>
      <c r="E918" s="1390">
        <f t="shared" si="127"/>
        <v>0</v>
      </c>
      <c r="F918" s="1369" t="e">
        <f t="shared" si="129"/>
        <v>#DIV/0!</v>
      </c>
      <c r="G918" s="1389"/>
      <c r="H918" s="1390"/>
      <c r="I918" s="1366"/>
      <c r="J918" s="1389"/>
      <c r="K918" s="1445"/>
      <c r="L918" s="1446" t="e">
        <f t="shared" si="130"/>
        <v>#DIV/0!</v>
      </c>
      <c r="M918" s="1390"/>
      <c r="N918" s="1390"/>
      <c r="O918" s="1447"/>
      <c r="P918" s="1390"/>
      <c r="Q918" s="1390"/>
      <c r="R918" s="1454"/>
    </row>
    <row r="919" spans="1:18" s="1435" customFormat="1" ht="24">
      <c r="A919" s="1443">
        <v>4210</v>
      </c>
      <c r="B919" s="1669" t="s">
        <v>690</v>
      </c>
      <c r="C919" s="1389">
        <v>83700</v>
      </c>
      <c r="D919" s="830">
        <f t="shared" si="126"/>
        <v>101785</v>
      </c>
      <c r="E919" s="1390">
        <f t="shared" si="127"/>
        <v>7089</v>
      </c>
      <c r="F919" s="1369">
        <f t="shared" si="129"/>
        <v>6.9646804538979215</v>
      </c>
      <c r="G919" s="1389"/>
      <c r="H919" s="1390"/>
      <c r="I919" s="1366"/>
      <c r="J919" s="1389">
        <f>83700+18085</f>
        <v>101785</v>
      </c>
      <c r="K919" s="1445">
        <v>7089</v>
      </c>
      <c r="L919" s="1446">
        <f t="shared" si="130"/>
        <v>6.9646804538979215</v>
      </c>
      <c r="M919" s="1390"/>
      <c r="N919" s="1390"/>
      <c r="O919" s="1447"/>
      <c r="P919" s="1390"/>
      <c r="Q919" s="1390"/>
      <c r="R919" s="1454"/>
    </row>
    <row r="920" spans="1:18" s="1435" customFormat="1" ht="12.75">
      <c r="A920" s="1443">
        <v>4260</v>
      </c>
      <c r="B920" s="1669" t="s">
        <v>694</v>
      </c>
      <c r="C920" s="1389">
        <v>21709</v>
      </c>
      <c r="D920" s="830">
        <f t="shared" si="126"/>
        <v>25709</v>
      </c>
      <c r="E920" s="1390">
        <f t="shared" si="127"/>
        <v>13263</v>
      </c>
      <c r="F920" s="1369">
        <f t="shared" si="129"/>
        <v>51.58893772608813</v>
      </c>
      <c r="G920" s="1389"/>
      <c r="H920" s="1390"/>
      <c r="I920" s="1366"/>
      <c r="J920" s="1389">
        <f>21709+4000</f>
        <v>25709</v>
      </c>
      <c r="K920" s="1445">
        <v>13263</v>
      </c>
      <c r="L920" s="1446">
        <f t="shared" si="130"/>
        <v>51.58893772608813</v>
      </c>
      <c r="M920" s="1390"/>
      <c r="N920" s="1390"/>
      <c r="O920" s="1447"/>
      <c r="P920" s="1390"/>
      <c r="Q920" s="1390"/>
      <c r="R920" s="1454"/>
    </row>
    <row r="921" spans="1:18" s="1435" customFormat="1" ht="12.75" hidden="1">
      <c r="A921" s="1443">
        <v>4270</v>
      </c>
      <c r="B921" s="1669" t="s">
        <v>696</v>
      </c>
      <c r="C921" s="1389"/>
      <c r="D921" s="830">
        <f t="shared" si="126"/>
        <v>0</v>
      </c>
      <c r="E921" s="1390">
        <f t="shared" si="127"/>
        <v>0</v>
      </c>
      <c r="F921" s="1369" t="e">
        <f t="shared" si="129"/>
        <v>#DIV/0!</v>
      </c>
      <c r="G921" s="1389"/>
      <c r="H921" s="1390"/>
      <c r="I921" s="1366"/>
      <c r="J921" s="1389"/>
      <c r="K921" s="1445"/>
      <c r="L921" s="1446"/>
      <c r="M921" s="1390"/>
      <c r="N921" s="1390"/>
      <c r="O921" s="1447"/>
      <c r="P921" s="1390"/>
      <c r="Q921" s="1390"/>
      <c r="R921" s="1454"/>
    </row>
    <row r="922" spans="1:18" s="1435" customFormat="1" ht="12.75">
      <c r="A922" s="1443">
        <v>4300</v>
      </c>
      <c r="B922" s="1669" t="s">
        <v>746</v>
      </c>
      <c r="C922" s="1389">
        <v>66310</v>
      </c>
      <c r="D922" s="830">
        <f t="shared" si="126"/>
        <v>94100</v>
      </c>
      <c r="E922" s="1390">
        <f t="shared" si="127"/>
        <v>35439</v>
      </c>
      <c r="F922" s="1369">
        <f t="shared" si="129"/>
        <v>37.66099893730075</v>
      </c>
      <c r="G922" s="1389"/>
      <c r="H922" s="1390"/>
      <c r="I922" s="1366"/>
      <c r="J922" s="1389">
        <f>66310+27790</f>
        <v>94100</v>
      </c>
      <c r="K922" s="1445">
        <v>35439</v>
      </c>
      <c r="L922" s="1446">
        <f t="shared" si="130"/>
        <v>37.66099893730075</v>
      </c>
      <c r="M922" s="1390"/>
      <c r="N922" s="1390"/>
      <c r="O922" s="1447"/>
      <c r="P922" s="1390"/>
      <c r="Q922" s="1390"/>
      <c r="R922" s="1454"/>
    </row>
    <row r="923" spans="1:18" s="1435" customFormat="1" ht="24">
      <c r="A923" s="1443">
        <v>4350</v>
      </c>
      <c r="B923" s="1669" t="s">
        <v>869</v>
      </c>
      <c r="C923" s="1389">
        <v>4100</v>
      </c>
      <c r="D923" s="830">
        <f t="shared" si="126"/>
        <v>4100</v>
      </c>
      <c r="E923" s="1390">
        <f t="shared" si="127"/>
        <v>579</v>
      </c>
      <c r="F923" s="1369">
        <f t="shared" si="129"/>
        <v>14.121951219512194</v>
      </c>
      <c r="G923" s="1389"/>
      <c r="H923" s="1390"/>
      <c r="I923" s="1366"/>
      <c r="J923" s="1389">
        <v>4100</v>
      </c>
      <c r="K923" s="1445">
        <v>579</v>
      </c>
      <c r="L923" s="1446">
        <f t="shared" si="130"/>
        <v>14.121951219512194</v>
      </c>
      <c r="M923" s="1390"/>
      <c r="N923" s="1390"/>
      <c r="O923" s="1447"/>
      <c r="P923" s="1390"/>
      <c r="Q923" s="1390"/>
      <c r="R923" s="1454"/>
    </row>
    <row r="924" spans="1:18" s="1435" customFormat="1" ht="12.75">
      <c r="A924" s="1443">
        <v>4410</v>
      </c>
      <c r="B924" s="1669" t="s">
        <v>672</v>
      </c>
      <c r="C924" s="1389">
        <v>2500</v>
      </c>
      <c r="D924" s="830">
        <f t="shared" si="126"/>
        <v>2500</v>
      </c>
      <c r="E924" s="1390">
        <f t="shared" si="127"/>
        <v>0</v>
      </c>
      <c r="F924" s="1369">
        <f t="shared" si="129"/>
        <v>0</v>
      </c>
      <c r="G924" s="1389"/>
      <c r="H924" s="1390"/>
      <c r="I924" s="1366"/>
      <c r="J924" s="1389">
        <v>2500</v>
      </c>
      <c r="K924" s="1445"/>
      <c r="L924" s="1446">
        <f t="shared" si="130"/>
        <v>0</v>
      </c>
      <c r="M924" s="1390"/>
      <c r="N924" s="1390"/>
      <c r="O924" s="1447"/>
      <c r="P924" s="1390"/>
      <c r="Q924" s="1390"/>
      <c r="R924" s="1454"/>
    </row>
    <row r="925" spans="1:18" s="1435" customFormat="1" ht="12.75">
      <c r="A925" s="1443">
        <v>4440</v>
      </c>
      <c r="B925" s="1669" t="s">
        <v>702</v>
      </c>
      <c r="C925" s="1389">
        <v>18188</v>
      </c>
      <c r="D925" s="830">
        <f t="shared" si="126"/>
        <v>18188</v>
      </c>
      <c r="E925" s="1390">
        <f t="shared" si="127"/>
        <v>18188</v>
      </c>
      <c r="F925" s="1369">
        <f t="shared" si="129"/>
        <v>100</v>
      </c>
      <c r="G925" s="1389"/>
      <c r="H925" s="1390"/>
      <c r="I925" s="1366"/>
      <c r="J925" s="1389">
        <v>18188</v>
      </c>
      <c r="K925" s="1445">
        <v>18188</v>
      </c>
      <c r="L925" s="1446">
        <f t="shared" si="130"/>
        <v>100</v>
      </c>
      <c r="M925" s="1390"/>
      <c r="N925" s="1390"/>
      <c r="O925" s="1447"/>
      <c r="P925" s="1390"/>
      <c r="Q925" s="1390"/>
      <c r="R925" s="1454"/>
    </row>
    <row r="926" spans="1:18" s="1435" customFormat="1" ht="36" hidden="1">
      <c r="A926" s="1443">
        <v>6060</v>
      </c>
      <c r="B926" s="1669" t="s">
        <v>841</v>
      </c>
      <c r="C926" s="1389"/>
      <c r="D926" s="830">
        <f t="shared" si="126"/>
        <v>0</v>
      </c>
      <c r="E926" s="1390">
        <f t="shared" si="127"/>
        <v>0</v>
      </c>
      <c r="F926" s="1369" t="e">
        <f t="shared" si="129"/>
        <v>#DIV/0!</v>
      </c>
      <c r="G926" s="1389"/>
      <c r="H926" s="1390"/>
      <c r="I926" s="1366"/>
      <c r="J926" s="1389"/>
      <c r="K926" s="1445"/>
      <c r="L926" s="1446" t="e">
        <f t="shared" si="130"/>
        <v>#DIV/0!</v>
      </c>
      <c r="M926" s="1390"/>
      <c r="N926" s="1390"/>
      <c r="O926" s="1447"/>
      <c r="P926" s="1390"/>
      <c r="Q926" s="1390"/>
      <c r="R926" s="1454"/>
    </row>
    <row r="927" spans="1:18" s="1435" customFormat="1" ht="12.75">
      <c r="A927" s="1443">
        <v>4480</v>
      </c>
      <c r="B927" s="1669" t="s">
        <v>198</v>
      </c>
      <c r="C927" s="1494">
        <v>2842</v>
      </c>
      <c r="D927" s="830">
        <f t="shared" si="126"/>
        <v>2842</v>
      </c>
      <c r="E927" s="1390">
        <f t="shared" si="127"/>
        <v>1502</v>
      </c>
      <c r="F927" s="1369">
        <f t="shared" si="129"/>
        <v>52.85010555946516</v>
      </c>
      <c r="G927" s="1494"/>
      <c r="H927" s="1487"/>
      <c r="I927" s="1419"/>
      <c r="J927" s="1494">
        <v>2842</v>
      </c>
      <c r="K927" s="1495">
        <v>1502</v>
      </c>
      <c r="L927" s="1446">
        <f t="shared" si="130"/>
        <v>52.85010555946516</v>
      </c>
      <c r="M927" s="1487"/>
      <c r="N927" s="1487"/>
      <c r="O927" s="1498"/>
      <c r="P927" s="1487"/>
      <c r="Q927" s="1487"/>
      <c r="R927" s="1539"/>
    </row>
    <row r="928" spans="1:18" s="1471" customFormat="1" ht="84">
      <c r="A928" s="1479">
        <v>85213</v>
      </c>
      <c r="B928" s="1710" t="s">
        <v>1278</v>
      </c>
      <c r="C928" s="823">
        <f>SUM(C929)</f>
        <v>194000</v>
      </c>
      <c r="D928" s="845">
        <f t="shared" si="126"/>
        <v>194000</v>
      </c>
      <c r="E928" s="845">
        <f t="shared" si="126"/>
        <v>90661</v>
      </c>
      <c r="F928" s="1716">
        <f t="shared" si="129"/>
        <v>46.73247422680412</v>
      </c>
      <c r="G928" s="823"/>
      <c r="H928" s="845"/>
      <c r="I928" s="1381"/>
      <c r="J928" s="1510">
        <f>SUM(J929+J930)</f>
        <v>194000</v>
      </c>
      <c r="K928" s="1510">
        <f>SUM(K929+K930)</f>
        <v>90661</v>
      </c>
      <c r="L928" s="1475">
        <f t="shared" si="130"/>
        <v>46.73247422680412</v>
      </c>
      <c r="M928" s="845"/>
      <c r="N928" s="845"/>
      <c r="O928" s="1511"/>
      <c r="P928" s="845"/>
      <c r="Q928" s="845"/>
      <c r="R928" s="826"/>
    </row>
    <row r="929" spans="1:18" s="1435" customFormat="1" ht="24">
      <c r="A929" s="1422">
        <v>4130</v>
      </c>
      <c r="B929" s="1689" t="s">
        <v>873</v>
      </c>
      <c r="C929" s="1393">
        <v>194000</v>
      </c>
      <c r="D929" s="869">
        <f aca="true" t="shared" si="131" ref="D929:E944">G929+J929+P929+M929</f>
        <v>194000</v>
      </c>
      <c r="E929" s="869">
        <f t="shared" si="131"/>
        <v>90661</v>
      </c>
      <c r="F929" s="1717">
        <f t="shared" si="129"/>
        <v>46.73247422680412</v>
      </c>
      <c r="G929" s="1393"/>
      <c r="H929" s="1407"/>
      <c r="I929" s="1391"/>
      <c r="J929" s="1407">
        <v>194000</v>
      </c>
      <c r="K929" s="1407">
        <v>90661</v>
      </c>
      <c r="L929" s="1410">
        <f t="shared" si="130"/>
        <v>46.73247422680412</v>
      </c>
      <c r="M929" s="1407"/>
      <c r="N929" s="1407"/>
      <c r="O929" s="1549"/>
      <c r="P929" s="1407"/>
      <c r="Q929" s="1407"/>
      <c r="R929" s="1550"/>
    </row>
    <row r="930" spans="1:18" s="1435" customFormat="1" ht="12.75" hidden="1">
      <c r="A930" s="1492">
        <v>4580</v>
      </c>
      <c r="B930" s="1670" t="s">
        <v>750</v>
      </c>
      <c r="C930" s="1494"/>
      <c r="D930" s="862">
        <f t="shared" si="131"/>
        <v>0</v>
      </c>
      <c r="E930" s="862">
        <f t="shared" si="131"/>
        <v>0</v>
      </c>
      <c r="F930" s="1714"/>
      <c r="G930" s="1494"/>
      <c r="H930" s="1487"/>
      <c r="I930" s="1419"/>
      <c r="J930" s="1611"/>
      <c r="K930" s="1487"/>
      <c r="L930" s="1439" t="e">
        <f t="shared" si="130"/>
        <v>#DIV/0!</v>
      </c>
      <c r="M930" s="1487"/>
      <c r="N930" s="1487"/>
      <c r="O930" s="1498"/>
      <c r="P930" s="1487"/>
      <c r="Q930" s="1487"/>
      <c r="R930" s="1539"/>
    </row>
    <row r="931" spans="1:18" ht="48">
      <c r="A931" s="1436">
        <v>85214</v>
      </c>
      <c r="B931" s="1668" t="s">
        <v>528</v>
      </c>
      <c r="C931" s="1438">
        <f>SUM(C932:C933)</f>
        <v>4868000</v>
      </c>
      <c r="D931" s="845">
        <f t="shared" si="131"/>
        <v>6027474</v>
      </c>
      <c r="E931" s="845">
        <f t="shared" si="131"/>
        <v>3429992</v>
      </c>
      <c r="F931" s="1716">
        <f t="shared" si="129"/>
        <v>56.90596093819733</v>
      </c>
      <c r="G931" s="1438">
        <f>SUM(G932:G933)</f>
        <v>4643949</v>
      </c>
      <c r="H931" s="1380">
        <f>SUM(H932:H933)</f>
        <v>2656117</v>
      </c>
      <c r="I931" s="1381">
        <f>H931/G931*100</f>
        <v>57.195223289489185</v>
      </c>
      <c r="J931" s="1440">
        <f>SUM(J932:J933)</f>
        <v>1383525</v>
      </c>
      <c r="K931" s="1380">
        <f>SUM(K932:K933)</f>
        <v>773875</v>
      </c>
      <c r="L931" s="1475">
        <f t="shared" si="130"/>
        <v>55.93502105130012</v>
      </c>
      <c r="M931" s="1380"/>
      <c r="N931" s="1380"/>
      <c r="O931" s="1442"/>
      <c r="P931" s="1380"/>
      <c r="Q931" s="1380"/>
      <c r="R931" s="1478"/>
    </row>
    <row r="932" spans="1:18" ht="12.75">
      <c r="A932" s="1443">
        <v>3110</v>
      </c>
      <c r="B932" s="1669" t="s">
        <v>15</v>
      </c>
      <c r="C932" s="1389">
        <v>4868000</v>
      </c>
      <c r="D932" s="830">
        <f t="shared" si="131"/>
        <v>6027474</v>
      </c>
      <c r="E932" s="830">
        <f t="shared" si="131"/>
        <v>3429992</v>
      </c>
      <c r="F932" s="1690">
        <f t="shared" si="129"/>
        <v>56.90596093819733</v>
      </c>
      <c r="G932" s="1389">
        <f>3700000+2000+45000+700000+9000+187949</f>
        <v>4643949</v>
      </c>
      <c r="H932" s="1390">
        <v>2656117</v>
      </c>
      <c r="I932" s="1366">
        <f>H932/G932*100</f>
        <v>57.195223289489185</v>
      </c>
      <c r="J932" s="1445">
        <f>1166000+20000+197525</f>
        <v>1383525</v>
      </c>
      <c r="K932" s="1390">
        <v>773875</v>
      </c>
      <c r="L932" s="1369">
        <f t="shared" si="130"/>
        <v>55.93502105130012</v>
      </c>
      <c r="M932" s="1390"/>
      <c r="N932" s="1390"/>
      <c r="O932" s="1447"/>
      <c r="P932" s="1390"/>
      <c r="Q932" s="1390"/>
      <c r="R932" s="1454"/>
    </row>
    <row r="933" spans="1:18" ht="24" hidden="1">
      <c r="A933" s="1443">
        <v>4110</v>
      </c>
      <c r="B933" s="1669" t="s">
        <v>686</v>
      </c>
      <c r="C933" s="1389"/>
      <c r="D933" s="830">
        <f t="shared" si="131"/>
        <v>0</v>
      </c>
      <c r="E933" s="1390">
        <f>SUM(H933+K933+N933+Q933)</f>
        <v>0</v>
      </c>
      <c r="F933" s="1690" t="e">
        <f t="shared" si="129"/>
        <v>#DIV/0!</v>
      </c>
      <c r="G933" s="1389"/>
      <c r="H933" s="1390"/>
      <c r="I933" s="1366"/>
      <c r="J933" s="1445"/>
      <c r="K933" s="1390"/>
      <c r="L933" s="1369" t="e">
        <f t="shared" si="130"/>
        <v>#DIV/0!</v>
      </c>
      <c r="M933" s="1390"/>
      <c r="N933" s="1390"/>
      <c r="O933" s="1395"/>
      <c r="P933" s="1390"/>
      <c r="Q933" s="1390"/>
      <c r="R933" s="1454"/>
    </row>
    <row r="934" spans="1:18" ht="16.5" customHeight="1">
      <c r="A934" s="1436">
        <v>85215</v>
      </c>
      <c r="B934" s="1668" t="s">
        <v>24</v>
      </c>
      <c r="C934" s="1438">
        <f>SUM(C936)</f>
        <v>5400000</v>
      </c>
      <c r="D934" s="845">
        <f t="shared" si="131"/>
        <v>5160336</v>
      </c>
      <c r="E934" s="1380">
        <f>H934+K934+Q934+N934</f>
        <v>2272644</v>
      </c>
      <c r="F934" s="1716">
        <f>E934/D934*100</f>
        <v>44.04062061075093</v>
      </c>
      <c r="G934" s="1675">
        <f>SUM(G935:G936)</f>
        <v>5160336</v>
      </c>
      <c r="H934" s="1380">
        <f>SUM(H935:H936)</f>
        <v>2272644</v>
      </c>
      <c r="I934" s="1381">
        <f>H934/G934*100</f>
        <v>44.04062061075093</v>
      </c>
      <c r="J934" s="1440"/>
      <c r="K934" s="1380"/>
      <c r="L934" s="1441"/>
      <c r="M934" s="1380"/>
      <c r="N934" s="1380"/>
      <c r="O934" s="1442"/>
      <c r="P934" s="1380"/>
      <c r="Q934" s="1380"/>
      <c r="R934" s="1478"/>
    </row>
    <row r="935" spans="1:18" s="1286" customFormat="1" ht="78" customHeight="1" hidden="1">
      <c r="A935" s="1540">
        <v>2910</v>
      </c>
      <c r="B935" s="1718" t="s">
        <v>25</v>
      </c>
      <c r="C935" s="864"/>
      <c r="D935" s="869">
        <f t="shared" si="131"/>
        <v>0</v>
      </c>
      <c r="E935" s="1407">
        <f>SUM(H935+K935+N935+Q935)</f>
        <v>0</v>
      </c>
      <c r="F935" s="1717" t="e">
        <f>E935/D935*100</f>
        <v>#DIV/0!</v>
      </c>
      <c r="G935" s="1393"/>
      <c r="H935" s="869"/>
      <c r="I935" s="1391" t="e">
        <f>H935/G935*100</f>
        <v>#DIV/0!</v>
      </c>
      <c r="J935" s="1542"/>
      <c r="K935" s="869"/>
      <c r="L935" s="1543"/>
      <c r="M935" s="869"/>
      <c r="N935" s="869"/>
      <c r="O935" s="1544"/>
      <c r="P935" s="869"/>
      <c r="Q935" s="869"/>
      <c r="R935" s="884"/>
    </row>
    <row r="936" spans="1:18" s="1435" customFormat="1" ht="15.75" customHeight="1">
      <c r="A936" s="1443">
        <v>3110</v>
      </c>
      <c r="B936" s="1669" t="s">
        <v>15</v>
      </c>
      <c r="C936" s="1494">
        <v>5400000</v>
      </c>
      <c r="D936" s="862">
        <f t="shared" si="131"/>
        <v>5160336</v>
      </c>
      <c r="E936" s="1487">
        <f>SUM(H936+K936+N936+Q936)</f>
        <v>2272644</v>
      </c>
      <c r="F936" s="1714">
        <f aca="true" t="shared" si="132" ref="F936:F984">E936/D936*100</f>
        <v>44.04062061075093</v>
      </c>
      <c r="G936" s="1494">
        <f>5400000-35444-74220-30000-100000</f>
        <v>5160336</v>
      </c>
      <c r="H936" s="1487">
        <v>2272644</v>
      </c>
      <c r="I936" s="1419">
        <f>H936/G936*100</f>
        <v>44.04062061075093</v>
      </c>
      <c r="J936" s="1495"/>
      <c r="K936" s="1487"/>
      <c r="L936" s="1551"/>
      <c r="M936" s="1487"/>
      <c r="N936" s="1487"/>
      <c r="O936" s="1498"/>
      <c r="P936" s="1487"/>
      <c r="Q936" s="1487"/>
      <c r="R936" s="1539"/>
    </row>
    <row r="937" spans="1:18" s="1435" customFormat="1" ht="35.25" customHeight="1" hidden="1">
      <c r="A937" s="1436">
        <v>85216</v>
      </c>
      <c r="B937" s="1668" t="s">
        <v>26</v>
      </c>
      <c r="C937" s="1438">
        <f>SUM(C938)</f>
        <v>0</v>
      </c>
      <c r="D937" s="845">
        <f t="shared" si="131"/>
        <v>0</v>
      </c>
      <c r="E937" s="1380">
        <f>H937+K937+Q937+N937</f>
        <v>0</v>
      </c>
      <c r="F937" s="1716" t="e">
        <f t="shared" si="132"/>
        <v>#DIV/0!</v>
      </c>
      <c r="G937" s="1438"/>
      <c r="H937" s="1380"/>
      <c r="I937" s="1381"/>
      <c r="J937" s="1440">
        <f>J938</f>
        <v>0</v>
      </c>
      <c r="K937" s="1440">
        <f>K938</f>
        <v>0</v>
      </c>
      <c r="L937" s="1400" t="e">
        <f>K937/J937*100</f>
        <v>#DIV/0!</v>
      </c>
      <c r="M937" s="1380"/>
      <c r="N937" s="1380"/>
      <c r="O937" s="1442"/>
      <c r="P937" s="1380">
        <f>P938</f>
        <v>0</v>
      </c>
      <c r="Q937" s="1380">
        <f>Q938</f>
        <v>0</v>
      </c>
      <c r="R937" s="1388" t="e">
        <f>Q937/P937*100</f>
        <v>#DIV/0!</v>
      </c>
    </row>
    <row r="938" spans="1:18" s="1435" customFormat="1" ht="15.75" customHeight="1" hidden="1">
      <c r="A938" s="1472">
        <v>3110</v>
      </c>
      <c r="B938" s="1719" t="s">
        <v>15</v>
      </c>
      <c r="C938" s="1389"/>
      <c r="D938" s="856">
        <f t="shared" si="131"/>
        <v>0</v>
      </c>
      <c r="E938" s="1390">
        <f>SUM(H938+K938+N938+Q938)</f>
        <v>0</v>
      </c>
      <c r="F938" s="1716" t="e">
        <f t="shared" si="132"/>
        <v>#DIV/0!</v>
      </c>
      <c r="G938" s="1474"/>
      <c r="H938" s="1477"/>
      <c r="I938" s="1381"/>
      <c r="J938" s="1476"/>
      <c r="K938" s="1477"/>
      <c r="L938" s="1475" t="e">
        <f>K938/J938*100</f>
        <v>#DIV/0!</v>
      </c>
      <c r="M938" s="1477"/>
      <c r="N938" s="1477"/>
      <c r="O938" s="1442"/>
      <c r="P938" s="1477"/>
      <c r="Q938" s="1477"/>
      <c r="R938" s="1388" t="e">
        <f>Q938/P938*100</f>
        <v>#DIV/0!</v>
      </c>
    </row>
    <row r="939" spans="1:18" s="1435" customFormat="1" ht="24">
      <c r="A939" s="1436">
        <v>85218</v>
      </c>
      <c r="B939" s="1668" t="s">
        <v>27</v>
      </c>
      <c r="C939" s="1438">
        <f>SUM(C940:C951)</f>
        <v>592230</v>
      </c>
      <c r="D939" s="845">
        <f t="shared" si="131"/>
        <v>592230</v>
      </c>
      <c r="E939" s="1380">
        <f>H939+K939+Q939+N939</f>
        <v>252090</v>
      </c>
      <c r="F939" s="1716">
        <f t="shared" si="132"/>
        <v>42.56623271364166</v>
      </c>
      <c r="G939" s="1438"/>
      <c r="H939" s="1380"/>
      <c r="I939" s="1692"/>
      <c r="J939" s="1440"/>
      <c r="K939" s="1380"/>
      <c r="L939" s="1441"/>
      <c r="M939" s="1380">
        <f>SUM(M940:M951)</f>
        <v>592230</v>
      </c>
      <c r="N939" s="1380">
        <f>SUM(N940:N951)</f>
        <v>252090</v>
      </c>
      <c r="O939" s="1388">
        <f aca="true" t="shared" si="133" ref="O939:O951">N939/M939*100</f>
        <v>42.56623271364166</v>
      </c>
      <c r="P939" s="1380"/>
      <c r="Q939" s="1380"/>
      <c r="R939" s="1388"/>
    </row>
    <row r="940" spans="1:18" ht="24">
      <c r="A940" s="1443">
        <v>4010</v>
      </c>
      <c r="B940" s="1669" t="s">
        <v>837</v>
      </c>
      <c r="C940" s="1389">
        <v>403900</v>
      </c>
      <c r="D940" s="830">
        <f t="shared" si="131"/>
        <v>403900</v>
      </c>
      <c r="E940" s="1390">
        <f aca="true" t="shared" si="134" ref="E940:E949">SUM(H940+K940+N940+Q940)</f>
        <v>154118</v>
      </c>
      <c r="F940" s="1690">
        <f t="shared" si="132"/>
        <v>38.15746471898985</v>
      </c>
      <c r="G940" s="1389"/>
      <c r="H940" s="1390"/>
      <c r="I940" s="1605"/>
      <c r="J940" s="1445"/>
      <c r="K940" s="1390"/>
      <c r="L940" s="1446"/>
      <c r="M940" s="1389">
        <v>403900</v>
      </c>
      <c r="N940" s="1390">
        <v>154118</v>
      </c>
      <c r="O940" s="1395">
        <f t="shared" si="133"/>
        <v>38.15746471898985</v>
      </c>
      <c r="P940" s="1445"/>
      <c r="Q940" s="1390"/>
      <c r="R940" s="1395"/>
    </row>
    <row r="941" spans="1:18" ht="24">
      <c r="A941" s="1443">
        <v>4040</v>
      </c>
      <c r="B941" s="1669" t="s">
        <v>740</v>
      </c>
      <c r="C941" s="1389">
        <v>33330</v>
      </c>
      <c r="D941" s="830">
        <f t="shared" si="131"/>
        <v>33330</v>
      </c>
      <c r="E941" s="830">
        <f>H941+K941+Q941+N941</f>
        <v>33330</v>
      </c>
      <c r="F941" s="1690">
        <f t="shared" si="132"/>
        <v>100</v>
      </c>
      <c r="G941" s="1389"/>
      <c r="H941" s="1390"/>
      <c r="I941" s="1605"/>
      <c r="J941" s="1445"/>
      <c r="K941" s="1390"/>
      <c r="L941" s="1446"/>
      <c r="M941" s="1389">
        <v>33330</v>
      </c>
      <c r="N941" s="1390">
        <v>33330</v>
      </c>
      <c r="O941" s="1584">
        <f t="shared" si="133"/>
        <v>100</v>
      </c>
      <c r="P941" s="1445"/>
      <c r="Q941" s="1390"/>
      <c r="R941" s="1584"/>
    </row>
    <row r="942" spans="1:18" s="1435" customFormat="1" ht="24">
      <c r="A942" s="1443">
        <v>4110</v>
      </c>
      <c r="B942" s="1669" t="s">
        <v>686</v>
      </c>
      <c r="C942" s="1389">
        <v>78700</v>
      </c>
      <c r="D942" s="830">
        <f t="shared" si="131"/>
        <v>78700</v>
      </c>
      <c r="E942" s="1390">
        <f t="shared" si="134"/>
        <v>30030</v>
      </c>
      <c r="F942" s="1690">
        <f t="shared" si="132"/>
        <v>38.15756035578145</v>
      </c>
      <c r="G942" s="1389"/>
      <c r="H942" s="1390"/>
      <c r="I942" s="1605"/>
      <c r="J942" s="1445"/>
      <c r="K942" s="1390"/>
      <c r="L942" s="1446"/>
      <c r="M942" s="1389">
        <v>78700</v>
      </c>
      <c r="N942" s="1390">
        <v>30030</v>
      </c>
      <c r="O942" s="1395">
        <f t="shared" si="133"/>
        <v>38.15756035578145</v>
      </c>
      <c r="P942" s="1445"/>
      <c r="Q942" s="1390"/>
      <c r="R942" s="1395"/>
    </row>
    <row r="943" spans="1:18" s="1435" customFormat="1" ht="15" customHeight="1">
      <c r="A943" s="1443">
        <v>4120</v>
      </c>
      <c r="B943" s="1669" t="s">
        <v>781</v>
      </c>
      <c r="C943" s="1389">
        <v>10700</v>
      </c>
      <c r="D943" s="830">
        <f t="shared" si="131"/>
        <v>10700</v>
      </c>
      <c r="E943" s="1390">
        <f t="shared" si="134"/>
        <v>5059</v>
      </c>
      <c r="F943" s="1690">
        <f t="shared" si="132"/>
        <v>47.280373831775705</v>
      </c>
      <c r="G943" s="1389"/>
      <c r="H943" s="1390"/>
      <c r="I943" s="1605"/>
      <c r="J943" s="1445"/>
      <c r="K943" s="1390"/>
      <c r="L943" s="1446"/>
      <c r="M943" s="1389">
        <v>10700</v>
      </c>
      <c r="N943" s="1390">
        <v>5059</v>
      </c>
      <c r="O943" s="1395">
        <f t="shared" si="133"/>
        <v>47.280373831775705</v>
      </c>
      <c r="P943" s="1445"/>
      <c r="Q943" s="1390"/>
      <c r="R943" s="1395"/>
    </row>
    <row r="944" spans="1:18" ht="24">
      <c r="A944" s="1443">
        <v>4210</v>
      </c>
      <c r="B944" s="1669" t="s">
        <v>690</v>
      </c>
      <c r="C944" s="1389">
        <v>10700</v>
      </c>
      <c r="D944" s="830">
        <f t="shared" si="131"/>
        <v>10700</v>
      </c>
      <c r="E944" s="1390">
        <f t="shared" si="134"/>
        <v>5059</v>
      </c>
      <c r="F944" s="1690">
        <f t="shared" si="132"/>
        <v>47.280373831775705</v>
      </c>
      <c r="G944" s="1389"/>
      <c r="H944" s="1390"/>
      <c r="I944" s="1605"/>
      <c r="J944" s="1445"/>
      <c r="K944" s="1390"/>
      <c r="L944" s="1446"/>
      <c r="M944" s="1389">
        <v>10700</v>
      </c>
      <c r="N944" s="1390">
        <v>5059</v>
      </c>
      <c r="O944" s="1395">
        <f t="shared" si="133"/>
        <v>47.280373831775705</v>
      </c>
      <c r="P944" s="1445"/>
      <c r="Q944" s="1390"/>
      <c r="R944" s="1395"/>
    </row>
    <row r="945" spans="1:18" ht="15" customHeight="1">
      <c r="A945" s="1443">
        <v>4260</v>
      </c>
      <c r="B945" s="1669" t="s">
        <v>694</v>
      </c>
      <c r="C945" s="1389">
        <v>20600</v>
      </c>
      <c r="D945" s="830">
        <f aca="true" t="shared" si="135" ref="D945:D984">G945+J945+P945+M945</f>
        <v>20600</v>
      </c>
      <c r="E945" s="1390">
        <f t="shared" si="134"/>
        <v>9740</v>
      </c>
      <c r="F945" s="1690">
        <f t="shared" si="132"/>
        <v>47.28155339805825</v>
      </c>
      <c r="G945" s="1389"/>
      <c r="H945" s="1390"/>
      <c r="I945" s="1605"/>
      <c r="J945" s="1445"/>
      <c r="K945" s="1390"/>
      <c r="L945" s="1446"/>
      <c r="M945" s="1389">
        <v>20600</v>
      </c>
      <c r="N945" s="1390">
        <v>9740</v>
      </c>
      <c r="O945" s="1395">
        <f t="shared" si="133"/>
        <v>47.28155339805825</v>
      </c>
      <c r="P945" s="1445"/>
      <c r="Q945" s="1390"/>
      <c r="R945" s="1395"/>
    </row>
    <row r="946" spans="1:18" ht="15" customHeight="1">
      <c r="A946" s="1443">
        <v>4280</v>
      </c>
      <c r="B946" s="1669" t="s">
        <v>745</v>
      </c>
      <c r="C946" s="1389">
        <v>1000</v>
      </c>
      <c r="D946" s="830">
        <f>G946+J946+P946+M946</f>
        <v>1000</v>
      </c>
      <c r="E946" s="1390">
        <f>SUM(H946+K946+N946+Q946)</f>
        <v>473</v>
      </c>
      <c r="F946" s="1690">
        <f t="shared" si="132"/>
        <v>47.3</v>
      </c>
      <c r="G946" s="1389"/>
      <c r="H946" s="1390"/>
      <c r="I946" s="1605"/>
      <c r="J946" s="1445"/>
      <c r="K946" s="1390"/>
      <c r="L946" s="1446"/>
      <c r="M946" s="1389">
        <v>1000</v>
      </c>
      <c r="N946" s="1390">
        <v>473</v>
      </c>
      <c r="O946" s="1395">
        <f t="shared" si="133"/>
        <v>47.3</v>
      </c>
      <c r="P946" s="1445"/>
      <c r="Q946" s="1390"/>
      <c r="R946" s="1395"/>
    </row>
    <row r="947" spans="1:18" ht="15" customHeight="1">
      <c r="A947" s="1443">
        <v>4300</v>
      </c>
      <c r="B947" s="1669" t="s">
        <v>746</v>
      </c>
      <c r="C947" s="1389">
        <v>13300</v>
      </c>
      <c r="D947" s="830">
        <f t="shared" si="135"/>
        <v>13300</v>
      </c>
      <c r="E947" s="1390">
        <f t="shared" si="134"/>
        <v>6288</v>
      </c>
      <c r="F947" s="1690">
        <f t="shared" si="132"/>
        <v>47.2781954887218</v>
      </c>
      <c r="G947" s="1389"/>
      <c r="H947" s="1390"/>
      <c r="I947" s="1605"/>
      <c r="J947" s="1445"/>
      <c r="K947" s="1390"/>
      <c r="L947" s="1446"/>
      <c r="M947" s="1389">
        <v>13300</v>
      </c>
      <c r="N947" s="1390">
        <v>6288</v>
      </c>
      <c r="O947" s="1395">
        <f t="shared" si="133"/>
        <v>47.2781954887218</v>
      </c>
      <c r="P947" s="1445"/>
      <c r="Q947" s="1390"/>
      <c r="R947" s="1395"/>
    </row>
    <row r="948" spans="1:18" ht="24">
      <c r="A948" s="1443">
        <v>4350</v>
      </c>
      <c r="B948" s="1669" t="s">
        <v>869</v>
      </c>
      <c r="C948" s="1389">
        <v>1000</v>
      </c>
      <c r="D948" s="830">
        <f>G948+J948+P948+M948</f>
        <v>1000</v>
      </c>
      <c r="E948" s="1390">
        <f>SUM(H948+K948+N948+Q948)</f>
        <v>473</v>
      </c>
      <c r="F948" s="1690">
        <f t="shared" si="132"/>
        <v>47.3</v>
      </c>
      <c r="G948" s="1389"/>
      <c r="H948" s="1390"/>
      <c r="I948" s="1605"/>
      <c r="J948" s="1445"/>
      <c r="K948" s="1390"/>
      <c r="L948" s="1446"/>
      <c r="M948" s="1389">
        <v>1000</v>
      </c>
      <c r="N948" s="1390">
        <v>473</v>
      </c>
      <c r="O948" s="1395">
        <f t="shared" si="133"/>
        <v>47.3</v>
      </c>
      <c r="P948" s="1445"/>
      <c r="Q948" s="1390"/>
      <c r="R948" s="1395"/>
    </row>
    <row r="949" spans="1:18" ht="15" customHeight="1">
      <c r="A949" s="1443">
        <v>4410</v>
      </c>
      <c r="B949" s="1669" t="s">
        <v>672</v>
      </c>
      <c r="C949" s="1389">
        <v>1100</v>
      </c>
      <c r="D949" s="830">
        <f t="shared" si="135"/>
        <v>1100</v>
      </c>
      <c r="E949" s="1390">
        <f t="shared" si="134"/>
        <v>520</v>
      </c>
      <c r="F949" s="1690">
        <f t="shared" si="132"/>
        <v>47.27272727272727</v>
      </c>
      <c r="G949" s="1389"/>
      <c r="H949" s="1390"/>
      <c r="I949" s="1605"/>
      <c r="J949" s="1445"/>
      <c r="K949" s="1390"/>
      <c r="L949" s="1446"/>
      <c r="M949" s="1389">
        <v>1100</v>
      </c>
      <c r="N949" s="1390">
        <v>520</v>
      </c>
      <c r="O949" s="1395">
        <f t="shared" si="133"/>
        <v>47.27272727272727</v>
      </c>
      <c r="P949" s="1445"/>
      <c r="Q949" s="1390"/>
      <c r="R949" s="1395"/>
    </row>
    <row r="950" spans="1:18" ht="15" customHeight="1">
      <c r="A950" s="1443">
        <v>4440</v>
      </c>
      <c r="B950" s="1669" t="s">
        <v>702</v>
      </c>
      <c r="C950" s="1389">
        <v>7700</v>
      </c>
      <c r="D950" s="830">
        <f t="shared" si="135"/>
        <v>7700</v>
      </c>
      <c r="E950" s="1390">
        <f>SUM(H950+K950+N950+Q950)</f>
        <v>7000</v>
      </c>
      <c r="F950" s="1690">
        <f t="shared" si="132"/>
        <v>90.9090909090909</v>
      </c>
      <c r="G950" s="1389"/>
      <c r="H950" s="1390"/>
      <c r="I950" s="1605"/>
      <c r="J950" s="1445"/>
      <c r="K950" s="1445"/>
      <c r="L950" s="1446"/>
      <c r="M950" s="1389">
        <v>7700</v>
      </c>
      <c r="N950" s="1390">
        <v>7000</v>
      </c>
      <c r="O950" s="1369">
        <f t="shared" si="133"/>
        <v>90.9090909090909</v>
      </c>
      <c r="P950" s="1445"/>
      <c r="Q950" s="1390"/>
      <c r="R950" s="1395"/>
    </row>
    <row r="951" spans="1:18" ht="38.25" customHeight="1">
      <c r="A951" s="1492">
        <v>6060</v>
      </c>
      <c r="B951" s="1670" t="s">
        <v>841</v>
      </c>
      <c r="C951" s="1494">
        <v>10200</v>
      </c>
      <c r="D951" s="862">
        <f t="shared" si="135"/>
        <v>10200</v>
      </c>
      <c r="E951" s="1487">
        <f>SUM(H951+K951+N951+Q951)</f>
        <v>0</v>
      </c>
      <c r="F951" s="1714">
        <f t="shared" si="132"/>
        <v>0</v>
      </c>
      <c r="G951" s="1494"/>
      <c r="H951" s="1487"/>
      <c r="I951" s="1705"/>
      <c r="J951" s="1495"/>
      <c r="K951" s="1495"/>
      <c r="L951" s="1551"/>
      <c r="M951" s="1494">
        <v>10200</v>
      </c>
      <c r="N951" s="1487"/>
      <c r="O951" s="1369">
        <f t="shared" si="133"/>
        <v>0</v>
      </c>
      <c r="P951" s="1495"/>
      <c r="Q951" s="1487"/>
      <c r="R951" s="1420"/>
    </row>
    <row r="952" spans="1:18" ht="24.75" customHeight="1">
      <c r="A952" s="1436">
        <v>85219</v>
      </c>
      <c r="B952" s="1668" t="s">
        <v>629</v>
      </c>
      <c r="C952" s="1438">
        <f>SUM(C953:C977)</f>
        <v>5421533</v>
      </c>
      <c r="D952" s="845">
        <f t="shared" si="135"/>
        <v>5879362</v>
      </c>
      <c r="E952" s="845">
        <f>H952+K952+Q952+N952</f>
        <v>2908755</v>
      </c>
      <c r="F952" s="1716">
        <f t="shared" si="132"/>
        <v>49.473990545232624</v>
      </c>
      <c r="G952" s="823">
        <f>SUM(G953:G977)</f>
        <v>5879362</v>
      </c>
      <c r="H952" s="1380">
        <f>SUM(H953:H977)</f>
        <v>2908755</v>
      </c>
      <c r="I952" s="1381">
        <f aca="true" t="shared" si="136" ref="I952:I977">H952/G952*100</f>
        <v>49.473990545232624</v>
      </c>
      <c r="J952" s="1440"/>
      <c r="K952" s="1440"/>
      <c r="L952" s="1475"/>
      <c r="M952" s="1380"/>
      <c r="N952" s="1380"/>
      <c r="O952" s="1388"/>
      <c r="P952" s="1380"/>
      <c r="Q952" s="1380"/>
      <c r="R952" s="1478"/>
    </row>
    <row r="953" spans="1:18" ht="36">
      <c r="A953" s="1422">
        <v>3020</v>
      </c>
      <c r="B953" s="1689" t="s">
        <v>1266</v>
      </c>
      <c r="C953" s="1393">
        <v>8000</v>
      </c>
      <c r="D953" s="869">
        <f t="shared" si="135"/>
        <v>20310</v>
      </c>
      <c r="E953" s="1407">
        <f>SUM(H953+K953+N953+Q953)</f>
        <v>16446</v>
      </c>
      <c r="F953" s="1717">
        <f t="shared" si="132"/>
        <v>80.97488921713442</v>
      </c>
      <c r="G953" s="1393">
        <f>8000+12310</f>
        <v>20310</v>
      </c>
      <c r="H953" s="1407">
        <v>16446</v>
      </c>
      <c r="I953" s="1391">
        <f t="shared" si="136"/>
        <v>80.97488921713442</v>
      </c>
      <c r="J953" s="1548"/>
      <c r="K953" s="1407"/>
      <c r="L953" s="1410"/>
      <c r="M953" s="1407"/>
      <c r="N953" s="1407"/>
      <c r="O953" s="1374"/>
      <c r="P953" s="1407"/>
      <c r="Q953" s="1407"/>
      <c r="R953" s="1550"/>
    </row>
    <row r="954" spans="1:18" ht="24">
      <c r="A954" s="1443">
        <v>4010</v>
      </c>
      <c r="B954" s="1669" t="s">
        <v>837</v>
      </c>
      <c r="C954" s="1389">
        <v>3583547</v>
      </c>
      <c r="D954" s="830">
        <f t="shared" si="135"/>
        <v>3676047</v>
      </c>
      <c r="E954" s="1390">
        <f>SUM(H954+K954+N954+Q954)</f>
        <v>1754452</v>
      </c>
      <c r="F954" s="1690">
        <f t="shared" si="132"/>
        <v>47.72659326716987</v>
      </c>
      <c r="G954" s="1389">
        <f>3583547-42500+135000</f>
        <v>3676047</v>
      </c>
      <c r="H954" s="1390">
        <v>1754452</v>
      </c>
      <c r="I954" s="1366">
        <f t="shared" si="136"/>
        <v>47.72659326716987</v>
      </c>
      <c r="J954" s="1445"/>
      <c r="K954" s="1390"/>
      <c r="L954" s="1369"/>
      <c r="M954" s="1390"/>
      <c r="N954" s="1390"/>
      <c r="O954" s="1395"/>
      <c r="P954" s="1390"/>
      <c r="Q954" s="1390"/>
      <c r="R954" s="1454"/>
    </row>
    <row r="955" spans="1:18" ht="24">
      <c r="A955" s="1443">
        <v>4040</v>
      </c>
      <c r="B955" s="1669" t="s">
        <v>740</v>
      </c>
      <c r="C955" s="1389">
        <v>281894</v>
      </c>
      <c r="D955" s="830">
        <f t="shared" si="135"/>
        <v>274557</v>
      </c>
      <c r="E955" s="1390">
        <f>SUM(H955+K955+N955+Q955)</f>
        <v>252796</v>
      </c>
      <c r="F955" s="1690">
        <f t="shared" si="132"/>
        <v>92.07414125300029</v>
      </c>
      <c r="G955" s="1389">
        <f>281894-40667+33330</f>
        <v>274557</v>
      </c>
      <c r="H955" s="1390">
        <v>252796</v>
      </c>
      <c r="I955" s="1366">
        <f t="shared" si="136"/>
        <v>92.07414125300029</v>
      </c>
      <c r="J955" s="1445"/>
      <c r="K955" s="1390"/>
      <c r="L955" s="1369"/>
      <c r="M955" s="1390"/>
      <c r="N955" s="1390"/>
      <c r="O955" s="1395"/>
      <c r="P955" s="1390"/>
      <c r="Q955" s="1390"/>
      <c r="R955" s="1454"/>
    </row>
    <row r="956" spans="1:18" ht="24">
      <c r="A956" s="1443">
        <v>4110</v>
      </c>
      <c r="B956" s="1669" t="s">
        <v>686</v>
      </c>
      <c r="C956" s="1389">
        <v>684164</v>
      </c>
      <c r="D956" s="830">
        <f t="shared" si="135"/>
        <v>638184</v>
      </c>
      <c r="E956" s="1390">
        <f aca="true" t="shared" si="137" ref="E956:E969">SUM(H956+K956+N956+Q956)</f>
        <v>343192</v>
      </c>
      <c r="F956" s="1690">
        <f t="shared" si="132"/>
        <v>53.776340365787924</v>
      </c>
      <c r="G956" s="1389">
        <f>684164-7550-5000-33330-100</f>
        <v>638184</v>
      </c>
      <c r="H956" s="1390">
        <v>343192</v>
      </c>
      <c r="I956" s="1366">
        <f t="shared" si="136"/>
        <v>53.776340365787924</v>
      </c>
      <c r="J956" s="1445"/>
      <c r="K956" s="1390"/>
      <c r="L956" s="1369"/>
      <c r="M956" s="1390"/>
      <c r="N956" s="1390"/>
      <c r="O956" s="1395"/>
      <c r="P956" s="1390"/>
      <c r="Q956" s="1390"/>
      <c r="R956" s="1454"/>
    </row>
    <row r="957" spans="1:18" ht="12.75">
      <c r="A957" s="1443">
        <v>4120</v>
      </c>
      <c r="B957" s="1669" t="s">
        <v>781</v>
      </c>
      <c r="C957" s="1389">
        <v>94715</v>
      </c>
      <c r="D957" s="830">
        <f t="shared" si="135"/>
        <v>93585</v>
      </c>
      <c r="E957" s="1390">
        <f t="shared" si="137"/>
        <v>46379</v>
      </c>
      <c r="F957" s="1690">
        <f t="shared" si="132"/>
        <v>49.55815568734306</v>
      </c>
      <c r="G957" s="1389">
        <f>94715-1130</f>
        <v>93585</v>
      </c>
      <c r="H957" s="1390">
        <v>46379</v>
      </c>
      <c r="I957" s="1366">
        <f t="shared" si="136"/>
        <v>49.55815568734306</v>
      </c>
      <c r="J957" s="1445"/>
      <c r="K957" s="1390"/>
      <c r="L957" s="1369"/>
      <c r="M957" s="1390"/>
      <c r="N957" s="1390"/>
      <c r="O957" s="1395"/>
      <c r="P957" s="1390"/>
      <c r="Q957" s="1390"/>
      <c r="R957" s="1454"/>
    </row>
    <row r="958" spans="1:18" ht="12.75">
      <c r="A958" s="1443">
        <v>4140</v>
      </c>
      <c r="B958" s="1669" t="s">
        <v>743</v>
      </c>
      <c r="C958" s="1389"/>
      <c r="D958" s="830">
        <f>G958+J958+P958+M958</f>
        <v>5000</v>
      </c>
      <c r="E958" s="1390">
        <f>SUM(H958+K958+N958+Q958)</f>
        <v>2614</v>
      </c>
      <c r="F958" s="1690">
        <f>E958/D958*100</f>
        <v>52.28</v>
      </c>
      <c r="G958" s="1389">
        <v>5000</v>
      </c>
      <c r="H958" s="1390">
        <f>2613+1</f>
        <v>2614</v>
      </c>
      <c r="I958" s="1366">
        <f t="shared" si="136"/>
        <v>52.28</v>
      </c>
      <c r="J958" s="1445"/>
      <c r="K958" s="1390"/>
      <c r="L958" s="1369"/>
      <c r="M958" s="1390"/>
      <c r="N958" s="1390"/>
      <c r="O958" s="1395"/>
      <c r="P958" s="1390"/>
      <c r="Q958" s="1390"/>
      <c r="R958" s="1454"/>
    </row>
    <row r="959" spans="1:18" ht="24">
      <c r="A959" s="1443">
        <v>4170</v>
      </c>
      <c r="B959" s="1669" t="s">
        <v>744</v>
      </c>
      <c r="C959" s="1389">
        <v>8000</v>
      </c>
      <c r="D959" s="830">
        <f t="shared" si="135"/>
        <v>8000</v>
      </c>
      <c r="E959" s="1390">
        <f t="shared" si="137"/>
        <v>4569</v>
      </c>
      <c r="F959" s="1690">
        <f t="shared" si="132"/>
        <v>57.1125</v>
      </c>
      <c r="G959" s="1389">
        <v>8000</v>
      </c>
      <c r="H959" s="1390">
        <v>4569</v>
      </c>
      <c r="I959" s="1366">
        <f t="shared" si="136"/>
        <v>57.1125</v>
      </c>
      <c r="J959" s="1445"/>
      <c r="K959" s="1390"/>
      <c r="L959" s="1369"/>
      <c r="M959" s="1390"/>
      <c r="N959" s="1390"/>
      <c r="O959" s="1395"/>
      <c r="P959" s="1390"/>
      <c r="Q959" s="1390"/>
      <c r="R959" s="1454"/>
    </row>
    <row r="960" spans="1:18" ht="24">
      <c r="A960" s="1443">
        <v>4210</v>
      </c>
      <c r="B960" s="1669" t="s">
        <v>690</v>
      </c>
      <c r="C960" s="1389">
        <v>111600</v>
      </c>
      <c r="D960" s="830">
        <f t="shared" si="135"/>
        <v>123516</v>
      </c>
      <c r="E960" s="1390">
        <f t="shared" si="137"/>
        <v>64638</v>
      </c>
      <c r="F960" s="1690">
        <f t="shared" si="132"/>
        <v>52.331681725444476</v>
      </c>
      <c r="G960" s="1389">
        <f>111600+11916</f>
        <v>123516</v>
      </c>
      <c r="H960" s="1390">
        <v>64638</v>
      </c>
      <c r="I960" s="1366">
        <f t="shared" si="136"/>
        <v>52.331681725444476</v>
      </c>
      <c r="J960" s="1445"/>
      <c r="K960" s="1390"/>
      <c r="L960" s="1369"/>
      <c r="M960" s="1390"/>
      <c r="N960" s="1390"/>
      <c r="O960" s="1395"/>
      <c r="P960" s="1390"/>
      <c r="Q960" s="1390"/>
      <c r="R960" s="1454"/>
    </row>
    <row r="961" spans="1:18" ht="12.75">
      <c r="A961" s="1443">
        <v>4260</v>
      </c>
      <c r="B961" s="1669" t="s">
        <v>694</v>
      </c>
      <c r="C961" s="1389">
        <v>57425</v>
      </c>
      <c r="D961" s="830">
        <f t="shared" si="135"/>
        <v>57425</v>
      </c>
      <c r="E961" s="1390">
        <f t="shared" si="137"/>
        <v>41272</v>
      </c>
      <c r="F961" s="1690">
        <f t="shared" si="132"/>
        <v>71.87113626469308</v>
      </c>
      <c r="G961" s="1389">
        <v>57425</v>
      </c>
      <c r="H961" s="1390">
        <v>41272</v>
      </c>
      <c r="I961" s="1366">
        <f t="shared" si="136"/>
        <v>71.87113626469308</v>
      </c>
      <c r="J961" s="1445"/>
      <c r="K961" s="1390"/>
      <c r="L961" s="1369"/>
      <c r="M961" s="1390"/>
      <c r="N961" s="1390"/>
      <c r="O961" s="1395"/>
      <c r="P961" s="1390"/>
      <c r="Q961" s="1390"/>
      <c r="R961" s="1454"/>
    </row>
    <row r="962" spans="1:18" ht="15" customHeight="1">
      <c r="A962" s="1443">
        <v>4270</v>
      </c>
      <c r="B962" s="1669" t="s">
        <v>696</v>
      </c>
      <c r="C962" s="1389">
        <v>105000</v>
      </c>
      <c r="D962" s="830">
        <f t="shared" si="135"/>
        <v>105000</v>
      </c>
      <c r="E962" s="1390">
        <f t="shared" si="137"/>
        <v>10424</v>
      </c>
      <c r="F962" s="1690">
        <f t="shared" si="132"/>
        <v>9.927619047619048</v>
      </c>
      <c r="G962" s="1389">
        <v>105000</v>
      </c>
      <c r="H962" s="1390">
        <v>10424</v>
      </c>
      <c r="I962" s="1366">
        <f t="shared" si="136"/>
        <v>9.927619047619048</v>
      </c>
      <c r="J962" s="1445"/>
      <c r="K962" s="1390"/>
      <c r="L962" s="1369"/>
      <c r="M962" s="1390"/>
      <c r="N962" s="1390"/>
      <c r="O962" s="1395"/>
      <c r="P962" s="1390"/>
      <c r="Q962" s="1390"/>
      <c r="R962" s="1454"/>
    </row>
    <row r="963" spans="1:18" ht="15" customHeight="1">
      <c r="A963" s="1443">
        <v>4280</v>
      </c>
      <c r="B963" s="1669" t="s">
        <v>745</v>
      </c>
      <c r="C963" s="1389">
        <v>4000</v>
      </c>
      <c r="D963" s="830">
        <f t="shared" si="135"/>
        <v>4000</v>
      </c>
      <c r="E963" s="1390">
        <f t="shared" si="137"/>
        <v>1905</v>
      </c>
      <c r="F963" s="1690">
        <f t="shared" si="132"/>
        <v>47.625</v>
      </c>
      <c r="G963" s="1389">
        <v>4000</v>
      </c>
      <c r="H963" s="1390">
        <v>1905</v>
      </c>
      <c r="I963" s="1366">
        <f t="shared" si="136"/>
        <v>47.625</v>
      </c>
      <c r="J963" s="1445"/>
      <c r="K963" s="1390"/>
      <c r="L963" s="1369"/>
      <c r="M963" s="1390"/>
      <c r="N963" s="1390"/>
      <c r="O963" s="1395"/>
      <c r="P963" s="1390"/>
      <c r="Q963" s="1390"/>
      <c r="R963" s="1454"/>
    </row>
    <row r="964" spans="1:18" ht="15" customHeight="1">
      <c r="A964" s="1443">
        <v>4300</v>
      </c>
      <c r="B964" s="1669" t="s">
        <v>746</v>
      </c>
      <c r="C964" s="1389">
        <v>263040</v>
      </c>
      <c r="D964" s="830">
        <f t="shared" si="135"/>
        <v>251338</v>
      </c>
      <c r="E964" s="1390">
        <f t="shared" si="137"/>
        <v>178331</v>
      </c>
      <c r="F964" s="1690">
        <f t="shared" si="132"/>
        <v>70.95266135642045</v>
      </c>
      <c r="G964" s="1389">
        <f>263040-11700-2</f>
        <v>251338</v>
      </c>
      <c r="H964" s="1390">
        <v>178331</v>
      </c>
      <c r="I964" s="1366">
        <f t="shared" si="136"/>
        <v>70.95266135642045</v>
      </c>
      <c r="J964" s="1445"/>
      <c r="K964" s="1390"/>
      <c r="L964" s="1369"/>
      <c r="M964" s="1390"/>
      <c r="N964" s="1390"/>
      <c r="O964" s="1395"/>
      <c r="P964" s="1390"/>
      <c r="Q964" s="1390"/>
      <c r="R964" s="1454"/>
    </row>
    <row r="965" spans="1:18" ht="24">
      <c r="A965" s="1443">
        <v>4350</v>
      </c>
      <c r="B965" s="1669" t="s">
        <v>869</v>
      </c>
      <c r="C965" s="1389">
        <v>3000</v>
      </c>
      <c r="D965" s="830">
        <f t="shared" si="135"/>
        <v>3000</v>
      </c>
      <c r="E965" s="1390">
        <f t="shared" si="137"/>
        <v>2047</v>
      </c>
      <c r="F965" s="1690">
        <f t="shared" si="132"/>
        <v>68.23333333333333</v>
      </c>
      <c r="G965" s="1389">
        <v>3000</v>
      </c>
      <c r="H965" s="1390">
        <v>2047</v>
      </c>
      <c r="I965" s="1366">
        <f t="shared" si="136"/>
        <v>68.23333333333333</v>
      </c>
      <c r="J965" s="1445"/>
      <c r="K965" s="1390"/>
      <c r="L965" s="1369"/>
      <c r="M965" s="1390"/>
      <c r="N965" s="1390"/>
      <c r="O965" s="1395"/>
      <c r="P965" s="1390"/>
      <c r="Q965" s="1390"/>
      <c r="R965" s="1454"/>
    </row>
    <row r="966" spans="1:18" ht="15" customHeight="1">
      <c r="A966" s="1443">
        <v>4410</v>
      </c>
      <c r="B966" s="1669" t="s">
        <v>672</v>
      </c>
      <c r="C966" s="1389">
        <v>61900</v>
      </c>
      <c r="D966" s="830">
        <f t="shared" si="135"/>
        <v>60940</v>
      </c>
      <c r="E966" s="1390">
        <f t="shared" si="137"/>
        <v>36462</v>
      </c>
      <c r="F966" s="1690">
        <f t="shared" si="132"/>
        <v>59.83262225139482</v>
      </c>
      <c r="G966" s="1389">
        <f>61900-960</f>
        <v>60940</v>
      </c>
      <c r="H966" s="1390">
        <v>36462</v>
      </c>
      <c r="I966" s="1366">
        <f t="shared" si="136"/>
        <v>59.83262225139482</v>
      </c>
      <c r="J966" s="1445"/>
      <c r="K966" s="1390"/>
      <c r="L966" s="1369"/>
      <c r="M966" s="1390"/>
      <c r="N966" s="1390"/>
      <c r="O966" s="1395"/>
      <c r="P966" s="1390"/>
      <c r="Q966" s="1390"/>
      <c r="R966" s="1454"/>
    </row>
    <row r="967" spans="1:18" ht="24" hidden="1">
      <c r="A967" s="1443">
        <v>4420</v>
      </c>
      <c r="B967" s="1669" t="s">
        <v>785</v>
      </c>
      <c r="C967" s="1389"/>
      <c r="D967" s="830">
        <f t="shared" si="135"/>
        <v>0</v>
      </c>
      <c r="E967" s="1390">
        <f t="shared" si="137"/>
        <v>0</v>
      </c>
      <c r="F967" s="1690" t="e">
        <f t="shared" si="132"/>
        <v>#DIV/0!</v>
      </c>
      <c r="G967" s="1389"/>
      <c r="H967" s="1390"/>
      <c r="I967" s="1366" t="e">
        <f t="shared" si="136"/>
        <v>#DIV/0!</v>
      </c>
      <c r="J967" s="1445"/>
      <c r="K967" s="1390"/>
      <c r="L967" s="1369"/>
      <c r="M967" s="1390"/>
      <c r="N967" s="1390"/>
      <c r="O967" s="1395"/>
      <c r="P967" s="1390"/>
      <c r="Q967" s="1390"/>
      <c r="R967" s="1454"/>
    </row>
    <row r="968" spans="1:18" ht="15" customHeight="1">
      <c r="A968" s="1443">
        <v>4430</v>
      </c>
      <c r="B968" s="1669" t="s">
        <v>700</v>
      </c>
      <c r="C968" s="1389">
        <v>15700</v>
      </c>
      <c r="D968" s="830">
        <f t="shared" si="135"/>
        <v>15700</v>
      </c>
      <c r="E968" s="1390">
        <f t="shared" si="137"/>
        <v>7980</v>
      </c>
      <c r="F968" s="1690">
        <f t="shared" si="132"/>
        <v>50.82802547770701</v>
      </c>
      <c r="G968" s="1389">
        <v>15700</v>
      </c>
      <c r="H968" s="1390">
        <v>7980</v>
      </c>
      <c r="I968" s="1366">
        <f t="shared" si="136"/>
        <v>50.82802547770701</v>
      </c>
      <c r="J968" s="1445"/>
      <c r="K968" s="1390"/>
      <c r="L968" s="1369"/>
      <c r="M968" s="1390"/>
      <c r="N968" s="1390"/>
      <c r="O968" s="1395"/>
      <c r="P968" s="1390"/>
      <c r="Q968" s="1390"/>
      <c r="R968" s="1454"/>
    </row>
    <row r="969" spans="1:18" ht="15" customHeight="1">
      <c r="A969" s="1443">
        <v>4440</v>
      </c>
      <c r="B969" s="1669" t="s">
        <v>702</v>
      </c>
      <c r="C969" s="1389">
        <v>113238</v>
      </c>
      <c r="D969" s="830">
        <f t="shared" si="135"/>
        <v>113238</v>
      </c>
      <c r="E969" s="1390">
        <f t="shared" si="137"/>
        <v>102524</v>
      </c>
      <c r="F969" s="1690">
        <f t="shared" si="132"/>
        <v>90.53851180699058</v>
      </c>
      <c r="G969" s="1389">
        <v>113238</v>
      </c>
      <c r="H969" s="1390">
        <v>102524</v>
      </c>
      <c r="I969" s="1366">
        <f t="shared" si="136"/>
        <v>90.53851180699058</v>
      </c>
      <c r="J969" s="1445"/>
      <c r="K969" s="1390"/>
      <c r="L969" s="1369"/>
      <c r="M969" s="1390"/>
      <c r="N969" s="1390"/>
      <c r="O969" s="1395"/>
      <c r="P969" s="1390"/>
      <c r="Q969" s="1390"/>
      <c r="R969" s="1454"/>
    </row>
    <row r="970" spans="1:18" ht="17.25" customHeight="1">
      <c r="A970" s="1443">
        <v>4480</v>
      </c>
      <c r="B970" s="1669" t="s">
        <v>198</v>
      </c>
      <c r="C970" s="1389">
        <v>5860</v>
      </c>
      <c r="D970" s="830">
        <f t="shared" si="135"/>
        <v>5860</v>
      </c>
      <c r="E970" s="830">
        <f>H970+K970+Q970+N970</f>
        <v>3210</v>
      </c>
      <c r="F970" s="1690">
        <f t="shared" si="132"/>
        <v>54.778156996587036</v>
      </c>
      <c r="G970" s="1389">
        <v>5860</v>
      </c>
      <c r="H970" s="1390">
        <v>3210</v>
      </c>
      <c r="I970" s="1366">
        <f t="shared" si="136"/>
        <v>54.778156996587036</v>
      </c>
      <c r="J970" s="1445"/>
      <c r="K970" s="1390"/>
      <c r="L970" s="1369"/>
      <c r="M970" s="1390"/>
      <c r="N970" s="1390"/>
      <c r="O970" s="1395"/>
      <c r="P970" s="1390"/>
      <c r="Q970" s="1390"/>
      <c r="R970" s="1454"/>
    </row>
    <row r="971" spans="1:18" ht="15" customHeight="1" hidden="1">
      <c r="A971" s="1443">
        <v>4580</v>
      </c>
      <c r="B971" s="1669" t="s">
        <v>750</v>
      </c>
      <c r="C971" s="1389"/>
      <c r="D971" s="830">
        <f t="shared" si="135"/>
        <v>0</v>
      </c>
      <c r="E971" s="830">
        <f>H971+K971+Q971+N971</f>
        <v>0</v>
      </c>
      <c r="F971" s="1690" t="e">
        <f t="shared" si="132"/>
        <v>#DIV/0!</v>
      </c>
      <c r="G971" s="1389"/>
      <c r="H971" s="1390"/>
      <c r="I971" s="1366" t="e">
        <f t="shared" si="136"/>
        <v>#DIV/0!</v>
      </c>
      <c r="J971" s="1445"/>
      <c r="K971" s="1390"/>
      <c r="L971" s="1369"/>
      <c r="M971" s="1390"/>
      <c r="N971" s="1390"/>
      <c r="O971" s="1395"/>
      <c r="P971" s="1390"/>
      <c r="Q971" s="1390"/>
      <c r="R971" s="1454"/>
    </row>
    <row r="972" spans="1:18" ht="24">
      <c r="A972" s="1443">
        <v>4530</v>
      </c>
      <c r="B972" s="1669" t="s">
        <v>28</v>
      </c>
      <c r="C972" s="1389">
        <v>300</v>
      </c>
      <c r="D972" s="830">
        <f t="shared" si="135"/>
        <v>300</v>
      </c>
      <c r="E972" s="1390">
        <f aca="true" t="shared" si="138" ref="E972:E977">SUM(H972+K972+N972+Q972)</f>
        <v>85</v>
      </c>
      <c r="F972" s="1690">
        <f t="shared" si="132"/>
        <v>28.333333333333332</v>
      </c>
      <c r="G972" s="1389">
        <v>300</v>
      </c>
      <c r="H972" s="1390">
        <v>85</v>
      </c>
      <c r="I972" s="1366">
        <f t="shared" si="136"/>
        <v>28.333333333333332</v>
      </c>
      <c r="J972" s="1445"/>
      <c r="K972" s="1390"/>
      <c r="L972" s="1369"/>
      <c r="M972" s="1390"/>
      <c r="N972" s="1390"/>
      <c r="O972" s="1395"/>
      <c r="P972" s="1390"/>
      <c r="Q972" s="1390"/>
      <c r="R972" s="1454"/>
    </row>
    <row r="973" spans="1:18" ht="12.75">
      <c r="A973" s="1443">
        <v>4580</v>
      </c>
      <c r="B973" s="1669" t="s">
        <v>750</v>
      </c>
      <c r="C973" s="1389"/>
      <c r="D973" s="830">
        <f t="shared" si="135"/>
        <v>3212</v>
      </c>
      <c r="E973" s="1390">
        <f t="shared" si="138"/>
        <v>3196</v>
      </c>
      <c r="F973" s="1690">
        <f t="shared" si="132"/>
        <v>99.50186799501867</v>
      </c>
      <c r="G973" s="1389">
        <f>3110+2+100</f>
        <v>3212</v>
      </c>
      <c r="H973" s="1390">
        <v>3196</v>
      </c>
      <c r="I973" s="1366">
        <f t="shared" si="136"/>
        <v>99.50186799501867</v>
      </c>
      <c r="J973" s="1445"/>
      <c r="K973" s="1390"/>
      <c r="L973" s="1369"/>
      <c r="M973" s="1390"/>
      <c r="N973" s="1390"/>
      <c r="O973" s="1395"/>
      <c r="P973" s="1390"/>
      <c r="Q973" s="1390"/>
      <c r="R973" s="1454"/>
    </row>
    <row r="974" spans="1:18" ht="36">
      <c r="A974" s="1443">
        <v>4610</v>
      </c>
      <c r="B974" s="1669" t="s">
        <v>29</v>
      </c>
      <c r="C974" s="1389">
        <v>350</v>
      </c>
      <c r="D974" s="830">
        <f t="shared" si="135"/>
        <v>350</v>
      </c>
      <c r="E974" s="1390">
        <f t="shared" si="138"/>
        <v>2</v>
      </c>
      <c r="F974" s="1690">
        <f t="shared" si="132"/>
        <v>0.5714285714285714</v>
      </c>
      <c r="G974" s="1389">
        <v>350</v>
      </c>
      <c r="H974" s="1390">
        <v>2</v>
      </c>
      <c r="I974" s="1366">
        <f t="shared" si="136"/>
        <v>0.5714285714285714</v>
      </c>
      <c r="J974" s="1445"/>
      <c r="K974" s="1390"/>
      <c r="L974" s="1369"/>
      <c r="M974" s="1390"/>
      <c r="N974" s="1390"/>
      <c r="O974" s="1395"/>
      <c r="P974" s="1390"/>
      <c r="Q974" s="1390"/>
      <c r="R974" s="1454"/>
    </row>
    <row r="975" spans="1:18" ht="12.75" hidden="1">
      <c r="A975" s="1443">
        <v>4990</v>
      </c>
      <c r="B975" s="1669" t="s">
        <v>30</v>
      </c>
      <c r="C975" s="1389"/>
      <c r="D975" s="830">
        <f>G975+J975+P975+M975</f>
        <v>0</v>
      </c>
      <c r="E975" s="1390">
        <f t="shared" si="138"/>
        <v>0</v>
      </c>
      <c r="F975" s="1690" t="e">
        <f t="shared" si="132"/>
        <v>#DIV/0!</v>
      </c>
      <c r="G975" s="1389"/>
      <c r="H975" s="1390"/>
      <c r="I975" s="1366" t="e">
        <f t="shared" si="136"/>
        <v>#DIV/0!</v>
      </c>
      <c r="J975" s="1445"/>
      <c r="K975" s="1390"/>
      <c r="L975" s="1369"/>
      <c r="M975" s="1390"/>
      <c r="N975" s="1390"/>
      <c r="O975" s="1395"/>
      <c r="P975" s="1390"/>
      <c r="Q975" s="1390"/>
      <c r="R975" s="1454"/>
    </row>
    <row r="976" spans="1:18" ht="24">
      <c r="A976" s="1443">
        <v>6050</v>
      </c>
      <c r="B976" s="1669" t="s">
        <v>767</v>
      </c>
      <c r="C976" s="1389"/>
      <c r="D976" s="830">
        <f>G976+J976+P976+M976</f>
        <v>300000</v>
      </c>
      <c r="E976" s="1390">
        <f t="shared" si="138"/>
        <v>11300</v>
      </c>
      <c r="F976" s="1690">
        <f t="shared" si="132"/>
        <v>3.7666666666666666</v>
      </c>
      <c r="G976" s="1389">
        <f>200000+100000</f>
        <v>300000</v>
      </c>
      <c r="H976" s="1390">
        <v>11300</v>
      </c>
      <c r="I976" s="1366">
        <f t="shared" si="136"/>
        <v>3.7666666666666666</v>
      </c>
      <c r="J976" s="1445"/>
      <c r="K976" s="1390"/>
      <c r="L976" s="1369"/>
      <c r="M976" s="1390"/>
      <c r="N976" s="1390"/>
      <c r="O976" s="1395"/>
      <c r="P976" s="1390"/>
      <c r="Q976" s="1390"/>
      <c r="R976" s="1454"/>
    </row>
    <row r="977" spans="1:18" s="1435" customFormat="1" ht="48">
      <c r="A977" s="1492">
        <v>6060</v>
      </c>
      <c r="B977" s="1670" t="s">
        <v>31</v>
      </c>
      <c r="C977" s="1389">
        <v>19800</v>
      </c>
      <c r="D977" s="830">
        <f t="shared" si="135"/>
        <v>119800</v>
      </c>
      <c r="E977" s="1390">
        <f t="shared" si="138"/>
        <v>24931</v>
      </c>
      <c r="F977" s="1690">
        <f t="shared" si="132"/>
        <v>20.810517529215357</v>
      </c>
      <c r="G977" s="1389">
        <f>19800+100000</f>
        <v>119800</v>
      </c>
      <c r="H977" s="1487">
        <v>24931</v>
      </c>
      <c r="I977" s="1366">
        <f t="shared" si="136"/>
        <v>20.810517529215357</v>
      </c>
      <c r="J977" s="1495"/>
      <c r="K977" s="1487"/>
      <c r="L977" s="1369"/>
      <c r="M977" s="1487"/>
      <c r="N977" s="1487"/>
      <c r="O977" s="1395"/>
      <c r="P977" s="1487"/>
      <c r="Q977" s="1487"/>
      <c r="R977" s="1539"/>
    </row>
    <row r="978" spans="1:18" s="1435" customFormat="1" ht="60">
      <c r="A978" s="1436">
        <v>85220</v>
      </c>
      <c r="B978" s="1668" t="s">
        <v>32</v>
      </c>
      <c r="C978" s="1438">
        <f>SUM(C979:C984)</f>
        <v>132015</v>
      </c>
      <c r="D978" s="845">
        <f t="shared" si="135"/>
        <v>222115</v>
      </c>
      <c r="E978" s="1380">
        <f>H978+K978+Q978+N978</f>
        <v>167404</v>
      </c>
      <c r="F978" s="1716">
        <f t="shared" si="132"/>
        <v>75.3681651396799</v>
      </c>
      <c r="G978" s="1438">
        <f>SUM(G979:G984)</f>
        <v>72115</v>
      </c>
      <c r="H978" s="1380">
        <f>SUM(H979:H984)</f>
        <v>67404</v>
      </c>
      <c r="I978" s="1692">
        <f>H978/G978*100</f>
        <v>93.4673784926853</v>
      </c>
      <c r="J978" s="1440"/>
      <c r="K978" s="1380"/>
      <c r="L978" s="1441"/>
      <c r="M978" s="1380">
        <f>SUM(M979:M984)</f>
        <v>150000</v>
      </c>
      <c r="N978" s="1380">
        <f>SUM(N979:N984)</f>
        <v>100000</v>
      </c>
      <c r="O978" s="1388">
        <f aca="true" t="shared" si="139" ref="O978:O1009">N978/M978*100</f>
        <v>66.66666666666666</v>
      </c>
      <c r="P978" s="1380"/>
      <c r="Q978" s="1380"/>
      <c r="R978" s="1388"/>
    </row>
    <row r="979" spans="1:18" s="1435" customFormat="1" ht="60">
      <c r="A979" s="1443">
        <v>2820</v>
      </c>
      <c r="B979" s="1669" t="s">
        <v>314</v>
      </c>
      <c r="C979" s="1389">
        <v>120000</v>
      </c>
      <c r="D979" s="830">
        <f t="shared" si="135"/>
        <v>150000</v>
      </c>
      <c r="E979" s="1390">
        <f aca="true" t="shared" si="140" ref="E979:E984">SUM(H979+K979+N979+Q979)</f>
        <v>100000</v>
      </c>
      <c r="F979" s="1690">
        <f t="shared" si="132"/>
        <v>66.66666666666666</v>
      </c>
      <c r="G979" s="1389"/>
      <c r="H979" s="1390"/>
      <c r="I979" s="1605"/>
      <c r="J979" s="1445"/>
      <c r="K979" s="1390"/>
      <c r="L979" s="1446"/>
      <c r="M979" s="1389">
        <f>120000+30000</f>
        <v>150000</v>
      </c>
      <c r="N979" s="1407">
        <v>100000</v>
      </c>
      <c r="O979" s="1395">
        <f t="shared" si="139"/>
        <v>66.66666666666666</v>
      </c>
      <c r="P979" s="1390"/>
      <c r="Q979" s="1390"/>
      <c r="R979" s="1395"/>
    </row>
    <row r="980" spans="1:18" s="1435" customFormat="1" ht="24">
      <c r="A980" s="1443">
        <v>4170</v>
      </c>
      <c r="B980" s="1669" t="s">
        <v>744</v>
      </c>
      <c r="C980" s="1389">
        <v>3650</v>
      </c>
      <c r="D980" s="830">
        <f t="shared" si="135"/>
        <v>0</v>
      </c>
      <c r="E980" s="1390">
        <f t="shared" si="140"/>
        <v>0</v>
      </c>
      <c r="F980" s="1690"/>
      <c r="G980" s="1389"/>
      <c r="H980" s="1390"/>
      <c r="I980" s="1605"/>
      <c r="J980" s="1445"/>
      <c r="K980" s="1390"/>
      <c r="L980" s="1446"/>
      <c r="M980" s="1389">
        <f>3650-3650</f>
        <v>0</v>
      </c>
      <c r="N980" s="1390"/>
      <c r="O980" s="1395"/>
      <c r="P980" s="1390"/>
      <c r="Q980" s="1390"/>
      <c r="R980" s="1395"/>
    </row>
    <row r="981" spans="1:18" s="1435" customFormat="1" ht="24">
      <c r="A981" s="1443">
        <v>4210</v>
      </c>
      <c r="B981" s="1669" t="s">
        <v>690</v>
      </c>
      <c r="C981" s="1389">
        <v>2655</v>
      </c>
      <c r="D981" s="830">
        <f t="shared" si="135"/>
        <v>1300</v>
      </c>
      <c r="E981" s="1390">
        <f t="shared" si="140"/>
        <v>0</v>
      </c>
      <c r="F981" s="1690">
        <f t="shared" si="132"/>
        <v>0</v>
      </c>
      <c r="G981" s="1389">
        <v>1300</v>
      </c>
      <c r="H981" s="1390"/>
      <c r="I981" s="1605">
        <f>H981/G981*100</f>
        <v>0</v>
      </c>
      <c r="J981" s="1445"/>
      <c r="K981" s="1390"/>
      <c r="L981" s="1446"/>
      <c r="M981" s="1389">
        <f>2655-2655+1300-1300</f>
        <v>0</v>
      </c>
      <c r="N981" s="1390"/>
      <c r="O981" s="1395"/>
      <c r="P981" s="1390"/>
      <c r="Q981" s="1390"/>
      <c r="R981" s="1395"/>
    </row>
    <row r="982" spans="1:18" s="1435" customFormat="1" ht="15.75" customHeight="1">
      <c r="A982" s="1443">
        <v>4260</v>
      </c>
      <c r="B982" s="1669" t="s">
        <v>694</v>
      </c>
      <c r="C982" s="1389">
        <v>5350</v>
      </c>
      <c r="D982" s="830">
        <f t="shared" si="135"/>
        <v>6430</v>
      </c>
      <c r="E982" s="1390">
        <f t="shared" si="140"/>
        <v>3799</v>
      </c>
      <c r="F982" s="1690">
        <f t="shared" si="132"/>
        <v>59.08242612752722</v>
      </c>
      <c r="G982" s="1389">
        <v>6430</v>
      </c>
      <c r="H982" s="1390">
        <v>3799</v>
      </c>
      <c r="I982" s="1605">
        <f>H982/G982*100</f>
        <v>59.08242612752722</v>
      </c>
      <c r="J982" s="1445"/>
      <c r="K982" s="1390"/>
      <c r="L982" s="1446"/>
      <c r="M982" s="1389">
        <f>5350+1080-6430</f>
        <v>0</v>
      </c>
      <c r="N982" s="1390"/>
      <c r="O982" s="1584"/>
      <c r="P982" s="1390"/>
      <c r="Q982" s="1390"/>
      <c r="R982" s="1395"/>
    </row>
    <row r="983" spans="1:18" s="1435" customFormat="1" ht="15.75" customHeight="1">
      <c r="A983" s="1443">
        <v>4270</v>
      </c>
      <c r="B983" s="1669" t="s">
        <v>696</v>
      </c>
      <c r="C983" s="1389"/>
      <c r="D983" s="830">
        <f t="shared" si="135"/>
        <v>58800</v>
      </c>
      <c r="E983" s="1390">
        <f t="shared" si="140"/>
        <v>58740</v>
      </c>
      <c r="F983" s="1690">
        <f t="shared" si="132"/>
        <v>99.89795918367346</v>
      </c>
      <c r="G983" s="1389">
        <v>58800</v>
      </c>
      <c r="H983" s="1390">
        <v>58740</v>
      </c>
      <c r="I983" s="1605">
        <f>H983/G983*100</f>
        <v>99.89795918367346</v>
      </c>
      <c r="J983" s="1445"/>
      <c r="K983" s="1390"/>
      <c r="L983" s="1446"/>
      <c r="M983" s="1389">
        <f>58800-58800</f>
        <v>0</v>
      </c>
      <c r="N983" s="1390"/>
      <c r="O983" s="1584"/>
      <c r="P983" s="1390"/>
      <c r="Q983" s="1390"/>
      <c r="R983" s="1395"/>
    </row>
    <row r="984" spans="1:18" s="1435" customFormat="1" ht="13.5" customHeight="1">
      <c r="A984" s="1492">
        <v>4300</v>
      </c>
      <c r="B984" s="1670" t="s">
        <v>746</v>
      </c>
      <c r="C984" s="1494">
        <v>360</v>
      </c>
      <c r="D984" s="862">
        <f t="shared" si="135"/>
        <v>5585</v>
      </c>
      <c r="E984" s="1487">
        <f t="shared" si="140"/>
        <v>4865</v>
      </c>
      <c r="F984" s="1714">
        <f t="shared" si="132"/>
        <v>87.10832587287378</v>
      </c>
      <c r="G984" s="1494">
        <v>5585</v>
      </c>
      <c r="H984" s="1487">
        <v>4865</v>
      </c>
      <c r="I984" s="1605">
        <f>H984/G984*100</f>
        <v>87.10832587287378</v>
      </c>
      <c r="J984" s="1495"/>
      <c r="K984" s="1487"/>
      <c r="L984" s="1551"/>
      <c r="M984" s="1494">
        <f>360+5225-5585</f>
        <v>0</v>
      </c>
      <c r="N984" s="1487"/>
      <c r="O984" s="1666"/>
      <c r="P984" s="1487"/>
      <c r="Q984" s="1487"/>
      <c r="R984" s="1420"/>
    </row>
    <row r="985" spans="1:18" s="1435" customFormat="1" ht="41.25" customHeight="1" hidden="1">
      <c r="A985" s="1436"/>
      <c r="B985" s="1668"/>
      <c r="C985" s="1438"/>
      <c r="D985" s="845"/>
      <c r="E985" s="1380"/>
      <c r="F985" s="1716"/>
      <c r="G985" s="1474"/>
      <c r="H985" s="1477"/>
      <c r="I985" s="1692"/>
      <c r="J985" s="1476"/>
      <c r="K985" s="1477"/>
      <c r="L985" s="1575"/>
      <c r="M985" s="1380"/>
      <c r="N985" s="1380"/>
      <c r="O985" s="1388"/>
      <c r="P985" s="1380"/>
      <c r="Q985" s="1380"/>
      <c r="R985" s="1388"/>
    </row>
    <row r="986" spans="1:18" ht="12.75" hidden="1">
      <c r="A986" s="1422"/>
      <c r="B986" s="1689"/>
      <c r="C986" s="1393"/>
      <c r="D986" s="869"/>
      <c r="E986" s="1407"/>
      <c r="F986" s="1717"/>
      <c r="G986" s="1393"/>
      <c r="H986" s="1407"/>
      <c r="I986" s="1720"/>
      <c r="J986" s="1548"/>
      <c r="K986" s="1407"/>
      <c r="L986" s="1543"/>
      <c r="M986" s="1407"/>
      <c r="N986" s="1721"/>
      <c r="O986" s="1722"/>
      <c r="P986" s="1548"/>
      <c r="Q986" s="1407"/>
      <c r="R986" s="1374"/>
    </row>
    <row r="987" spans="1:18" ht="12.75" hidden="1">
      <c r="A987" s="1443"/>
      <c r="B987" s="1669"/>
      <c r="C987" s="1389"/>
      <c r="D987" s="830"/>
      <c r="E987" s="1390"/>
      <c r="F987" s="1690"/>
      <c r="G987" s="1389"/>
      <c r="H987" s="1390"/>
      <c r="I987" s="1605"/>
      <c r="J987" s="1445"/>
      <c r="K987" s="1390"/>
      <c r="L987" s="1446"/>
      <c r="M987" s="1390"/>
      <c r="N987" s="1578"/>
      <c r="O987" s="1395"/>
      <c r="P987" s="1445"/>
      <c r="Q987" s="1390"/>
      <c r="R987" s="1395"/>
    </row>
    <row r="988" spans="1:18" ht="12.75" hidden="1">
      <c r="A988" s="1443"/>
      <c r="B988" s="1669"/>
      <c r="C988" s="1389"/>
      <c r="D988" s="830"/>
      <c r="E988" s="1390"/>
      <c r="F988" s="1690"/>
      <c r="G988" s="1389"/>
      <c r="H988" s="1390"/>
      <c r="I988" s="1605"/>
      <c r="J988" s="1445"/>
      <c r="K988" s="1390"/>
      <c r="L988" s="1446"/>
      <c r="M988" s="1390"/>
      <c r="N988" s="1578"/>
      <c r="O988" s="1395"/>
      <c r="P988" s="1445"/>
      <c r="Q988" s="1390"/>
      <c r="R988" s="1395"/>
    </row>
    <row r="989" spans="1:18" s="1435" customFormat="1" ht="12.75" hidden="1">
      <c r="A989" s="1443"/>
      <c r="B989" s="1669"/>
      <c r="C989" s="1389"/>
      <c r="D989" s="830"/>
      <c r="E989" s="1390"/>
      <c r="F989" s="1690"/>
      <c r="G989" s="1389"/>
      <c r="H989" s="1390"/>
      <c r="I989" s="1605"/>
      <c r="J989" s="1445"/>
      <c r="K989" s="1390"/>
      <c r="L989" s="1446"/>
      <c r="M989" s="1390"/>
      <c r="N989" s="1578"/>
      <c r="O989" s="1395"/>
      <c r="P989" s="1445"/>
      <c r="Q989" s="1390"/>
      <c r="R989" s="1395"/>
    </row>
    <row r="990" spans="1:18" s="1435" customFormat="1" ht="22.5" customHeight="1" hidden="1">
      <c r="A990" s="1443"/>
      <c r="B990" s="1669"/>
      <c r="C990" s="1389"/>
      <c r="D990" s="830"/>
      <c r="E990" s="1390"/>
      <c r="F990" s="1690"/>
      <c r="G990" s="1389"/>
      <c r="H990" s="1390"/>
      <c r="I990" s="1605"/>
      <c r="J990" s="1445"/>
      <c r="K990" s="1390"/>
      <c r="L990" s="1446"/>
      <c r="M990" s="1390"/>
      <c r="N990" s="1578"/>
      <c r="O990" s="1395"/>
      <c r="P990" s="1445"/>
      <c r="Q990" s="1390"/>
      <c r="R990" s="1395"/>
    </row>
    <row r="991" spans="1:18" s="1435" customFormat="1" ht="14.25" customHeight="1" hidden="1">
      <c r="A991" s="1443"/>
      <c r="B991" s="1669"/>
      <c r="C991" s="1389"/>
      <c r="D991" s="830"/>
      <c r="E991" s="1390"/>
      <c r="F991" s="1690"/>
      <c r="G991" s="1389"/>
      <c r="H991" s="1390"/>
      <c r="I991" s="1605"/>
      <c r="J991" s="1445"/>
      <c r="K991" s="1390"/>
      <c r="L991" s="1446"/>
      <c r="M991" s="1390"/>
      <c r="N991" s="1578"/>
      <c r="O991" s="1395"/>
      <c r="P991" s="1445"/>
      <c r="Q991" s="1390"/>
      <c r="R991" s="1395"/>
    </row>
    <row r="992" spans="1:18" s="1435" customFormat="1" ht="14.25" customHeight="1" hidden="1">
      <c r="A992" s="1443"/>
      <c r="B992" s="1669"/>
      <c r="C992" s="1389"/>
      <c r="D992" s="830"/>
      <c r="E992" s="1390"/>
      <c r="F992" s="1690"/>
      <c r="G992" s="1389"/>
      <c r="H992" s="1390"/>
      <c r="I992" s="1605"/>
      <c r="J992" s="1445"/>
      <c r="K992" s="1390"/>
      <c r="L992" s="1446"/>
      <c r="M992" s="1390"/>
      <c r="N992" s="1578"/>
      <c r="O992" s="1395"/>
      <c r="P992" s="1445"/>
      <c r="Q992" s="1390"/>
      <c r="R992" s="1395"/>
    </row>
    <row r="993" spans="1:18" s="1435" customFormat="1" ht="14.25" customHeight="1" hidden="1">
      <c r="A993" s="1443"/>
      <c r="B993" s="1669"/>
      <c r="C993" s="1389"/>
      <c r="D993" s="830"/>
      <c r="E993" s="1390"/>
      <c r="F993" s="1690"/>
      <c r="G993" s="1389"/>
      <c r="H993" s="1390"/>
      <c r="I993" s="1605"/>
      <c r="J993" s="1445"/>
      <c r="K993" s="1390"/>
      <c r="L993" s="1446"/>
      <c r="M993" s="1390"/>
      <c r="N993" s="1578"/>
      <c r="O993" s="1395"/>
      <c r="P993" s="1445"/>
      <c r="Q993" s="1390"/>
      <c r="R993" s="1395"/>
    </row>
    <row r="994" spans="1:18" s="1435" customFormat="1" ht="15" customHeight="1" hidden="1">
      <c r="A994" s="1492"/>
      <c r="B994" s="1670"/>
      <c r="C994" s="1494"/>
      <c r="D994" s="862"/>
      <c r="E994" s="1487"/>
      <c r="F994" s="1714"/>
      <c r="G994" s="1494"/>
      <c r="H994" s="1487"/>
      <c r="I994" s="1705"/>
      <c r="J994" s="1495"/>
      <c r="K994" s="1487"/>
      <c r="L994" s="1551"/>
      <c r="M994" s="1487"/>
      <c r="N994" s="1611"/>
      <c r="O994" s="1666"/>
      <c r="P994" s="1495"/>
      <c r="Q994" s="1487"/>
      <c r="R994" s="1420"/>
    </row>
    <row r="995" spans="1:18" s="1435" customFormat="1" ht="30.75" customHeight="1">
      <c r="A995" s="1436">
        <v>85226</v>
      </c>
      <c r="B995" s="1668" t="s">
        <v>630</v>
      </c>
      <c r="C995" s="1438">
        <f>SUM(C996:C1009)</f>
        <v>298250</v>
      </c>
      <c r="D995" s="845">
        <f aca="true" t="shared" si="141" ref="D995:D1091">G995+J995+P995+M995</f>
        <v>298250</v>
      </c>
      <c r="E995" s="1380">
        <f>H995+K995+Q995+N995</f>
        <v>142863</v>
      </c>
      <c r="F995" s="1716">
        <f aca="true" t="shared" si="142" ref="F995:F1037">E995/D995*100</f>
        <v>47.90041911148366</v>
      </c>
      <c r="G995" s="1474"/>
      <c r="H995" s="1477"/>
      <c r="I995" s="1692"/>
      <c r="J995" s="1476"/>
      <c r="K995" s="1477"/>
      <c r="L995" s="1575"/>
      <c r="M995" s="1380">
        <f>SUM(M996:M1009)</f>
        <v>298250</v>
      </c>
      <c r="N995" s="1380">
        <f>SUM(N996:N1009)</f>
        <v>142863</v>
      </c>
      <c r="O995" s="1388">
        <f t="shared" si="139"/>
        <v>47.90041911148366</v>
      </c>
      <c r="P995" s="1380"/>
      <c r="Q995" s="1380"/>
      <c r="R995" s="1388"/>
    </row>
    <row r="996" spans="1:18" s="1435" customFormat="1" ht="24" customHeight="1">
      <c r="A996" s="1422">
        <v>3020</v>
      </c>
      <c r="B996" s="1689" t="s">
        <v>1266</v>
      </c>
      <c r="C996" s="1393">
        <v>600</v>
      </c>
      <c r="D996" s="869">
        <f t="shared" si="141"/>
        <v>600</v>
      </c>
      <c r="E996" s="1407">
        <f aca="true" t="shared" si="143" ref="E996:E1009">SUM(H996+K996+N996+Q996)</f>
        <v>68</v>
      </c>
      <c r="F996" s="1717">
        <f t="shared" si="142"/>
        <v>11.333333333333332</v>
      </c>
      <c r="G996" s="1393"/>
      <c r="H996" s="1407"/>
      <c r="I996" s="1720"/>
      <c r="J996" s="1548"/>
      <c r="K996" s="1407"/>
      <c r="L996" s="1543"/>
      <c r="M996" s="1393">
        <v>600</v>
      </c>
      <c r="N996" s="1407">
        <v>68</v>
      </c>
      <c r="O996" s="1374">
        <f t="shared" si="139"/>
        <v>11.333333333333332</v>
      </c>
      <c r="P996" s="1407"/>
      <c r="Q996" s="1407"/>
      <c r="R996" s="1374"/>
    </row>
    <row r="997" spans="1:18" s="1435" customFormat="1" ht="24" customHeight="1">
      <c r="A997" s="1443">
        <v>4010</v>
      </c>
      <c r="B997" s="1669" t="s">
        <v>837</v>
      </c>
      <c r="C997" s="1389">
        <v>197000</v>
      </c>
      <c r="D997" s="830">
        <f t="shared" si="141"/>
        <v>197000</v>
      </c>
      <c r="E997" s="1390">
        <f t="shared" si="143"/>
        <v>92587</v>
      </c>
      <c r="F997" s="1690">
        <f t="shared" si="142"/>
        <v>46.998477157360405</v>
      </c>
      <c r="G997" s="1389"/>
      <c r="H997" s="1390"/>
      <c r="I997" s="1605"/>
      <c r="J997" s="1445"/>
      <c r="K997" s="1390"/>
      <c r="L997" s="1446"/>
      <c r="M997" s="1389">
        <v>197000</v>
      </c>
      <c r="N997" s="1390">
        <v>92587</v>
      </c>
      <c r="O997" s="1395">
        <f t="shared" si="139"/>
        <v>46.998477157360405</v>
      </c>
      <c r="P997" s="1390"/>
      <c r="Q997" s="1390"/>
      <c r="R997" s="1395"/>
    </row>
    <row r="998" spans="1:18" s="1435" customFormat="1" ht="26.25" customHeight="1">
      <c r="A998" s="1443">
        <v>4040</v>
      </c>
      <c r="B998" s="1669" t="s">
        <v>684</v>
      </c>
      <c r="C998" s="1389">
        <v>13650</v>
      </c>
      <c r="D998" s="830">
        <f t="shared" si="141"/>
        <v>13650</v>
      </c>
      <c r="E998" s="1390">
        <f t="shared" si="143"/>
        <v>12048</v>
      </c>
      <c r="F998" s="1690">
        <f t="shared" si="142"/>
        <v>88.26373626373626</v>
      </c>
      <c r="G998" s="1389"/>
      <c r="H998" s="1390"/>
      <c r="I998" s="1605"/>
      <c r="J998" s="1445"/>
      <c r="K998" s="1390"/>
      <c r="L998" s="1446"/>
      <c r="M998" s="1389">
        <v>13650</v>
      </c>
      <c r="N998" s="1390">
        <v>12048</v>
      </c>
      <c r="O998" s="1395">
        <f t="shared" si="139"/>
        <v>88.26373626373626</v>
      </c>
      <c r="P998" s="1390"/>
      <c r="Q998" s="1390"/>
      <c r="R998" s="1395"/>
    </row>
    <row r="999" spans="1:18" s="1435" customFormat="1" ht="24" customHeight="1">
      <c r="A999" s="1443">
        <v>4110</v>
      </c>
      <c r="B999" s="1669" t="s">
        <v>686</v>
      </c>
      <c r="C999" s="1389">
        <v>38200</v>
      </c>
      <c r="D999" s="830">
        <f t="shared" si="141"/>
        <v>38200</v>
      </c>
      <c r="E999" s="1390">
        <f t="shared" si="143"/>
        <v>18932</v>
      </c>
      <c r="F999" s="1690">
        <f t="shared" si="142"/>
        <v>49.560209424083766</v>
      </c>
      <c r="G999" s="1389"/>
      <c r="H999" s="1390"/>
      <c r="I999" s="1605"/>
      <c r="J999" s="1445"/>
      <c r="K999" s="1390"/>
      <c r="L999" s="1446"/>
      <c r="M999" s="1389">
        <v>38200</v>
      </c>
      <c r="N999" s="1390">
        <v>18932</v>
      </c>
      <c r="O999" s="1395">
        <f t="shared" si="139"/>
        <v>49.560209424083766</v>
      </c>
      <c r="P999" s="1390"/>
      <c r="Q999" s="1390"/>
      <c r="R999" s="1395"/>
    </row>
    <row r="1000" spans="1:18" s="1435" customFormat="1" ht="16.5" customHeight="1">
      <c r="A1000" s="1443">
        <v>4120</v>
      </c>
      <c r="B1000" s="1669" t="s">
        <v>781</v>
      </c>
      <c r="C1000" s="1389">
        <v>5100</v>
      </c>
      <c r="D1000" s="830">
        <f t="shared" si="141"/>
        <v>5100</v>
      </c>
      <c r="E1000" s="1390">
        <f t="shared" si="143"/>
        <v>2553</v>
      </c>
      <c r="F1000" s="1690">
        <f t="shared" si="142"/>
        <v>50.05882352941177</v>
      </c>
      <c r="G1000" s="1389"/>
      <c r="H1000" s="1390"/>
      <c r="I1000" s="1605"/>
      <c r="J1000" s="1445"/>
      <c r="K1000" s="1390"/>
      <c r="L1000" s="1446"/>
      <c r="M1000" s="1389">
        <v>5100</v>
      </c>
      <c r="N1000" s="1390">
        <v>2553</v>
      </c>
      <c r="O1000" s="1395">
        <f t="shared" si="139"/>
        <v>50.05882352941177</v>
      </c>
      <c r="P1000" s="1390"/>
      <c r="Q1000" s="1390"/>
      <c r="R1000" s="1395"/>
    </row>
    <row r="1001" spans="1:18" s="1435" customFormat="1" ht="24">
      <c r="A1001" s="1443">
        <v>4170</v>
      </c>
      <c r="B1001" s="1669" t="s">
        <v>744</v>
      </c>
      <c r="C1001" s="1389">
        <v>3600</v>
      </c>
      <c r="D1001" s="830">
        <f t="shared" si="141"/>
        <v>3600</v>
      </c>
      <c r="E1001" s="1390">
        <f t="shared" si="143"/>
        <v>324</v>
      </c>
      <c r="F1001" s="1690">
        <f t="shared" si="142"/>
        <v>9</v>
      </c>
      <c r="G1001" s="1389"/>
      <c r="H1001" s="1390"/>
      <c r="I1001" s="1605"/>
      <c r="J1001" s="1445"/>
      <c r="K1001" s="1390"/>
      <c r="L1001" s="1446"/>
      <c r="M1001" s="1389">
        <v>3600</v>
      </c>
      <c r="N1001" s="1390">
        <v>324</v>
      </c>
      <c r="O1001" s="1395">
        <f t="shared" si="139"/>
        <v>9</v>
      </c>
      <c r="P1001" s="1390"/>
      <c r="Q1001" s="1390"/>
      <c r="R1001" s="1395"/>
    </row>
    <row r="1002" spans="1:18" s="1435" customFormat="1" ht="23.25" customHeight="1">
      <c r="A1002" s="1443">
        <v>4210</v>
      </c>
      <c r="B1002" s="1669" t="s">
        <v>690</v>
      </c>
      <c r="C1002" s="1389">
        <v>8000</v>
      </c>
      <c r="D1002" s="830">
        <f t="shared" si="141"/>
        <v>8000</v>
      </c>
      <c r="E1002" s="1390">
        <f t="shared" si="143"/>
        <v>1708</v>
      </c>
      <c r="F1002" s="1690">
        <f t="shared" si="142"/>
        <v>21.349999999999998</v>
      </c>
      <c r="G1002" s="1389"/>
      <c r="H1002" s="1390"/>
      <c r="I1002" s="1605"/>
      <c r="J1002" s="1445"/>
      <c r="K1002" s="1390"/>
      <c r="L1002" s="1446"/>
      <c r="M1002" s="1389">
        <v>8000</v>
      </c>
      <c r="N1002" s="1390">
        <v>1708</v>
      </c>
      <c r="O1002" s="1395">
        <f t="shared" si="139"/>
        <v>21.349999999999998</v>
      </c>
      <c r="P1002" s="1390"/>
      <c r="Q1002" s="1390"/>
      <c r="R1002" s="1395"/>
    </row>
    <row r="1003" spans="1:18" s="1435" customFormat="1" ht="24" hidden="1">
      <c r="A1003" s="1443">
        <v>4240</v>
      </c>
      <c r="B1003" s="1669" t="s">
        <v>835</v>
      </c>
      <c r="C1003" s="1389"/>
      <c r="D1003" s="830">
        <f t="shared" si="141"/>
        <v>0</v>
      </c>
      <c r="E1003" s="1390">
        <f t="shared" si="143"/>
        <v>0</v>
      </c>
      <c r="F1003" s="1690" t="e">
        <f t="shared" si="142"/>
        <v>#DIV/0!</v>
      </c>
      <c r="G1003" s="1389"/>
      <c r="H1003" s="1390"/>
      <c r="I1003" s="1605"/>
      <c r="J1003" s="1445"/>
      <c r="K1003" s="1390"/>
      <c r="L1003" s="1446"/>
      <c r="M1003" s="1389"/>
      <c r="N1003" s="1390"/>
      <c r="O1003" s="1395" t="e">
        <f t="shared" si="139"/>
        <v>#DIV/0!</v>
      </c>
      <c r="P1003" s="1390"/>
      <c r="Q1003" s="1390"/>
      <c r="R1003" s="1395"/>
    </row>
    <row r="1004" spans="1:18" s="1435" customFormat="1" ht="15" customHeight="1">
      <c r="A1004" s="1443">
        <v>4260</v>
      </c>
      <c r="B1004" s="1669" t="s">
        <v>694</v>
      </c>
      <c r="C1004" s="1389">
        <v>8500</v>
      </c>
      <c r="D1004" s="830">
        <f t="shared" si="141"/>
        <v>8500</v>
      </c>
      <c r="E1004" s="1390">
        <f t="shared" si="143"/>
        <v>3207</v>
      </c>
      <c r="F1004" s="1690">
        <f t="shared" si="142"/>
        <v>37.72941176470589</v>
      </c>
      <c r="G1004" s="1389"/>
      <c r="H1004" s="1390"/>
      <c r="I1004" s="1605"/>
      <c r="J1004" s="1445"/>
      <c r="K1004" s="1390"/>
      <c r="L1004" s="1446"/>
      <c r="M1004" s="1389">
        <v>8500</v>
      </c>
      <c r="N1004" s="1390">
        <v>3207</v>
      </c>
      <c r="O1004" s="1395">
        <f t="shared" si="139"/>
        <v>37.72941176470589</v>
      </c>
      <c r="P1004" s="1390"/>
      <c r="Q1004" s="1390"/>
      <c r="R1004" s="1395"/>
    </row>
    <row r="1005" spans="1:18" s="1435" customFormat="1" ht="15" customHeight="1">
      <c r="A1005" s="1443">
        <v>4280</v>
      </c>
      <c r="B1005" s="1669" t="s">
        <v>745</v>
      </c>
      <c r="C1005" s="1389">
        <v>600</v>
      </c>
      <c r="D1005" s="830">
        <f t="shared" si="141"/>
        <v>600</v>
      </c>
      <c r="E1005" s="1390">
        <f t="shared" si="143"/>
        <v>0</v>
      </c>
      <c r="F1005" s="1690">
        <f t="shared" si="142"/>
        <v>0</v>
      </c>
      <c r="G1005" s="1389"/>
      <c r="H1005" s="1390"/>
      <c r="I1005" s="1605"/>
      <c r="J1005" s="1445"/>
      <c r="K1005" s="1390"/>
      <c r="L1005" s="1446"/>
      <c r="M1005" s="1389">
        <v>600</v>
      </c>
      <c r="N1005" s="1390"/>
      <c r="O1005" s="1395">
        <f t="shared" si="139"/>
        <v>0</v>
      </c>
      <c r="P1005" s="1390"/>
      <c r="Q1005" s="1390"/>
      <c r="R1005" s="1395"/>
    </row>
    <row r="1006" spans="1:18" s="1435" customFormat="1" ht="16.5" customHeight="1">
      <c r="A1006" s="1443">
        <v>4300</v>
      </c>
      <c r="B1006" s="1669" t="s">
        <v>698</v>
      </c>
      <c r="C1006" s="1389">
        <v>15000</v>
      </c>
      <c r="D1006" s="830">
        <f t="shared" si="141"/>
        <v>15000</v>
      </c>
      <c r="E1006" s="1390">
        <f t="shared" si="143"/>
        <v>5570</v>
      </c>
      <c r="F1006" s="1690">
        <f t="shared" si="142"/>
        <v>37.13333333333333</v>
      </c>
      <c r="G1006" s="1389"/>
      <c r="H1006" s="1390"/>
      <c r="I1006" s="1605"/>
      <c r="J1006" s="1445"/>
      <c r="K1006" s="1390"/>
      <c r="L1006" s="1446"/>
      <c r="M1006" s="1389">
        <v>15000</v>
      </c>
      <c r="N1006" s="1390">
        <v>5570</v>
      </c>
      <c r="O1006" s="1395">
        <f t="shared" si="139"/>
        <v>37.13333333333333</v>
      </c>
      <c r="P1006" s="1390"/>
      <c r="Q1006" s="1390"/>
      <c r="R1006" s="1395"/>
    </row>
    <row r="1007" spans="1:18" s="1435" customFormat="1" ht="24">
      <c r="A1007" s="1443">
        <v>4350</v>
      </c>
      <c r="B1007" s="1669" t="s">
        <v>869</v>
      </c>
      <c r="C1007" s="1389">
        <v>1500</v>
      </c>
      <c r="D1007" s="830">
        <f t="shared" si="141"/>
        <v>1500</v>
      </c>
      <c r="E1007" s="1390">
        <f t="shared" si="143"/>
        <v>725</v>
      </c>
      <c r="F1007" s="1690">
        <f t="shared" si="142"/>
        <v>48.333333333333336</v>
      </c>
      <c r="G1007" s="1389"/>
      <c r="H1007" s="1390"/>
      <c r="I1007" s="1605"/>
      <c r="J1007" s="1445"/>
      <c r="K1007" s="1390"/>
      <c r="L1007" s="1446"/>
      <c r="M1007" s="1389">
        <v>1500</v>
      </c>
      <c r="N1007" s="1390">
        <v>725</v>
      </c>
      <c r="O1007" s="1395">
        <f t="shared" si="139"/>
        <v>48.333333333333336</v>
      </c>
      <c r="P1007" s="1390"/>
      <c r="Q1007" s="1390"/>
      <c r="R1007" s="1395"/>
    </row>
    <row r="1008" spans="1:18" s="1435" customFormat="1" ht="14.25" customHeight="1">
      <c r="A1008" s="1443">
        <v>4410</v>
      </c>
      <c r="B1008" s="1669" t="s">
        <v>33</v>
      </c>
      <c r="C1008" s="1389">
        <v>1400</v>
      </c>
      <c r="D1008" s="830">
        <f t="shared" si="141"/>
        <v>1400</v>
      </c>
      <c r="E1008" s="1390">
        <f t="shared" si="143"/>
        <v>1316</v>
      </c>
      <c r="F1008" s="1690">
        <f t="shared" si="142"/>
        <v>94</v>
      </c>
      <c r="G1008" s="1389"/>
      <c r="H1008" s="1390"/>
      <c r="I1008" s="1605"/>
      <c r="J1008" s="1445"/>
      <c r="K1008" s="1390"/>
      <c r="L1008" s="1446"/>
      <c r="M1008" s="1389">
        <v>1400</v>
      </c>
      <c r="N1008" s="1390">
        <v>1316</v>
      </c>
      <c r="O1008" s="1395">
        <f t="shared" si="139"/>
        <v>94</v>
      </c>
      <c r="P1008" s="1390"/>
      <c r="Q1008" s="1390"/>
      <c r="R1008" s="1395"/>
    </row>
    <row r="1009" spans="1:18" s="1435" customFormat="1" ht="14.25" customHeight="1">
      <c r="A1009" s="1492">
        <v>4440</v>
      </c>
      <c r="B1009" s="1670" t="s">
        <v>846</v>
      </c>
      <c r="C1009" s="1389">
        <v>5100</v>
      </c>
      <c r="D1009" s="830">
        <f t="shared" si="141"/>
        <v>5100</v>
      </c>
      <c r="E1009" s="1390">
        <f t="shared" si="143"/>
        <v>3825</v>
      </c>
      <c r="F1009" s="1690">
        <f t="shared" si="142"/>
        <v>75</v>
      </c>
      <c r="G1009" s="1494"/>
      <c r="H1009" s="1487"/>
      <c r="I1009" s="1705"/>
      <c r="J1009" s="1495"/>
      <c r="K1009" s="1487"/>
      <c r="L1009" s="1551"/>
      <c r="M1009" s="1389">
        <v>5100</v>
      </c>
      <c r="N1009" s="1487">
        <v>3825</v>
      </c>
      <c r="O1009" s="1369">
        <f t="shared" si="139"/>
        <v>75</v>
      </c>
      <c r="P1009" s="1487"/>
      <c r="Q1009" s="1487"/>
      <c r="R1009" s="1395"/>
    </row>
    <row r="1010" spans="1:18" ht="36">
      <c r="A1010" s="1436">
        <v>85228</v>
      </c>
      <c r="B1010" s="1668" t="s">
        <v>34</v>
      </c>
      <c r="C1010" s="1438">
        <f>SUM(C1011:C1017)</f>
        <v>144820</v>
      </c>
      <c r="D1010" s="845">
        <f t="shared" si="141"/>
        <v>144820</v>
      </c>
      <c r="E1010" s="1380">
        <f>H1010+K1010+Q1010+N1010</f>
        <v>15344</v>
      </c>
      <c r="F1010" s="1716">
        <f t="shared" si="142"/>
        <v>10.595221654467615</v>
      </c>
      <c r="G1010" s="1438">
        <f>SUM(G1011:G1017)</f>
        <v>24820</v>
      </c>
      <c r="H1010" s="1380">
        <f>SUM(H1011:H1017)</f>
        <v>15344</v>
      </c>
      <c r="I1010" s="1381">
        <f>H1010/G1010*100</f>
        <v>61.82111200644641</v>
      </c>
      <c r="J1010" s="1440">
        <f>SUM(J1011:J1017)</f>
        <v>120000</v>
      </c>
      <c r="K1010" s="1380">
        <f>SUM(K1011:K1017)</f>
        <v>0</v>
      </c>
      <c r="L1010" s="1441">
        <f>K1010/J1010*100</f>
        <v>0</v>
      </c>
      <c r="M1010" s="1380"/>
      <c r="N1010" s="1380"/>
      <c r="O1010" s="1442"/>
      <c r="P1010" s="1380"/>
      <c r="Q1010" s="1380"/>
      <c r="R1010" s="1388"/>
    </row>
    <row r="1011" spans="1:18" s="1435" customFormat="1" ht="36">
      <c r="A1011" s="1443">
        <v>3020</v>
      </c>
      <c r="B1011" s="1669" t="s">
        <v>1266</v>
      </c>
      <c r="C1011" s="1389"/>
      <c r="D1011" s="830">
        <f t="shared" si="141"/>
        <v>12795</v>
      </c>
      <c r="E1011" s="1390">
        <f aca="true" t="shared" si="144" ref="E1011:E1017">SUM(H1011+K1011+N1011+Q1011)</f>
        <v>0</v>
      </c>
      <c r="F1011" s="1690">
        <f t="shared" si="142"/>
        <v>0</v>
      </c>
      <c r="G1011" s="1389"/>
      <c r="H1011" s="1390"/>
      <c r="I1011" s="1366"/>
      <c r="J1011" s="1445">
        <v>12795</v>
      </c>
      <c r="K1011" s="1390"/>
      <c r="L1011" s="1446">
        <f aca="true" t="shared" si="145" ref="L1011:L1016">K1011/J1011*100</f>
        <v>0</v>
      </c>
      <c r="M1011" s="1390"/>
      <c r="N1011" s="1390"/>
      <c r="O1011" s="1447"/>
      <c r="P1011" s="1390"/>
      <c r="Q1011" s="1390"/>
      <c r="R1011" s="1395"/>
    </row>
    <row r="1012" spans="1:18" s="1435" customFormat="1" ht="24">
      <c r="A1012" s="1443">
        <v>4010</v>
      </c>
      <c r="B1012" s="1669" t="s">
        <v>680</v>
      </c>
      <c r="C1012" s="1389"/>
      <c r="D1012" s="830">
        <f>G1012+J1012+P1012+M1012</f>
        <v>44660</v>
      </c>
      <c r="E1012" s="1390">
        <f t="shared" si="144"/>
        <v>0</v>
      </c>
      <c r="F1012" s="1690">
        <f>E1012/D1012*100</f>
        <v>0</v>
      </c>
      <c r="G1012" s="1389"/>
      <c r="H1012" s="1390"/>
      <c r="I1012" s="1366"/>
      <c r="J1012" s="1445">
        <v>44660</v>
      </c>
      <c r="K1012" s="1390"/>
      <c r="L1012" s="1446">
        <f t="shared" si="145"/>
        <v>0</v>
      </c>
      <c r="M1012" s="1390"/>
      <c r="N1012" s="1390"/>
      <c r="O1012" s="1447"/>
      <c r="P1012" s="1390"/>
      <c r="Q1012" s="1390"/>
      <c r="R1012" s="1395"/>
    </row>
    <row r="1013" spans="1:18" s="1435" customFormat="1" ht="24">
      <c r="A1013" s="1443">
        <v>4110</v>
      </c>
      <c r="B1013" s="1669" t="s">
        <v>686</v>
      </c>
      <c r="C1013" s="1389">
        <v>3720</v>
      </c>
      <c r="D1013" s="830">
        <f>G1013+J1013+P1013+M1013</f>
        <v>11640</v>
      </c>
      <c r="E1013" s="1390">
        <f t="shared" si="144"/>
        <v>1979</v>
      </c>
      <c r="F1013" s="1690">
        <f>E1013/D1013*100</f>
        <v>17.00171821305842</v>
      </c>
      <c r="G1013" s="1389">
        <v>3720</v>
      </c>
      <c r="H1013" s="1390">
        <v>1979</v>
      </c>
      <c r="I1013" s="1366">
        <f>H1013/G1013*100</f>
        <v>53.19892473118279</v>
      </c>
      <c r="J1013" s="1445">
        <v>7920</v>
      </c>
      <c r="K1013" s="1390"/>
      <c r="L1013" s="1446">
        <f t="shared" si="145"/>
        <v>0</v>
      </c>
      <c r="M1013" s="1390"/>
      <c r="N1013" s="1390"/>
      <c r="O1013" s="1447"/>
      <c r="P1013" s="1390"/>
      <c r="Q1013" s="1390"/>
      <c r="R1013" s="1395"/>
    </row>
    <row r="1014" spans="1:18" s="1435" customFormat="1" ht="14.25" customHeight="1">
      <c r="A1014" s="1443">
        <v>4120</v>
      </c>
      <c r="B1014" s="1669" t="s">
        <v>781</v>
      </c>
      <c r="C1014" s="1389">
        <v>100</v>
      </c>
      <c r="D1014" s="830">
        <f t="shared" si="141"/>
        <v>1195</v>
      </c>
      <c r="E1014" s="1390">
        <f t="shared" si="144"/>
        <v>0</v>
      </c>
      <c r="F1014" s="1690">
        <f t="shared" si="142"/>
        <v>0</v>
      </c>
      <c r="G1014" s="1389">
        <v>100</v>
      </c>
      <c r="H1014" s="1390"/>
      <c r="I1014" s="1366">
        <f>H1014/G1014*100</f>
        <v>0</v>
      </c>
      <c r="J1014" s="1445">
        <v>1095</v>
      </c>
      <c r="K1014" s="1390"/>
      <c r="L1014" s="1446">
        <f t="shared" si="145"/>
        <v>0</v>
      </c>
      <c r="M1014" s="1390"/>
      <c r="N1014" s="1390"/>
      <c r="O1014" s="1447"/>
      <c r="P1014" s="1390"/>
      <c r="Q1014" s="1390"/>
      <c r="R1014" s="1395"/>
    </row>
    <row r="1015" spans="1:18" s="1435" customFormat="1" ht="24">
      <c r="A1015" s="1443">
        <v>4170</v>
      </c>
      <c r="B1015" s="1669" t="s">
        <v>744</v>
      </c>
      <c r="C1015" s="1389"/>
      <c r="D1015" s="830">
        <f t="shared" si="141"/>
        <v>47235</v>
      </c>
      <c r="E1015" s="1390">
        <f t="shared" si="144"/>
        <v>13365</v>
      </c>
      <c r="F1015" s="1690">
        <f t="shared" si="142"/>
        <v>28.294696729120357</v>
      </c>
      <c r="G1015" s="1389">
        <v>21000</v>
      </c>
      <c r="H1015" s="1390">
        <v>13365</v>
      </c>
      <c r="I1015" s="1366">
        <f>H1015/G1015*100</f>
        <v>63.642857142857146</v>
      </c>
      <c r="J1015" s="1445">
        <v>26235</v>
      </c>
      <c r="K1015" s="1390"/>
      <c r="L1015" s="1446">
        <f t="shared" si="145"/>
        <v>0</v>
      </c>
      <c r="M1015" s="1390"/>
      <c r="N1015" s="1390"/>
      <c r="O1015" s="1447"/>
      <c r="P1015" s="1390"/>
      <c r="Q1015" s="1390"/>
      <c r="R1015" s="1395"/>
    </row>
    <row r="1016" spans="1:18" s="1435" customFormat="1" ht="12.75">
      <c r="A1016" s="1443">
        <v>4300</v>
      </c>
      <c r="B1016" s="1669" t="s">
        <v>746</v>
      </c>
      <c r="C1016" s="1389">
        <v>141000</v>
      </c>
      <c r="D1016" s="830">
        <f>G1016+J1016+P1016+M1016</f>
        <v>25000</v>
      </c>
      <c r="E1016" s="1390">
        <f t="shared" si="144"/>
        <v>0</v>
      </c>
      <c r="F1016" s="1690">
        <f>E1016/D1016*100</f>
        <v>0</v>
      </c>
      <c r="G1016" s="1389">
        <f>21000-21000</f>
        <v>0</v>
      </c>
      <c r="H1016" s="1390"/>
      <c r="I1016" s="1366"/>
      <c r="J1016" s="1445">
        <f>120000-95000</f>
        <v>25000</v>
      </c>
      <c r="K1016" s="1390"/>
      <c r="L1016" s="1446">
        <f t="shared" si="145"/>
        <v>0</v>
      </c>
      <c r="M1016" s="1390"/>
      <c r="N1016" s="1390"/>
      <c r="O1016" s="1447"/>
      <c r="P1016" s="1390"/>
      <c r="Q1016" s="1390"/>
      <c r="R1016" s="1395"/>
    </row>
    <row r="1017" spans="1:18" s="1435" customFormat="1" ht="15.75" customHeight="1">
      <c r="A1017" s="1492">
        <v>4440</v>
      </c>
      <c r="B1017" s="1669" t="s">
        <v>846</v>
      </c>
      <c r="C1017" s="1389"/>
      <c r="D1017" s="830">
        <f t="shared" si="141"/>
        <v>2295</v>
      </c>
      <c r="E1017" s="1390">
        <f t="shared" si="144"/>
        <v>0</v>
      </c>
      <c r="F1017" s="1690">
        <f t="shared" si="142"/>
        <v>0</v>
      </c>
      <c r="G1017" s="1389"/>
      <c r="H1017" s="1390"/>
      <c r="I1017" s="1366"/>
      <c r="J1017" s="1445">
        <v>2295</v>
      </c>
      <c r="K1017" s="1390"/>
      <c r="L1017" s="1446">
        <f>K1017/J1017*100</f>
        <v>0</v>
      </c>
      <c r="M1017" s="1390"/>
      <c r="N1017" s="1390"/>
      <c r="O1017" s="1447"/>
      <c r="P1017" s="1390"/>
      <c r="Q1017" s="1390"/>
      <c r="R1017" s="1395"/>
    </row>
    <row r="1018" spans="1:18" s="1471" customFormat="1" ht="19.5" customHeight="1" hidden="1">
      <c r="A1018" s="1552">
        <v>85334</v>
      </c>
      <c r="B1018" s="1710" t="s">
        <v>35</v>
      </c>
      <c r="C1018" s="823"/>
      <c r="D1018" s="845">
        <f t="shared" si="141"/>
        <v>0</v>
      </c>
      <c r="E1018" s="845">
        <f>H1018+K1018+Q1018+N1018</f>
        <v>0</v>
      </c>
      <c r="F1018" s="1723" t="e">
        <f t="shared" si="142"/>
        <v>#DIV/0!</v>
      </c>
      <c r="G1018" s="823"/>
      <c r="H1018" s="845"/>
      <c r="I1018" s="1381"/>
      <c r="J1018" s="1510"/>
      <c r="K1018" s="845"/>
      <c r="L1018" s="1441"/>
      <c r="M1018" s="845"/>
      <c r="N1018" s="845"/>
      <c r="O1018" s="1511"/>
      <c r="P1018" s="845">
        <f>SUM(P1019)</f>
        <v>0</v>
      </c>
      <c r="Q1018" s="845">
        <f>SUM(Q1019)</f>
        <v>0</v>
      </c>
      <c r="R1018" s="1724" t="e">
        <f>Q1018/P1018*100</f>
        <v>#DIV/0!</v>
      </c>
    </row>
    <row r="1019" spans="1:18" s="1435" customFormat="1" ht="14.25" customHeight="1" hidden="1">
      <c r="A1019" s="1472">
        <v>3110</v>
      </c>
      <c r="B1019" s="1719" t="s">
        <v>15</v>
      </c>
      <c r="C1019" s="1474"/>
      <c r="D1019" s="856">
        <f t="shared" si="141"/>
        <v>0</v>
      </c>
      <c r="E1019" s="856">
        <f>H1019+K1019+Q1019+N1019</f>
        <v>0</v>
      </c>
      <c r="F1019" s="1716" t="e">
        <f t="shared" si="142"/>
        <v>#DIV/0!</v>
      </c>
      <c r="G1019" s="1474"/>
      <c r="H1019" s="1477"/>
      <c r="I1019" s="1381"/>
      <c r="J1019" s="1476"/>
      <c r="K1019" s="1477"/>
      <c r="L1019" s="1575"/>
      <c r="M1019" s="1477"/>
      <c r="N1019" s="1477"/>
      <c r="O1019" s="1442"/>
      <c r="P1019" s="1477"/>
      <c r="Q1019" s="1477"/>
      <c r="R1019" s="1725" t="e">
        <f>Q1019/P1019*100</f>
        <v>#DIV/0!</v>
      </c>
    </row>
    <row r="1020" spans="1:18" ht="30.75" customHeight="1">
      <c r="A1020" s="1436">
        <v>85295</v>
      </c>
      <c r="B1020" s="1668" t="s">
        <v>299</v>
      </c>
      <c r="C1020" s="1378">
        <f>SUM(C1022:C1024)+C1021+C1025</f>
        <v>1704000</v>
      </c>
      <c r="D1020" s="845">
        <f t="shared" si="141"/>
        <v>2701786</v>
      </c>
      <c r="E1020" s="1380">
        <f>H1020+K1020+Q1020+N1020</f>
        <v>1233601</v>
      </c>
      <c r="F1020" s="1716">
        <f t="shared" si="142"/>
        <v>45.658723525845495</v>
      </c>
      <c r="G1020" s="1378">
        <f>SUM(G1022:G1024)+G1021+G1025</f>
        <v>2701786</v>
      </c>
      <c r="H1020" s="1387">
        <f>SUM(H1022:H1024)+H1021+H1025</f>
        <v>1233601</v>
      </c>
      <c r="I1020" s="1381">
        <f aca="true" t="shared" si="146" ref="I1020:I1037">H1020/G1020*100</f>
        <v>45.658723525845495</v>
      </c>
      <c r="J1020" s="1378"/>
      <c r="K1020" s="1387"/>
      <c r="L1020" s="1726"/>
      <c r="M1020" s="1727"/>
      <c r="N1020" s="1387"/>
      <c r="O1020" s="1442"/>
      <c r="P1020" s="1488"/>
      <c r="Q1020" s="1488"/>
      <c r="R1020" s="1388"/>
    </row>
    <row r="1021" spans="1:18" s="1435" customFormat="1" ht="59.25" customHeight="1">
      <c r="A1021" s="1422">
        <v>2820</v>
      </c>
      <c r="B1021" s="1728" t="s">
        <v>36</v>
      </c>
      <c r="C1021" s="1393">
        <v>174000</v>
      </c>
      <c r="D1021" s="869">
        <f t="shared" si="141"/>
        <v>171800</v>
      </c>
      <c r="E1021" s="869">
        <f aca="true" t="shared" si="147" ref="E1021:E1037">SUM(H1021+K1021+N1021+Q1021)</f>
        <v>97500</v>
      </c>
      <c r="F1021" s="1717">
        <f t="shared" si="142"/>
        <v>56.752037252619324</v>
      </c>
      <c r="G1021" s="1393">
        <f>174000-2200</f>
        <v>171800</v>
      </c>
      <c r="H1021" s="1407">
        <v>97500</v>
      </c>
      <c r="I1021" s="1391">
        <f t="shared" si="146"/>
        <v>56.752037252619324</v>
      </c>
      <c r="J1021" s="1548"/>
      <c r="K1021" s="1407"/>
      <c r="L1021" s="1543"/>
      <c r="M1021" s="1407"/>
      <c r="N1021" s="1407"/>
      <c r="O1021" s="1549"/>
      <c r="P1021" s="1407"/>
      <c r="Q1021" s="1407"/>
      <c r="R1021" s="1374"/>
    </row>
    <row r="1022" spans="1:18" s="1435" customFormat="1" ht="12.75">
      <c r="A1022" s="1443">
        <v>3110</v>
      </c>
      <c r="B1022" s="1698" t="s">
        <v>15</v>
      </c>
      <c r="C1022" s="1389">
        <v>508000</v>
      </c>
      <c r="D1022" s="830">
        <f t="shared" si="141"/>
        <v>893369</v>
      </c>
      <c r="E1022" s="1390">
        <f t="shared" si="147"/>
        <v>644149</v>
      </c>
      <c r="F1022" s="1690">
        <f t="shared" si="142"/>
        <v>72.10335259002719</v>
      </c>
      <c r="G1022" s="1389">
        <f>508000+5000+20000+48000+5000+307369</f>
        <v>893369</v>
      </c>
      <c r="H1022" s="830">
        <v>644149</v>
      </c>
      <c r="I1022" s="1366">
        <f t="shared" si="146"/>
        <v>72.10335259002719</v>
      </c>
      <c r="J1022" s="1445"/>
      <c r="K1022" s="1390"/>
      <c r="L1022" s="1503"/>
      <c r="M1022" s="1390"/>
      <c r="N1022" s="1390"/>
      <c r="O1022" s="1447"/>
      <c r="P1022" s="1390"/>
      <c r="Q1022" s="1390"/>
      <c r="R1022" s="1395"/>
    </row>
    <row r="1023" spans="1:18" s="1435" customFormat="1" ht="24">
      <c r="A1023" s="1443">
        <v>6050</v>
      </c>
      <c r="B1023" s="1697" t="s">
        <v>767</v>
      </c>
      <c r="C1023" s="1389">
        <v>1000000</v>
      </c>
      <c r="D1023" s="830">
        <f t="shared" si="141"/>
        <v>1075000</v>
      </c>
      <c r="E1023" s="1390">
        <f t="shared" si="147"/>
        <v>277917</v>
      </c>
      <c r="F1023" s="1690">
        <f t="shared" si="142"/>
        <v>25.85274418604651</v>
      </c>
      <c r="G1023" s="1389">
        <f>1000000+75000</f>
        <v>1075000</v>
      </c>
      <c r="H1023" s="830">
        <v>277917</v>
      </c>
      <c r="I1023" s="1366">
        <f t="shared" si="146"/>
        <v>25.85274418604651</v>
      </c>
      <c r="J1023" s="1445"/>
      <c r="K1023" s="1390"/>
      <c r="L1023" s="1446"/>
      <c r="M1023" s="1390"/>
      <c r="N1023" s="1390"/>
      <c r="O1023" s="1447"/>
      <c r="P1023" s="1390"/>
      <c r="Q1023" s="1390"/>
      <c r="R1023" s="1395"/>
    </row>
    <row r="1024" spans="1:18" s="1435" customFormat="1" ht="24.75" customHeight="1">
      <c r="A1024" s="1443">
        <v>4300</v>
      </c>
      <c r="B1024" s="1669" t="s">
        <v>38</v>
      </c>
      <c r="C1024" s="1389">
        <v>22000</v>
      </c>
      <c r="D1024" s="830">
        <f t="shared" si="141"/>
        <v>22000</v>
      </c>
      <c r="E1024" s="1390">
        <f t="shared" si="147"/>
        <v>8890</v>
      </c>
      <c r="F1024" s="1682">
        <f t="shared" si="142"/>
        <v>40.409090909090914</v>
      </c>
      <c r="G1024" s="1389">
        <v>22000</v>
      </c>
      <c r="H1024" s="1390">
        <v>8890</v>
      </c>
      <c r="I1024" s="1366">
        <f t="shared" si="146"/>
        <v>40.409090909090914</v>
      </c>
      <c r="J1024" s="1445"/>
      <c r="K1024" s="1390"/>
      <c r="L1024" s="1446"/>
      <c r="M1024" s="1390"/>
      <c r="N1024" s="1390"/>
      <c r="O1024" s="1369"/>
      <c r="P1024" s="1390"/>
      <c r="Q1024" s="1390"/>
      <c r="R1024" s="1395"/>
    </row>
    <row r="1025" spans="1:18" s="1471" customFormat="1" ht="36">
      <c r="A1025" s="1461"/>
      <c r="B1025" s="2941" t="s">
        <v>1279</v>
      </c>
      <c r="C1025" s="1463"/>
      <c r="D1025" s="1465">
        <f t="shared" si="141"/>
        <v>539617</v>
      </c>
      <c r="E1025" s="1465">
        <f t="shared" si="147"/>
        <v>205145</v>
      </c>
      <c r="F1025" s="2942">
        <f t="shared" si="142"/>
        <v>38.01677856702068</v>
      </c>
      <c r="G1025" s="2943">
        <f>SUM(G1026:G1037)</f>
        <v>539617</v>
      </c>
      <c r="H1025" s="1465">
        <f>SUM(H1026:H1037)</f>
        <v>205145</v>
      </c>
      <c r="I1025" s="1366">
        <f t="shared" si="146"/>
        <v>38.01677856702068</v>
      </c>
      <c r="J1025" s="1466"/>
      <c r="K1025" s="1465"/>
      <c r="L1025" s="1526"/>
      <c r="M1025" s="1463"/>
      <c r="N1025" s="1465"/>
      <c r="O1025" s="2944"/>
      <c r="P1025" s="1465"/>
      <c r="Q1025" s="1465"/>
      <c r="R1025" s="2945"/>
    </row>
    <row r="1026" spans="1:18" s="1435" customFormat="1" ht="12.75">
      <c r="A1026" s="1443">
        <v>3118</v>
      </c>
      <c r="B1026" s="1669" t="s">
        <v>15</v>
      </c>
      <c r="C1026" s="1389"/>
      <c r="D1026" s="830">
        <f t="shared" si="141"/>
        <v>41667</v>
      </c>
      <c r="E1026" s="1390">
        <f t="shared" si="147"/>
        <v>15195</v>
      </c>
      <c r="F1026" s="1682">
        <f t="shared" si="142"/>
        <v>36.46770825833393</v>
      </c>
      <c r="G1026" s="1389">
        <v>41667</v>
      </c>
      <c r="H1026" s="1390">
        <v>15195</v>
      </c>
      <c r="I1026" s="1366">
        <f t="shared" si="146"/>
        <v>36.46770825833393</v>
      </c>
      <c r="J1026" s="1445"/>
      <c r="K1026" s="1390"/>
      <c r="L1026" s="1446"/>
      <c r="M1026" s="1389"/>
      <c r="N1026" s="1390"/>
      <c r="O1026" s="1729"/>
      <c r="P1026" s="1390"/>
      <c r="Q1026" s="1390"/>
      <c r="R1026" s="1582"/>
    </row>
    <row r="1027" spans="1:18" s="1435" customFormat="1" ht="12.75">
      <c r="A1027" s="1443">
        <v>3119</v>
      </c>
      <c r="B1027" s="1669" t="s">
        <v>15</v>
      </c>
      <c r="C1027" s="1389"/>
      <c r="D1027" s="830">
        <f t="shared" si="141"/>
        <v>10000</v>
      </c>
      <c r="E1027" s="1390">
        <f t="shared" si="147"/>
        <v>5490</v>
      </c>
      <c r="F1027" s="1682">
        <f t="shared" si="142"/>
        <v>54.900000000000006</v>
      </c>
      <c r="G1027" s="1389">
        <v>10000</v>
      </c>
      <c r="H1027" s="1390">
        <v>5490</v>
      </c>
      <c r="I1027" s="1366">
        <f t="shared" si="146"/>
        <v>54.900000000000006</v>
      </c>
      <c r="J1027" s="1445"/>
      <c r="K1027" s="1390"/>
      <c r="L1027" s="1446"/>
      <c r="M1027" s="1389"/>
      <c r="N1027" s="1390"/>
      <c r="O1027" s="1729"/>
      <c r="P1027" s="1390"/>
      <c r="Q1027" s="1390"/>
      <c r="R1027" s="1582"/>
    </row>
    <row r="1028" spans="1:18" s="1435" customFormat="1" ht="24">
      <c r="A1028" s="1443">
        <v>4019</v>
      </c>
      <c r="B1028" s="1669" t="s">
        <v>837</v>
      </c>
      <c r="C1028" s="1389"/>
      <c r="D1028" s="830">
        <f t="shared" si="141"/>
        <v>42500</v>
      </c>
      <c r="E1028" s="1390">
        <f t="shared" si="147"/>
        <v>22037</v>
      </c>
      <c r="F1028" s="1682">
        <f t="shared" si="142"/>
        <v>51.85176470588235</v>
      </c>
      <c r="G1028" s="1389">
        <v>42500</v>
      </c>
      <c r="H1028" s="1390">
        <v>22037</v>
      </c>
      <c r="I1028" s="1366">
        <f t="shared" si="146"/>
        <v>51.85176470588235</v>
      </c>
      <c r="J1028" s="1445"/>
      <c r="K1028" s="1390"/>
      <c r="L1028" s="1446"/>
      <c r="M1028" s="1389"/>
      <c r="N1028" s="1390"/>
      <c r="O1028" s="1729"/>
      <c r="P1028" s="1390"/>
      <c r="Q1028" s="1390"/>
      <c r="R1028" s="1582"/>
    </row>
    <row r="1029" spans="1:18" s="1435" customFormat="1" ht="24">
      <c r="A1029" s="1443">
        <v>4119</v>
      </c>
      <c r="B1029" s="1669" t="s">
        <v>686</v>
      </c>
      <c r="C1029" s="1389"/>
      <c r="D1029" s="830">
        <f t="shared" si="141"/>
        <v>7550</v>
      </c>
      <c r="E1029" s="1390">
        <f t="shared" si="147"/>
        <v>4234</v>
      </c>
      <c r="F1029" s="1682">
        <f t="shared" si="142"/>
        <v>56.079470198675494</v>
      </c>
      <c r="G1029" s="1389">
        <v>7550</v>
      </c>
      <c r="H1029" s="1390">
        <v>4234</v>
      </c>
      <c r="I1029" s="1366">
        <f t="shared" si="146"/>
        <v>56.079470198675494</v>
      </c>
      <c r="J1029" s="1445"/>
      <c r="K1029" s="1390"/>
      <c r="L1029" s="1446"/>
      <c r="M1029" s="1389"/>
      <c r="N1029" s="1390"/>
      <c r="O1029" s="1729"/>
      <c r="P1029" s="1390"/>
      <c r="Q1029" s="1390"/>
      <c r="R1029" s="1582"/>
    </row>
    <row r="1030" spans="1:18" s="1435" customFormat="1" ht="12.75">
      <c r="A1030" s="1443">
        <v>4129</v>
      </c>
      <c r="B1030" s="1669" t="s">
        <v>781</v>
      </c>
      <c r="C1030" s="1389"/>
      <c r="D1030" s="830">
        <f t="shared" si="141"/>
        <v>1130</v>
      </c>
      <c r="E1030" s="1390">
        <f t="shared" si="147"/>
        <v>589</v>
      </c>
      <c r="F1030" s="1682">
        <f t="shared" si="142"/>
        <v>52.12389380530974</v>
      </c>
      <c r="G1030" s="1389">
        <v>1130</v>
      </c>
      <c r="H1030" s="1390">
        <v>589</v>
      </c>
      <c r="I1030" s="1366">
        <f t="shared" si="146"/>
        <v>52.12389380530974</v>
      </c>
      <c r="J1030" s="1445"/>
      <c r="K1030" s="1390"/>
      <c r="L1030" s="1446"/>
      <c r="M1030" s="1389"/>
      <c r="N1030" s="1390"/>
      <c r="O1030" s="1729"/>
      <c r="P1030" s="1390"/>
      <c r="Q1030" s="1390"/>
      <c r="R1030" s="1582"/>
    </row>
    <row r="1031" spans="1:18" s="1435" customFormat="1" ht="24">
      <c r="A1031" s="1443">
        <v>4178</v>
      </c>
      <c r="B1031" s="1669" t="s">
        <v>744</v>
      </c>
      <c r="C1031" s="1389"/>
      <c r="D1031" s="830">
        <f t="shared" si="141"/>
        <v>21060</v>
      </c>
      <c r="E1031" s="1390">
        <f t="shared" si="147"/>
        <v>12943</v>
      </c>
      <c r="F1031" s="1682">
        <f t="shared" si="142"/>
        <v>61.45773979107313</v>
      </c>
      <c r="G1031" s="1389">
        <v>21060</v>
      </c>
      <c r="H1031" s="1390">
        <v>12943</v>
      </c>
      <c r="I1031" s="1366">
        <f t="shared" si="146"/>
        <v>61.45773979107313</v>
      </c>
      <c r="J1031" s="1445"/>
      <c r="K1031" s="1390"/>
      <c r="L1031" s="1446"/>
      <c r="M1031" s="1389"/>
      <c r="N1031" s="1390"/>
      <c r="O1031" s="1729"/>
      <c r="P1031" s="1390"/>
      <c r="Q1031" s="1390"/>
      <c r="R1031" s="1582"/>
    </row>
    <row r="1032" spans="1:18" s="1435" customFormat="1" ht="24">
      <c r="A1032" s="1443">
        <v>4179</v>
      </c>
      <c r="B1032" s="1669" t="s">
        <v>744</v>
      </c>
      <c r="C1032" s="1389"/>
      <c r="D1032" s="830">
        <f t="shared" si="141"/>
        <v>10000</v>
      </c>
      <c r="E1032" s="1390">
        <f t="shared" si="147"/>
        <v>2063</v>
      </c>
      <c r="F1032" s="1682">
        <f t="shared" si="142"/>
        <v>20.630000000000003</v>
      </c>
      <c r="G1032" s="1389">
        <v>10000</v>
      </c>
      <c r="H1032" s="1390">
        <v>2063</v>
      </c>
      <c r="I1032" s="1366">
        <f t="shared" si="146"/>
        <v>20.630000000000003</v>
      </c>
      <c r="J1032" s="1445"/>
      <c r="K1032" s="1390"/>
      <c r="L1032" s="1446"/>
      <c r="M1032" s="1389"/>
      <c r="N1032" s="1390"/>
      <c r="O1032" s="1729"/>
      <c r="P1032" s="1390"/>
      <c r="Q1032" s="1390"/>
      <c r="R1032" s="1582"/>
    </row>
    <row r="1033" spans="1:18" s="1435" customFormat="1" ht="24">
      <c r="A1033" s="1443">
        <v>4218</v>
      </c>
      <c r="B1033" s="1669" t="s">
        <v>690</v>
      </c>
      <c r="C1033" s="1389"/>
      <c r="D1033" s="830">
        <f t="shared" si="141"/>
        <v>34830</v>
      </c>
      <c r="E1033" s="1390">
        <f t="shared" si="147"/>
        <v>19336</v>
      </c>
      <c r="F1033" s="1682">
        <f t="shared" si="142"/>
        <v>55.51536032156187</v>
      </c>
      <c r="G1033" s="1389">
        <v>34830</v>
      </c>
      <c r="H1033" s="1390">
        <v>19336</v>
      </c>
      <c r="I1033" s="1366">
        <f t="shared" si="146"/>
        <v>55.51536032156187</v>
      </c>
      <c r="J1033" s="1445"/>
      <c r="K1033" s="1390"/>
      <c r="L1033" s="1446"/>
      <c r="M1033" s="1389"/>
      <c r="N1033" s="1390"/>
      <c r="O1033" s="1729"/>
      <c r="P1033" s="1390"/>
      <c r="Q1033" s="1390"/>
      <c r="R1033" s="1582"/>
    </row>
    <row r="1034" spans="1:18" s="1435" customFormat="1" ht="12.75">
      <c r="A1034" s="1443">
        <v>4308</v>
      </c>
      <c r="B1034" s="1669" t="s">
        <v>698</v>
      </c>
      <c r="C1034" s="1389"/>
      <c r="D1034" s="830">
        <f t="shared" si="141"/>
        <v>319736</v>
      </c>
      <c r="E1034" s="1390">
        <f t="shared" si="147"/>
        <v>106510</v>
      </c>
      <c r="F1034" s="1682">
        <f t="shared" si="142"/>
        <v>33.31185728225786</v>
      </c>
      <c r="G1034" s="1389">
        <v>319736</v>
      </c>
      <c r="H1034" s="1390">
        <v>106510</v>
      </c>
      <c r="I1034" s="1366">
        <f t="shared" si="146"/>
        <v>33.31185728225786</v>
      </c>
      <c r="J1034" s="1445"/>
      <c r="K1034" s="1390"/>
      <c r="L1034" s="1446"/>
      <c r="M1034" s="1389"/>
      <c r="N1034" s="1390"/>
      <c r="O1034" s="1729"/>
      <c r="P1034" s="1390"/>
      <c r="Q1034" s="1390"/>
      <c r="R1034" s="1582"/>
    </row>
    <row r="1035" spans="1:18" s="1435" customFormat="1" ht="12.75">
      <c r="A1035" s="1443">
        <v>4309</v>
      </c>
      <c r="B1035" s="1669" t="s">
        <v>698</v>
      </c>
      <c r="C1035" s="1389"/>
      <c r="D1035" s="830">
        <f t="shared" si="141"/>
        <v>27144</v>
      </c>
      <c r="E1035" s="1390">
        <f t="shared" si="147"/>
        <v>4785</v>
      </c>
      <c r="F1035" s="1682">
        <f t="shared" si="142"/>
        <v>17.628205128205128</v>
      </c>
      <c r="G1035" s="1389">
        <v>27144</v>
      </c>
      <c r="H1035" s="1390">
        <v>4785</v>
      </c>
      <c r="I1035" s="1366">
        <f t="shared" si="146"/>
        <v>17.628205128205128</v>
      </c>
      <c r="J1035" s="1445"/>
      <c r="K1035" s="1390"/>
      <c r="L1035" s="1446"/>
      <c r="M1035" s="1389"/>
      <c r="N1035" s="1390"/>
      <c r="O1035" s="1729"/>
      <c r="P1035" s="1390"/>
      <c r="Q1035" s="1390"/>
      <c r="R1035" s="1582"/>
    </row>
    <row r="1036" spans="1:18" s="1435" customFormat="1" ht="12.75">
      <c r="A1036" s="1443">
        <v>4418</v>
      </c>
      <c r="B1036" s="1669" t="s">
        <v>672</v>
      </c>
      <c r="C1036" s="1389"/>
      <c r="D1036" s="830">
        <f t="shared" si="141"/>
        <v>23040</v>
      </c>
      <c r="E1036" s="1390">
        <f t="shared" si="147"/>
        <v>11963</v>
      </c>
      <c r="F1036" s="1682">
        <f>E1036/D1036*100</f>
        <v>51.92274305555556</v>
      </c>
      <c r="G1036" s="1389">
        <v>23040</v>
      </c>
      <c r="H1036" s="1390">
        <v>11963</v>
      </c>
      <c r="I1036" s="1366">
        <f t="shared" si="146"/>
        <v>51.92274305555556</v>
      </c>
      <c r="J1036" s="1445"/>
      <c r="K1036" s="1390"/>
      <c r="L1036" s="1446"/>
      <c r="M1036" s="1389"/>
      <c r="N1036" s="1390"/>
      <c r="O1036" s="1729"/>
      <c r="P1036" s="1390"/>
      <c r="Q1036" s="1390"/>
      <c r="R1036" s="1582"/>
    </row>
    <row r="1037" spans="1:18" s="1435" customFormat="1" ht="13.5" thickBot="1">
      <c r="A1037" s="1443">
        <v>4419</v>
      </c>
      <c r="B1037" s="1669" t="s">
        <v>672</v>
      </c>
      <c r="C1037" s="1389"/>
      <c r="D1037" s="830">
        <f t="shared" si="141"/>
        <v>960</v>
      </c>
      <c r="E1037" s="1390">
        <f t="shared" si="147"/>
        <v>0</v>
      </c>
      <c r="F1037" s="1682">
        <f t="shared" si="142"/>
        <v>0</v>
      </c>
      <c r="G1037" s="1389">
        <v>960</v>
      </c>
      <c r="H1037" s="1390"/>
      <c r="I1037" s="1366">
        <f t="shared" si="146"/>
        <v>0</v>
      </c>
      <c r="J1037" s="1445"/>
      <c r="K1037" s="1390"/>
      <c r="L1037" s="1446"/>
      <c r="M1037" s="1389"/>
      <c r="N1037" s="1390"/>
      <c r="O1037" s="1729"/>
      <c r="P1037" s="1390"/>
      <c r="Q1037" s="1390"/>
      <c r="R1037" s="1582"/>
    </row>
    <row r="1038" spans="1:18" s="1471" customFormat="1" ht="37.5" thickBot="1" thickTop="1">
      <c r="A1038" s="1455">
        <v>853</v>
      </c>
      <c r="B1038" s="1730" t="s">
        <v>39</v>
      </c>
      <c r="C1038" s="812">
        <f>C1039+C1043+C1041+C1056+C1054</f>
        <v>2002422</v>
      </c>
      <c r="D1038" s="813">
        <f>D1039+D1043+D1041+D1056+D1054</f>
        <v>2213605</v>
      </c>
      <c r="E1038" s="813">
        <f>E1039+E1043+E1041+E1056+E1054</f>
        <v>1110370</v>
      </c>
      <c r="F1038" s="1731">
        <f>E1038/D1038*100</f>
        <v>50.1611624476815</v>
      </c>
      <c r="G1038" s="812">
        <f>G1039+G1043+G1041+G1056</f>
        <v>2049340</v>
      </c>
      <c r="H1038" s="813">
        <f>H1039+H1043+H1041+H1056</f>
        <v>1023054</v>
      </c>
      <c r="I1038" s="1457">
        <f>H1038/G1038*100</f>
        <v>49.92114534435477</v>
      </c>
      <c r="J1038" s="1459"/>
      <c r="K1038" s="813"/>
      <c r="L1038" s="1433"/>
      <c r="M1038" s="1459">
        <f>M1039+M1043</f>
        <v>47422</v>
      </c>
      <c r="N1038" s="813">
        <f>N1039+N1043</f>
        <v>26984</v>
      </c>
      <c r="O1038" s="1457">
        <f>N1038/M1038*100</f>
        <v>56.901859896250684</v>
      </c>
      <c r="P1038" s="813">
        <f>P1043+P1054</f>
        <v>116843</v>
      </c>
      <c r="Q1038" s="813">
        <f>Q1043+Q1054</f>
        <v>60332</v>
      </c>
      <c r="R1038" s="814">
        <f>Q1038/P1038*100</f>
        <v>51.63510009157588</v>
      </c>
    </row>
    <row r="1039" spans="1:18" s="1435" customFormat="1" ht="13.5" thickTop="1">
      <c r="A1039" s="1436">
        <v>85305</v>
      </c>
      <c r="B1039" s="1668" t="s">
        <v>318</v>
      </c>
      <c r="C1039" s="1438">
        <f>SUM(C1040:C1040)</f>
        <v>1849000</v>
      </c>
      <c r="D1039" s="845">
        <f>G1039+J1039+P1039+M1039</f>
        <v>1907700</v>
      </c>
      <c r="E1039" s="1380">
        <f>SUM(E1040:E1040)</f>
        <v>1004000</v>
      </c>
      <c r="F1039" s="1716">
        <f aca="true" t="shared" si="148" ref="F1039:F1102">E1039/D1039*100</f>
        <v>52.62882004508046</v>
      </c>
      <c r="G1039" s="1438">
        <f>SUM(G1040:G1040)</f>
        <v>1907700</v>
      </c>
      <c r="H1039" s="1380">
        <f>SUM(H1040:H1040)</f>
        <v>1004000</v>
      </c>
      <c r="I1039" s="1381">
        <f>H1039/G1039*100</f>
        <v>52.62882004508046</v>
      </c>
      <c r="J1039" s="1440"/>
      <c r="K1039" s="1380"/>
      <c r="L1039" s="1441"/>
      <c r="M1039" s="1380"/>
      <c r="N1039" s="1380"/>
      <c r="O1039" s="1442"/>
      <c r="P1039" s="1380"/>
      <c r="Q1039" s="1380"/>
      <c r="R1039" s="1478"/>
    </row>
    <row r="1040" spans="1:18" s="1435" customFormat="1" ht="36">
      <c r="A1040" s="1472">
        <v>2510</v>
      </c>
      <c r="B1040" s="1719" t="s">
        <v>297</v>
      </c>
      <c r="C1040" s="1474">
        <v>1849000</v>
      </c>
      <c r="D1040" s="856">
        <f aca="true" t="shared" si="149" ref="D1040:D1058">G1040+J1040+P1040+M1040</f>
        <v>1907700</v>
      </c>
      <c r="E1040" s="1477">
        <f>SUM(H1040+K1040+N1040+Q1040)</f>
        <v>1004000</v>
      </c>
      <c r="F1040" s="1716">
        <f t="shared" si="148"/>
        <v>52.62882004508046</v>
      </c>
      <c r="G1040" s="1474">
        <f>1849000+50000+8700</f>
        <v>1907700</v>
      </c>
      <c r="H1040" s="1477">
        <v>1004000</v>
      </c>
      <c r="I1040" s="1381">
        <f>H1040/G1040*100</f>
        <v>52.62882004508046</v>
      </c>
      <c r="J1040" s="1476"/>
      <c r="K1040" s="1477"/>
      <c r="L1040" s="1575"/>
      <c r="M1040" s="1477"/>
      <c r="N1040" s="1477"/>
      <c r="O1040" s="1442"/>
      <c r="P1040" s="1477"/>
      <c r="Q1040" s="1477"/>
      <c r="R1040" s="1478"/>
    </row>
    <row r="1041" spans="1:18" s="1471" customFormat="1" ht="36" hidden="1">
      <c r="A1041" s="1479">
        <v>85311</v>
      </c>
      <c r="B1041" s="1710" t="s">
        <v>40</v>
      </c>
      <c r="C1041" s="823">
        <f>SUM(C1042)</f>
        <v>0</v>
      </c>
      <c r="D1041" s="845">
        <f t="shared" si="149"/>
        <v>0</v>
      </c>
      <c r="E1041" s="845">
        <f>SUM(H1041+K1041+N1041+Q1041)</f>
        <v>0</v>
      </c>
      <c r="F1041" s="1723"/>
      <c r="G1041" s="823">
        <f>SUM(G1042)</f>
        <v>0</v>
      </c>
      <c r="H1041" s="845">
        <f>SUM(H1042)</f>
        <v>0</v>
      </c>
      <c r="I1041" s="1398"/>
      <c r="J1041" s="1510"/>
      <c r="K1041" s="845"/>
      <c r="L1041" s="1441"/>
      <c r="M1041" s="845"/>
      <c r="N1041" s="845"/>
      <c r="O1041" s="1511"/>
      <c r="P1041" s="845"/>
      <c r="Q1041" s="845"/>
      <c r="R1041" s="826"/>
    </row>
    <row r="1042" spans="1:18" s="1435" customFormat="1" ht="24" hidden="1">
      <c r="A1042" s="1472">
        <v>4300</v>
      </c>
      <c r="B1042" s="1719" t="s">
        <v>41</v>
      </c>
      <c r="C1042" s="1474"/>
      <c r="D1042" s="856">
        <f t="shared" si="149"/>
        <v>0</v>
      </c>
      <c r="E1042" s="1477">
        <f>SUM(H1042+K1042+N1042+Q1042)</f>
        <v>0</v>
      </c>
      <c r="F1042" s="1716"/>
      <c r="G1042" s="1474"/>
      <c r="H1042" s="1477"/>
      <c r="I1042" s="1381"/>
      <c r="J1042" s="1476"/>
      <c r="K1042" s="1477"/>
      <c r="L1042" s="1575"/>
      <c r="M1042" s="1477"/>
      <c r="N1042" s="1477"/>
      <c r="O1042" s="1442"/>
      <c r="P1042" s="1477"/>
      <c r="Q1042" s="1477"/>
      <c r="R1042" s="1478"/>
    </row>
    <row r="1043" spans="1:18" s="1435" customFormat="1" ht="24">
      <c r="A1043" s="1436">
        <v>85321</v>
      </c>
      <c r="B1043" s="1668" t="s">
        <v>1280</v>
      </c>
      <c r="C1043" s="1438">
        <f>SUM(C1044:C1053)</f>
        <v>153422</v>
      </c>
      <c r="D1043" s="845">
        <f t="shared" si="149"/>
        <v>153422</v>
      </c>
      <c r="E1043" s="1380">
        <f>H1043+K1043+Q1043+N1043</f>
        <v>76473</v>
      </c>
      <c r="F1043" s="1716">
        <f t="shared" si="148"/>
        <v>49.84487231296685</v>
      </c>
      <c r="G1043" s="1474"/>
      <c r="H1043" s="1477"/>
      <c r="I1043" s="1692"/>
      <c r="J1043" s="1476"/>
      <c r="K1043" s="1477"/>
      <c r="L1043" s="1575"/>
      <c r="M1043" s="1380">
        <f>SUM(M1044:M1053)</f>
        <v>47422</v>
      </c>
      <c r="N1043" s="1380">
        <f>SUM(N1044:N1053)</f>
        <v>26984</v>
      </c>
      <c r="O1043" s="1388">
        <f aca="true" t="shared" si="150" ref="O1043:O1051">N1043/M1043*100</f>
        <v>56.901859896250684</v>
      </c>
      <c r="P1043" s="1380">
        <f>SUM(P1044:P1053)</f>
        <v>106000</v>
      </c>
      <c r="Q1043" s="1380">
        <f>SUM(Q1044:Q1053)</f>
        <v>49489</v>
      </c>
      <c r="R1043" s="1388">
        <f>Q1043/P1043*100</f>
        <v>46.68773584905661</v>
      </c>
    </row>
    <row r="1044" spans="1:18" s="1435" customFormat="1" ht="24">
      <c r="A1044" s="1422">
        <v>4010</v>
      </c>
      <c r="B1044" s="1689" t="s">
        <v>680</v>
      </c>
      <c r="C1044" s="1393">
        <v>85612</v>
      </c>
      <c r="D1044" s="869">
        <f t="shared" si="149"/>
        <v>85612</v>
      </c>
      <c r="E1044" s="1407">
        <f aca="true" t="shared" si="151" ref="E1044:E1058">SUM(H1044+K1044+N1044+Q1044)</f>
        <v>41506</v>
      </c>
      <c r="F1044" s="1717">
        <f t="shared" si="148"/>
        <v>48.48152128206326</v>
      </c>
      <c r="G1044" s="1393"/>
      <c r="H1044" s="1407"/>
      <c r="I1044" s="1720"/>
      <c r="J1044" s="1548"/>
      <c r="K1044" s="1407"/>
      <c r="L1044" s="1543"/>
      <c r="M1044" s="1407">
        <v>11812</v>
      </c>
      <c r="N1044" s="1721">
        <f>3971+1</f>
        <v>3972</v>
      </c>
      <c r="O1044" s="1722">
        <f t="shared" si="150"/>
        <v>33.62682018286488</v>
      </c>
      <c r="P1044" s="1548">
        <v>73800</v>
      </c>
      <c r="Q1044" s="1407">
        <v>37534</v>
      </c>
      <c r="R1044" s="1395">
        <f>Q1044/P1044*100</f>
        <v>50.85907859078591</v>
      </c>
    </row>
    <row r="1045" spans="1:18" s="1435" customFormat="1" ht="24">
      <c r="A1045" s="1443">
        <v>4040</v>
      </c>
      <c r="B1045" s="1669" t="s">
        <v>684</v>
      </c>
      <c r="C1045" s="1389">
        <v>6500</v>
      </c>
      <c r="D1045" s="830">
        <f t="shared" si="149"/>
        <v>5980</v>
      </c>
      <c r="E1045" s="1390">
        <f t="shared" si="151"/>
        <v>5979</v>
      </c>
      <c r="F1045" s="1690">
        <f t="shared" si="148"/>
        <v>99.98327759197323</v>
      </c>
      <c r="G1045" s="1389"/>
      <c r="H1045" s="1390"/>
      <c r="I1045" s="1605"/>
      <c r="J1045" s="1445"/>
      <c r="K1045" s="1390"/>
      <c r="L1045" s="1446"/>
      <c r="M1045" s="1390">
        <f>6500-520</f>
        <v>5980</v>
      </c>
      <c r="N1045" s="1578">
        <v>5979</v>
      </c>
      <c r="O1045" s="1369">
        <f t="shared" si="150"/>
        <v>99.98327759197323</v>
      </c>
      <c r="P1045" s="1445"/>
      <c r="Q1045" s="1390"/>
      <c r="R1045" s="1395"/>
    </row>
    <row r="1046" spans="1:18" s="1435" customFormat="1" ht="24">
      <c r="A1046" s="1443">
        <v>4110</v>
      </c>
      <c r="B1046" s="1669" t="s">
        <v>686</v>
      </c>
      <c r="C1046" s="1389">
        <v>16630</v>
      </c>
      <c r="D1046" s="830">
        <f t="shared" si="149"/>
        <v>16630</v>
      </c>
      <c r="E1046" s="1390">
        <f t="shared" si="151"/>
        <v>8670</v>
      </c>
      <c r="F1046" s="1690">
        <f t="shared" si="148"/>
        <v>52.13469633193024</v>
      </c>
      <c r="G1046" s="1389"/>
      <c r="H1046" s="1390"/>
      <c r="I1046" s="1605"/>
      <c r="J1046" s="1445"/>
      <c r="K1046" s="1390"/>
      <c r="L1046" s="1446"/>
      <c r="M1046" s="1390">
        <v>11030</v>
      </c>
      <c r="N1046" s="1578">
        <v>3070</v>
      </c>
      <c r="O1046" s="1369">
        <f t="shared" si="150"/>
        <v>27.83318223028105</v>
      </c>
      <c r="P1046" s="1445">
        <v>5600</v>
      </c>
      <c r="Q1046" s="1390">
        <v>5600</v>
      </c>
      <c r="R1046" s="1369">
        <f>Q1046/P1046*100</f>
        <v>100</v>
      </c>
    </row>
    <row r="1047" spans="1:18" s="1435" customFormat="1" ht="12.75">
      <c r="A1047" s="1443">
        <v>4120</v>
      </c>
      <c r="B1047" s="1669" t="s">
        <v>771</v>
      </c>
      <c r="C1047" s="1389">
        <v>2260</v>
      </c>
      <c r="D1047" s="830">
        <f t="shared" si="149"/>
        <v>2260</v>
      </c>
      <c r="E1047" s="1390">
        <f t="shared" si="151"/>
        <v>1198</v>
      </c>
      <c r="F1047" s="1690">
        <f t="shared" si="148"/>
        <v>53.00884955752212</v>
      </c>
      <c r="G1047" s="1389"/>
      <c r="H1047" s="1390"/>
      <c r="I1047" s="1605"/>
      <c r="J1047" s="1445"/>
      <c r="K1047" s="1390"/>
      <c r="L1047" s="1446"/>
      <c r="M1047" s="1390">
        <v>560</v>
      </c>
      <c r="N1047" s="1578">
        <f>177</f>
        <v>177</v>
      </c>
      <c r="O1047" s="1395">
        <f t="shared" si="150"/>
        <v>31.607142857142854</v>
      </c>
      <c r="P1047" s="1445">
        <v>1700</v>
      </c>
      <c r="Q1047" s="1390">
        <v>1021</v>
      </c>
      <c r="R1047" s="1369">
        <f>Q1047/P1047*100</f>
        <v>60.05882352941177</v>
      </c>
    </row>
    <row r="1048" spans="1:18" s="1435" customFormat="1" ht="24">
      <c r="A1048" s="1443">
        <v>4170</v>
      </c>
      <c r="B1048" s="1669" t="s">
        <v>744</v>
      </c>
      <c r="C1048" s="1389">
        <v>10400</v>
      </c>
      <c r="D1048" s="830">
        <f t="shared" si="149"/>
        <v>10400</v>
      </c>
      <c r="E1048" s="1390">
        <f t="shared" si="151"/>
        <v>1470</v>
      </c>
      <c r="F1048" s="1690">
        <f t="shared" si="148"/>
        <v>14.134615384615385</v>
      </c>
      <c r="G1048" s="1389"/>
      <c r="H1048" s="1390"/>
      <c r="I1048" s="1605"/>
      <c r="J1048" s="1445"/>
      <c r="K1048" s="1390"/>
      <c r="L1048" s="1446"/>
      <c r="M1048" s="1390">
        <v>3200</v>
      </c>
      <c r="N1048" s="1578"/>
      <c r="O1048" s="1395">
        <f t="shared" si="150"/>
        <v>0</v>
      </c>
      <c r="P1048" s="1445">
        <v>7200</v>
      </c>
      <c r="Q1048" s="1390">
        <v>1470</v>
      </c>
      <c r="R1048" s="1369">
        <f>Q1048/P1048*100</f>
        <v>20.416666666666668</v>
      </c>
    </row>
    <row r="1049" spans="1:18" s="1435" customFormat="1" ht="24">
      <c r="A1049" s="1443">
        <v>4210</v>
      </c>
      <c r="B1049" s="1669" t="s">
        <v>690</v>
      </c>
      <c r="C1049" s="1389">
        <v>2000</v>
      </c>
      <c r="D1049" s="830">
        <f t="shared" si="149"/>
        <v>2520</v>
      </c>
      <c r="E1049" s="1390">
        <f t="shared" si="151"/>
        <v>1865</v>
      </c>
      <c r="F1049" s="1690">
        <f t="shared" si="148"/>
        <v>74.0079365079365</v>
      </c>
      <c r="G1049" s="1389"/>
      <c r="H1049" s="1390"/>
      <c r="I1049" s="1605"/>
      <c r="J1049" s="1445"/>
      <c r="K1049" s="1390"/>
      <c r="L1049" s="1446"/>
      <c r="M1049" s="1390">
        <f>2000+520</f>
        <v>2520</v>
      </c>
      <c r="N1049" s="1578">
        <v>1865</v>
      </c>
      <c r="O1049" s="1395">
        <f t="shared" si="150"/>
        <v>74.0079365079365</v>
      </c>
      <c r="P1049" s="1445"/>
      <c r="Q1049" s="1390"/>
      <c r="R1049" s="1369"/>
    </row>
    <row r="1050" spans="1:18" s="1435" customFormat="1" ht="12" customHeight="1">
      <c r="A1050" s="1443">
        <v>4300</v>
      </c>
      <c r="B1050" s="1669" t="s">
        <v>698</v>
      </c>
      <c r="C1050" s="1389">
        <v>27410</v>
      </c>
      <c r="D1050" s="830">
        <f t="shared" si="149"/>
        <v>27410</v>
      </c>
      <c r="E1050" s="1390">
        <f t="shared" si="151"/>
        <v>13466</v>
      </c>
      <c r="F1050" s="1690">
        <f t="shared" si="148"/>
        <v>49.12805545421379</v>
      </c>
      <c r="G1050" s="1389"/>
      <c r="H1050" s="1390"/>
      <c r="I1050" s="1605"/>
      <c r="J1050" s="1445"/>
      <c r="K1050" s="1390"/>
      <c r="L1050" s="1446"/>
      <c r="M1050" s="1390">
        <v>9710</v>
      </c>
      <c r="N1050" s="1578">
        <f>9601+1</f>
        <v>9602</v>
      </c>
      <c r="O1050" s="1369">
        <f t="shared" si="150"/>
        <v>98.88774459320288</v>
      </c>
      <c r="P1050" s="1445">
        <v>17700</v>
      </c>
      <c r="Q1050" s="1390">
        <v>3864</v>
      </c>
      <c r="R1050" s="1369">
        <f>Q1050/P1050*100</f>
        <v>21.83050847457627</v>
      </c>
    </row>
    <row r="1051" spans="1:18" s="1435" customFormat="1" ht="12.75">
      <c r="A1051" s="1443">
        <v>4410</v>
      </c>
      <c r="B1051" s="1669" t="s">
        <v>672</v>
      </c>
      <c r="C1051" s="1389">
        <v>360</v>
      </c>
      <c r="D1051" s="830">
        <f t="shared" si="149"/>
        <v>360</v>
      </c>
      <c r="E1051" s="1390">
        <f t="shared" si="151"/>
        <v>69</v>
      </c>
      <c r="F1051" s="1690">
        <f t="shared" si="148"/>
        <v>19.166666666666668</v>
      </c>
      <c r="G1051" s="1389"/>
      <c r="H1051" s="1390"/>
      <c r="I1051" s="1605"/>
      <c r="J1051" s="1445"/>
      <c r="K1051" s="1390"/>
      <c r="L1051" s="1446"/>
      <c r="M1051" s="1390">
        <v>360</v>
      </c>
      <c r="N1051" s="1578">
        <v>69</v>
      </c>
      <c r="O1051" s="1395">
        <f t="shared" si="150"/>
        <v>19.166666666666668</v>
      </c>
      <c r="P1051" s="1445"/>
      <c r="Q1051" s="1390"/>
      <c r="R1051" s="1369"/>
    </row>
    <row r="1052" spans="1:18" s="1435" customFormat="1" ht="12.75">
      <c r="A1052" s="1443">
        <v>4440</v>
      </c>
      <c r="B1052" s="1697" t="s">
        <v>846</v>
      </c>
      <c r="C1052" s="1389">
        <v>2250</v>
      </c>
      <c r="D1052" s="830">
        <f t="shared" si="149"/>
        <v>2250</v>
      </c>
      <c r="E1052" s="1390">
        <f t="shared" si="151"/>
        <v>2250</v>
      </c>
      <c r="F1052" s="1690">
        <f t="shared" si="148"/>
        <v>100</v>
      </c>
      <c r="G1052" s="1389"/>
      <c r="H1052" s="1390"/>
      <c r="I1052" s="1605"/>
      <c r="J1052" s="1445"/>
      <c r="K1052" s="1390"/>
      <c r="L1052" s="1446"/>
      <c r="M1052" s="1390">
        <v>2250</v>
      </c>
      <c r="N1052" s="1578">
        <v>2250</v>
      </c>
      <c r="O1052" s="1369">
        <f>N1052/M1052*100</f>
        <v>100</v>
      </c>
      <c r="P1052" s="1445"/>
      <c r="Q1052" s="1390"/>
      <c r="R1052" s="1395"/>
    </row>
    <row r="1053" spans="1:18" s="1435" customFormat="1" ht="36" hidden="1">
      <c r="A1053" s="1492">
        <v>6060</v>
      </c>
      <c r="B1053" s="1670" t="s">
        <v>841</v>
      </c>
      <c r="C1053" s="1494"/>
      <c r="D1053" s="830">
        <f t="shared" si="149"/>
        <v>0</v>
      </c>
      <c r="E1053" s="1390">
        <f t="shared" si="151"/>
        <v>0</v>
      </c>
      <c r="F1053" s="1690" t="e">
        <f t="shared" si="148"/>
        <v>#DIV/0!</v>
      </c>
      <c r="G1053" s="1494"/>
      <c r="H1053" s="1487"/>
      <c r="I1053" s="1705"/>
      <c r="J1053" s="1495"/>
      <c r="K1053" s="1487"/>
      <c r="L1053" s="1551"/>
      <c r="M1053" s="1487"/>
      <c r="N1053" s="1611"/>
      <c r="O1053" s="1666" t="e">
        <f>N1053/M1053*100</f>
        <v>#DIV/0!</v>
      </c>
      <c r="P1053" s="1495"/>
      <c r="Q1053" s="1487"/>
      <c r="R1053" s="1420"/>
    </row>
    <row r="1054" spans="1:18" s="1471" customFormat="1" ht="12.75">
      <c r="A1054" s="1479">
        <v>85334</v>
      </c>
      <c r="B1054" s="1710" t="s">
        <v>35</v>
      </c>
      <c r="C1054" s="823"/>
      <c r="D1054" s="845">
        <f t="shared" si="149"/>
        <v>10843</v>
      </c>
      <c r="E1054" s="845">
        <f t="shared" si="151"/>
        <v>10843</v>
      </c>
      <c r="F1054" s="1400">
        <f t="shared" si="148"/>
        <v>100</v>
      </c>
      <c r="G1054" s="823"/>
      <c r="H1054" s="845"/>
      <c r="I1054" s="2940"/>
      <c r="J1054" s="1510"/>
      <c r="K1054" s="845"/>
      <c r="L1054" s="1441"/>
      <c r="M1054" s="845"/>
      <c r="N1054" s="1577"/>
      <c r="O1054" s="1663"/>
      <c r="P1054" s="1510">
        <f>SUM(P1055)</f>
        <v>10843</v>
      </c>
      <c r="Q1054" s="845">
        <f>SUM(Q1055)</f>
        <v>10843</v>
      </c>
      <c r="R1054" s="1398">
        <f>Q1054/P1054*100</f>
        <v>100</v>
      </c>
    </row>
    <row r="1055" spans="1:18" s="1435" customFormat="1" ht="12.75">
      <c r="A1055" s="1443">
        <v>3110</v>
      </c>
      <c r="B1055" s="1698" t="s">
        <v>15</v>
      </c>
      <c r="C1055" s="1494"/>
      <c r="D1055" s="830">
        <f t="shared" si="149"/>
        <v>10843</v>
      </c>
      <c r="E1055" s="1390">
        <f t="shared" si="151"/>
        <v>10843</v>
      </c>
      <c r="F1055" s="1690">
        <f t="shared" si="148"/>
        <v>100</v>
      </c>
      <c r="G1055" s="1494"/>
      <c r="H1055" s="1487"/>
      <c r="I1055" s="1705"/>
      <c r="J1055" s="1495"/>
      <c r="K1055" s="1487"/>
      <c r="L1055" s="1551"/>
      <c r="M1055" s="1487"/>
      <c r="N1055" s="1611"/>
      <c r="O1055" s="1666"/>
      <c r="P1055" s="1495">
        <v>10843</v>
      </c>
      <c r="Q1055" s="1487">
        <v>10843</v>
      </c>
      <c r="R1055" s="1419">
        <f>Q1055/P1055*100</f>
        <v>100</v>
      </c>
    </row>
    <row r="1056" spans="1:18" s="1471" customFormat="1" ht="13.5">
      <c r="A1056" s="1479">
        <v>85395</v>
      </c>
      <c r="B1056" s="1710" t="s">
        <v>299</v>
      </c>
      <c r="C1056" s="823">
        <f>C1058</f>
        <v>0</v>
      </c>
      <c r="D1056" s="845">
        <f t="shared" si="149"/>
        <v>141640</v>
      </c>
      <c r="E1056" s="845">
        <f t="shared" si="151"/>
        <v>19054</v>
      </c>
      <c r="F1056" s="1400">
        <f t="shared" si="148"/>
        <v>13.452414572154758</v>
      </c>
      <c r="G1056" s="823">
        <f>SUM(G1057:G1058)</f>
        <v>141640</v>
      </c>
      <c r="H1056" s="845">
        <f>SUM(H1057:H1058)</f>
        <v>19054</v>
      </c>
      <c r="I1056" s="2940">
        <f>H1056/G1056*100</f>
        <v>13.452414572154758</v>
      </c>
      <c r="J1056" s="1510"/>
      <c r="K1056" s="845"/>
      <c r="L1056" s="1441"/>
      <c r="M1056" s="845"/>
      <c r="N1056" s="1577"/>
      <c r="O1056" s="1663"/>
      <c r="P1056" s="1510"/>
      <c r="Q1056" s="845"/>
      <c r="R1056" s="846"/>
    </row>
    <row r="1057" spans="1:18" s="1471" customFormat="1" ht="24">
      <c r="A1057" s="1443">
        <v>3110</v>
      </c>
      <c r="B1057" s="1669" t="s">
        <v>1281</v>
      </c>
      <c r="C1057" s="1463"/>
      <c r="D1057" s="869">
        <f>G1057+J1057+P1057+M1057</f>
        <v>25100</v>
      </c>
      <c r="E1057" s="1407">
        <f>SUM(H1057+K1057+N1057+Q1057)</f>
        <v>3726</v>
      </c>
      <c r="F1057" s="1410">
        <f>E1057/D1057*100</f>
        <v>14.844621513944222</v>
      </c>
      <c r="G1057" s="832">
        <v>25100</v>
      </c>
      <c r="H1057" s="830">
        <v>3726</v>
      </c>
      <c r="I1057" s="1605">
        <f>H1057/G1057*100</f>
        <v>14.844621513944222</v>
      </c>
      <c r="J1057" s="1466"/>
      <c r="K1057" s="1465"/>
      <c r="L1057" s="1526"/>
      <c r="M1057" s="1465"/>
      <c r="N1057" s="2938"/>
      <c r="O1057" s="2946"/>
      <c r="P1057" s="1466"/>
      <c r="Q1057" s="1465"/>
      <c r="R1057" s="844"/>
    </row>
    <row r="1058" spans="1:18" s="1435" customFormat="1" ht="24.75" thickBot="1">
      <c r="A1058" s="2930">
        <v>4300</v>
      </c>
      <c r="B1058" s="2947" t="s">
        <v>1282</v>
      </c>
      <c r="C1058" s="1452"/>
      <c r="D1058" s="1453">
        <f t="shared" si="149"/>
        <v>116540</v>
      </c>
      <c r="E1058" s="1579">
        <f t="shared" si="151"/>
        <v>15328</v>
      </c>
      <c r="F1058" s="2948">
        <f t="shared" si="148"/>
        <v>13.152565642697786</v>
      </c>
      <c r="G1058" s="1452">
        <f>56640+85000-25100</f>
        <v>116540</v>
      </c>
      <c r="H1058" s="1579">
        <v>15328</v>
      </c>
      <c r="I1058" s="2949">
        <f>H1058/G1058*100</f>
        <v>13.152565642697786</v>
      </c>
      <c r="J1058" s="2950"/>
      <c r="K1058" s="1579"/>
      <c r="L1058" s="2951"/>
      <c r="M1058" s="1579"/>
      <c r="N1058" s="2952"/>
      <c r="O1058" s="2953"/>
      <c r="P1058" s="2950"/>
      <c r="Q1058" s="1579"/>
      <c r="R1058" s="2954"/>
    </row>
    <row r="1059" spans="1:18" s="1695" customFormat="1" ht="25.5" customHeight="1" thickBot="1" thickTop="1">
      <c r="A1059" s="2955">
        <v>854</v>
      </c>
      <c r="B1059" s="2956" t="s">
        <v>154</v>
      </c>
      <c r="C1059" s="2957">
        <f>C1060+C1074+C1095+C1112+C1131+C1161+C1152+C1176+C1181</f>
        <v>8477600</v>
      </c>
      <c r="D1059" s="885">
        <f t="shared" si="141"/>
        <v>9461949</v>
      </c>
      <c r="E1059" s="885">
        <f>H1059+K1059+Q1059+N1059</f>
        <v>4996791</v>
      </c>
      <c r="F1059" s="2948">
        <f t="shared" si="148"/>
        <v>52.80932078581273</v>
      </c>
      <c r="G1059" s="2957">
        <f>G1060+G1074+G1095+G1112+G1131+G1152+G1161+G1176+G1181</f>
        <v>1871904</v>
      </c>
      <c r="H1059" s="2958">
        <f>H1060+H1074+H1095+H1131+H1152+H1161+H1176+H1181</f>
        <v>1097266</v>
      </c>
      <c r="I1059" s="2931">
        <f aca="true" t="shared" si="152" ref="I1059:I1066">H1059/G1059*100</f>
        <v>58.61764278510009</v>
      </c>
      <c r="J1059" s="2959"/>
      <c r="K1059" s="2958"/>
      <c r="L1059" s="2960"/>
      <c r="M1059" s="2958">
        <f>M1060+M1074+M1095+M1112+M1131+M1150+M1152+M1161+M1176+M1181</f>
        <v>7590045</v>
      </c>
      <c r="N1059" s="2958">
        <f>N1060+N1074+N1095+N1112+N1131+N1152+N1161+N1176+N1181</f>
        <v>3899525</v>
      </c>
      <c r="O1059" s="2961">
        <f>N1059/M1059*100</f>
        <v>51.37683636921784</v>
      </c>
      <c r="P1059" s="2958"/>
      <c r="Q1059" s="2958"/>
      <c r="R1059" s="2962"/>
    </row>
    <row r="1060" spans="1:18" s="1435" customFormat="1" ht="15.75" customHeight="1" thickTop="1">
      <c r="A1060" s="1531">
        <v>85401</v>
      </c>
      <c r="B1060" s="1713" t="s">
        <v>42</v>
      </c>
      <c r="C1060" s="1533">
        <f>SUM(C1061:C1073)</f>
        <v>1221800</v>
      </c>
      <c r="D1060" s="821">
        <f t="shared" si="141"/>
        <v>1257190</v>
      </c>
      <c r="E1060" s="1536">
        <f>H1060+K1060+Q1060+N1060</f>
        <v>623407</v>
      </c>
      <c r="F1060" s="1691">
        <f t="shared" si="148"/>
        <v>49.58733365680605</v>
      </c>
      <c r="G1060" s="1533">
        <f>SUM(G1061:G1073)</f>
        <v>1112490</v>
      </c>
      <c r="H1060" s="1536">
        <f>SUM(H1061:H1073)</f>
        <v>549508</v>
      </c>
      <c r="I1060" s="1419">
        <f t="shared" si="152"/>
        <v>49.39442152289009</v>
      </c>
      <c r="J1060" s="1537"/>
      <c r="K1060" s="1536"/>
      <c r="L1060" s="1538"/>
      <c r="M1060" s="1536">
        <f>SUM(M1061:M1073)</f>
        <v>144700</v>
      </c>
      <c r="N1060" s="1536">
        <f>SUM(N1061:N1073)</f>
        <v>73899</v>
      </c>
      <c r="O1060" s="1420">
        <f aca="true" t="shared" si="153" ref="O1060:O1121">N1060/M1060*100</f>
        <v>51.070490670352456</v>
      </c>
      <c r="P1060" s="1536"/>
      <c r="Q1060" s="1536"/>
      <c r="R1060" s="1498"/>
    </row>
    <row r="1061" spans="1:18" s="1564" customFormat="1" ht="36">
      <c r="A1061" s="1422">
        <v>3020</v>
      </c>
      <c r="B1061" s="1669" t="s">
        <v>1266</v>
      </c>
      <c r="C1061" s="1393">
        <v>3300</v>
      </c>
      <c r="D1061" s="869">
        <f t="shared" si="141"/>
        <v>9600</v>
      </c>
      <c r="E1061" s="1407">
        <f aca="true" t="shared" si="154" ref="E1061:E1073">SUM(H1061+K1061+N1061+Q1061)</f>
        <v>625</v>
      </c>
      <c r="F1061" s="1686">
        <f t="shared" si="148"/>
        <v>6.510416666666667</v>
      </c>
      <c r="G1061" s="1393">
        <f>3100+6300</f>
        <v>9400</v>
      </c>
      <c r="H1061" s="1407">
        <v>625</v>
      </c>
      <c r="I1061" s="1391">
        <f t="shared" si="152"/>
        <v>6.648936170212766</v>
      </c>
      <c r="J1061" s="1548"/>
      <c r="K1061" s="1407"/>
      <c r="L1061" s="1543"/>
      <c r="M1061" s="1407">
        <v>200</v>
      </c>
      <c r="N1061" s="1407"/>
      <c r="O1061" s="1374">
        <f t="shared" si="153"/>
        <v>0</v>
      </c>
      <c r="P1061" s="1407"/>
      <c r="Q1061" s="1407"/>
      <c r="R1061" s="1550"/>
    </row>
    <row r="1062" spans="1:18" s="1564" customFormat="1" ht="27" customHeight="1">
      <c r="A1062" s="1443">
        <v>4010</v>
      </c>
      <c r="B1062" s="1697" t="s">
        <v>680</v>
      </c>
      <c r="C1062" s="1389">
        <v>887500</v>
      </c>
      <c r="D1062" s="830">
        <f t="shared" si="141"/>
        <v>910210</v>
      </c>
      <c r="E1062" s="1390">
        <f t="shared" si="154"/>
        <v>409073</v>
      </c>
      <c r="F1062" s="1366">
        <f t="shared" si="148"/>
        <v>44.942705529493196</v>
      </c>
      <c r="G1062" s="1445">
        <f>785900-6300+260+29200</f>
        <v>809060</v>
      </c>
      <c r="H1062" s="1445">
        <v>362676</v>
      </c>
      <c r="I1062" s="1369">
        <f t="shared" si="152"/>
        <v>44.82683608137839</v>
      </c>
      <c r="J1062" s="1445"/>
      <c r="K1062" s="1390"/>
      <c r="L1062" s="1446"/>
      <c r="M1062" s="1390">
        <f>101600-450</f>
        <v>101150</v>
      </c>
      <c r="N1062" s="1390">
        <f>46396+1</f>
        <v>46397</v>
      </c>
      <c r="O1062" s="1584">
        <f t="shared" si="153"/>
        <v>45.869500741473054</v>
      </c>
      <c r="P1062" s="1390"/>
      <c r="Q1062" s="1390"/>
      <c r="R1062" s="1454"/>
    </row>
    <row r="1063" spans="1:18" s="1564" customFormat="1" ht="24.75" customHeight="1">
      <c r="A1063" s="1443">
        <v>4040</v>
      </c>
      <c r="B1063" s="1669" t="s">
        <v>740</v>
      </c>
      <c r="C1063" s="1389">
        <v>68100</v>
      </c>
      <c r="D1063" s="830">
        <f t="shared" si="141"/>
        <v>66930</v>
      </c>
      <c r="E1063" s="1390">
        <f t="shared" si="154"/>
        <v>66866</v>
      </c>
      <c r="F1063" s="1366">
        <f t="shared" si="148"/>
        <v>99.90437770805319</v>
      </c>
      <c r="G1063" s="1390">
        <f>59700-950-360-310</f>
        <v>58080</v>
      </c>
      <c r="H1063" s="1445">
        <v>58016</v>
      </c>
      <c r="I1063" s="1369">
        <f t="shared" si="152"/>
        <v>99.88980716253444</v>
      </c>
      <c r="J1063" s="1445"/>
      <c r="K1063" s="1390"/>
      <c r="L1063" s="1446"/>
      <c r="M1063" s="1390">
        <f>8400+450</f>
        <v>8850</v>
      </c>
      <c r="N1063" s="1390">
        <v>8850</v>
      </c>
      <c r="O1063" s="1584">
        <f t="shared" si="153"/>
        <v>100</v>
      </c>
      <c r="P1063" s="1390"/>
      <c r="Q1063" s="1390"/>
      <c r="R1063" s="1454"/>
    </row>
    <row r="1064" spans="1:18" s="1564" customFormat="1" ht="24">
      <c r="A1064" s="1443">
        <v>4110</v>
      </c>
      <c r="B1064" s="1669" t="s">
        <v>686</v>
      </c>
      <c r="C1064" s="1389">
        <v>171200</v>
      </c>
      <c r="D1064" s="830">
        <f t="shared" si="141"/>
        <v>175700</v>
      </c>
      <c r="E1064" s="1390">
        <f t="shared" si="154"/>
        <v>83212</v>
      </c>
      <c r="F1064" s="1366">
        <f t="shared" si="148"/>
        <v>47.360273192942515</v>
      </c>
      <c r="G1064" s="1390">
        <f>151600+4500</f>
        <v>156100</v>
      </c>
      <c r="H1064" s="1445">
        <v>73364</v>
      </c>
      <c r="I1064" s="1369">
        <f t="shared" si="152"/>
        <v>46.99807815502883</v>
      </c>
      <c r="J1064" s="1445"/>
      <c r="K1064" s="1390"/>
      <c r="L1064" s="1446"/>
      <c r="M1064" s="1390">
        <v>19600</v>
      </c>
      <c r="N1064" s="1390">
        <v>9848</v>
      </c>
      <c r="O1064" s="1584">
        <f t="shared" si="153"/>
        <v>50.244897959183675</v>
      </c>
      <c r="P1064" s="1390"/>
      <c r="Q1064" s="1390"/>
      <c r="R1064" s="1454"/>
    </row>
    <row r="1065" spans="1:18" s="1564" customFormat="1" ht="12.75">
      <c r="A1065" s="1443">
        <v>4120</v>
      </c>
      <c r="B1065" s="1669" t="s">
        <v>781</v>
      </c>
      <c r="C1065" s="1389">
        <v>23400</v>
      </c>
      <c r="D1065" s="830">
        <f t="shared" si="141"/>
        <v>23800</v>
      </c>
      <c r="E1065" s="1390">
        <f t="shared" si="154"/>
        <v>10440</v>
      </c>
      <c r="F1065" s="1366">
        <f t="shared" si="148"/>
        <v>43.865546218487395</v>
      </c>
      <c r="G1065" s="1390">
        <f>20900+400</f>
        <v>21300</v>
      </c>
      <c r="H1065" s="1445">
        <v>9234</v>
      </c>
      <c r="I1065" s="1369">
        <f t="shared" si="152"/>
        <v>43.352112676056336</v>
      </c>
      <c r="J1065" s="1445"/>
      <c r="K1065" s="1390"/>
      <c r="L1065" s="1446"/>
      <c r="M1065" s="1390">
        <v>2500</v>
      </c>
      <c r="N1065" s="1390">
        <v>1206</v>
      </c>
      <c r="O1065" s="1395">
        <f t="shared" si="153"/>
        <v>48.24</v>
      </c>
      <c r="P1065" s="1390"/>
      <c r="Q1065" s="1390"/>
      <c r="R1065" s="1454"/>
    </row>
    <row r="1066" spans="1:18" s="1564" customFormat="1" ht="12.75">
      <c r="A1066" s="1443">
        <v>4140</v>
      </c>
      <c r="B1066" s="1669" t="s">
        <v>743</v>
      </c>
      <c r="C1066" s="1389">
        <v>2600</v>
      </c>
      <c r="D1066" s="830">
        <f t="shared" si="141"/>
        <v>2600</v>
      </c>
      <c r="E1066" s="1390">
        <f t="shared" si="154"/>
        <v>1125</v>
      </c>
      <c r="F1066" s="1366">
        <f t="shared" si="148"/>
        <v>43.269230769230774</v>
      </c>
      <c r="G1066" s="1390">
        <v>2600</v>
      </c>
      <c r="H1066" s="1445">
        <v>1125</v>
      </c>
      <c r="I1066" s="1369">
        <f t="shared" si="152"/>
        <v>43.269230769230774</v>
      </c>
      <c r="J1066" s="1445"/>
      <c r="K1066" s="1390"/>
      <c r="L1066" s="1446"/>
      <c r="M1066" s="1390"/>
      <c r="N1066" s="1390"/>
      <c r="O1066" s="1395"/>
      <c r="P1066" s="1390"/>
      <c r="Q1066" s="1390"/>
      <c r="R1066" s="1454"/>
    </row>
    <row r="1067" spans="1:18" s="1564" customFormat="1" ht="24">
      <c r="A1067" s="1443">
        <v>4210</v>
      </c>
      <c r="B1067" s="1669" t="s">
        <v>690</v>
      </c>
      <c r="C1067" s="1389">
        <v>1900</v>
      </c>
      <c r="D1067" s="830">
        <f t="shared" si="141"/>
        <v>1900</v>
      </c>
      <c r="E1067" s="1390">
        <f t="shared" si="154"/>
        <v>73</v>
      </c>
      <c r="F1067" s="1366">
        <f t="shared" si="148"/>
        <v>3.8421052631578947</v>
      </c>
      <c r="G1067" s="1390"/>
      <c r="H1067" s="1445"/>
      <c r="I1067" s="1369"/>
      <c r="J1067" s="1445"/>
      <c r="K1067" s="1390"/>
      <c r="L1067" s="1446"/>
      <c r="M1067" s="1390">
        <v>1900</v>
      </c>
      <c r="N1067" s="1390">
        <v>73</v>
      </c>
      <c r="O1067" s="1395">
        <f t="shared" si="153"/>
        <v>3.8421052631578947</v>
      </c>
      <c r="P1067" s="1390"/>
      <c r="Q1067" s="1390"/>
      <c r="R1067" s="1454"/>
    </row>
    <row r="1068" spans="1:18" s="1564" customFormat="1" ht="36">
      <c r="A1068" s="1443">
        <v>4240</v>
      </c>
      <c r="B1068" s="1669" t="s">
        <v>868</v>
      </c>
      <c r="C1068" s="1389">
        <v>800</v>
      </c>
      <c r="D1068" s="830">
        <f t="shared" si="141"/>
        <v>800</v>
      </c>
      <c r="E1068" s="1390">
        <f t="shared" si="154"/>
        <v>0</v>
      </c>
      <c r="F1068" s="1366">
        <f t="shared" si="148"/>
        <v>0</v>
      </c>
      <c r="G1068" s="1390"/>
      <c r="H1068" s="1445"/>
      <c r="I1068" s="1369"/>
      <c r="J1068" s="1445"/>
      <c r="K1068" s="1390"/>
      <c r="L1068" s="1446"/>
      <c r="M1068" s="1390">
        <v>800</v>
      </c>
      <c r="N1068" s="1390"/>
      <c r="O1068" s="1369">
        <f t="shared" si="153"/>
        <v>0</v>
      </c>
      <c r="P1068" s="1390"/>
      <c r="Q1068" s="1390"/>
      <c r="R1068" s="1454"/>
    </row>
    <row r="1069" spans="1:18" s="1564" customFormat="1" ht="15" customHeight="1">
      <c r="A1069" s="1443">
        <v>4260</v>
      </c>
      <c r="B1069" s="1669" t="s">
        <v>694</v>
      </c>
      <c r="C1069" s="1389">
        <v>3000</v>
      </c>
      <c r="D1069" s="830">
        <f t="shared" si="141"/>
        <v>3000</v>
      </c>
      <c r="E1069" s="1390">
        <f t="shared" si="154"/>
        <v>2900</v>
      </c>
      <c r="F1069" s="1366">
        <f t="shared" si="148"/>
        <v>96.66666666666667</v>
      </c>
      <c r="G1069" s="1390"/>
      <c r="H1069" s="1445"/>
      <c r="I1069" s="1369"/>
      <c r="J1069" s="1445"/>
      <c r="K1069" s="1390"/>
      <c r="L1069" s="1446"/>
      <c r="M1069" s="1390">
        <v>3000</v>
      </c>
      <c r="N1069" s="1390">
        <v>2900</v>
      </c>
      <c r="O1069" s="1369">
        <f t="shared" si="153"/>
        <v>96.66666666666667</v>
      </c>
      <c r="P1069" s="1390"/>
      <c r="Q1069" s="1390"/>
      <c r="R1069" s="1454"/>
    </row>
    <row r="1070" spans="1:18" s="1564" customFormat="1" ht="12.75">
      <c r="A1070" s="1443">
        <v>4270</v>
      </c>
      <c r="B1070" s="1669" t="s">
        <v>696</v>
      </c>
      <c r="C1070" s="1389">
        <v>300</v>
      </c>
      <c r="D1070" s="830">
        <f t="shared" si="141"/>
        <v>300</v>
      </c>
      <c r="E1070" s="1390">
        <f t="shared" si="154"/>
        <v>0</v>
      </c>
      <c r="F1070" s="1366">
        <f t="shared" si="148"/>
        <v>0</v>
      </c>
      <c r="G1070" s="1390"/>
      <c r="H1070" s="1445"/>
      <c r="I1070" s="1369"/>
      <c r="J1070" s="1445"/>
      <c r="K1070" s="1390"/>
      <c r="L1070" s="1446"/>
      <c r="M1070" s="1390">
        <v>300</v>
      </c>
      <c r="N1070" s="1390"/>
      <c r="O1070" s="1395">
        <f t="shared" si="153"/>
        <v>0</v>
      </c>
      <c r="P1070" s="1389"/>
      <c r="Q1070" s="1390"/>
      <c r="R1070" s="1454"/>
    </row>
    <row r="1071" spans="1:18" s="1564" customFormat="1" ht="15.75" customHeight="1">
      <c r="A1071" s="1443">
        <v>4280</v>
      </c>
      <c r="B1071" s="1669" t="s">
        <v>745</v>
      </c>
      <c r="C1071" s="1389">
        <v>100</v>
      </c>
      <c r="D1071" s="830">
        <f t="shared" si="141"/>
        <v>100</v>
      </c>
      <c r="E1071" s="1390">
        <f t="shared" si="154"/>
        <v>0</v>
      </c>
      <c r="F1071" s="1366">
        <f t="shared" si="148"/>
        <v>0</v>
      </c>
      <c r="G1071" s="1390"/>
      <c r="H1071" s="1445"/>
      <c r="I1071" s="1369"/>
      <c r="J1071" s="1445"/>
      <c r="K1071" s="1390"/>
      <c r="L1071" s="1446"/>
      <c r="M1071" s="1390">
        <v>100</v>
      </c>
      <c r="N1071" s="1390"/>
      <c r="O1071" s="1395">
        <f t="shared" si="153"/>
        <v>0</v>
      </c>
      <c r="P1071" s="1390"/>
      <c r="Q1071" s="1390"/>
      <c r="R1071" s="1454"/>
    </row>
    <row r="1072" spans="1:18" s="1564" customFormat="1" ht="15.75" customHeight="1">
      <c r="A1072" s="1443">
        <v>4300</v>
      </c>
      <c r="B1072" s="1669" t="s">
        <v>698</v>
      </c>
      <c r="C1072" s="1389">
        <v>500</v>
      </c>
      <c r="D1072" s="830">
        <f t="shared" si="141"/>
        <v>500</v>
      </c>
      <c r="E1072" s="830">
        <f>H1072+K1072+Q1072+N1072</f>
        <v>200</v>
      </c>
      <c r="F1072" s="1366">
        <f t="shared" si="148"/>
        <v>40</v>
      </c>
      <c r="G1072" s="1390"/>
      <c r="H1072" s="1445"/>
      <c r="I1072" s="1369"/>
      <c r="J1072" s="1445"/>
      <c r="K1072" s="1390"/>
      <c r="L1072" s="1446"/>
      <c r="M1072" s="1390">
        <v>500</v>
      </c>
      <c r="N1072" s="1390">
        <v>200</v>
      </c>
      <c r="O1072" s="1395">
        <f t="shared" si="153"/>
        <v>40</v>
      </c>
      <c r="P1072" s="1390"/>
      <c r="Q1072" s="1390"/>
      <c r="R1072" s="1454"/>
    </row>
    <row r="1073" spans="1:18" s="1564" customFormat="1" ht="15.75" customHeight="1">
      <c r="A1073" s="1492">
        <v>4440</v>
      </c>
      <c r="B1073" s="1670" t="s">
        <v>702</v>
      </c>
      <c r="C1073" s="1494">
        <v>59100</v>
      </c>
      <c r="D1073" s="862">
        <f t="shared" si="141"/>
        <v>61750</v>
      </c>
      <c r="E1073" s="1487">
        <f t="shared" si="154"/>
        <v>48893</v>
      </c>
      <c r="F1073" s="1419">
        <f t="shared" si="148"/>
        <v>79.17894736842105</v>
      </c>
      <c r="G1073" s="1487">
        <f>53300+50+2600</f>
        <v>55950</v>
      </c>
      <c r="H1073" s="1495">
        <v>44468</v>
      </c>
      <c r="I1073" s="1439">
        <f>H1073/G1073*100</f>
        <v>79.4781054512958</v>
      </c>
      <c r="J1073" s="1495"/>
      <c r="K1073" s="1487"/>
      <c r="L1073" s="1551"/>
      <c r="M1073" s="1487">
        <v>5800</v>
      </c>
      <c r="N1073" s="1487">
        <v>4425</v>
      </c>
      <c r="O1073" s="1666">
        <f t="shared" si="153"/>
        <v>76.29310344827587</v>
      </c>
      <c r="P1073" s="1487"/>
      <c r="Q1073" s="1487"/>
      <c r="R1073" s="1539"/>
    </row>
    <row r="1074" spans="1:18" s="1564" customFormat="1" ht="22.5" customHeight="1">
      <c r="A1074" s="1436">
        <v>85403</v>
      </c>
      <c r="B1074" s="1668" t="s">
        <v>43</v>
      </c>
      <c r="C1074" s="1438">
        <f>SUM(C1075:C1094)</f>
        <v>1262400</v>
      </c>
      <c r="D1074" s="845">
        <f t="shared" si="141"/>
        <v>1463929</v>
      </c>
      <c r="E1074" s="1380">
        <f>H1074+K1074+Q1074+N1074</f>
        <v>798212</v>
      </c>
      <c r="F1074" s="1381">
        <f t="shared" si="148"/>
        <v>54.52532192476548</v>
      </c>
      <c r="G1074" s="1380"/>
      <c r="H1074" s="1440"/>
      <c r="I1074" s="1575"/>
      <c r="J1074" s="1440"/>
      <c r="K1074" s="1380"/>
      <c r="L1074" s="1441"/>
      <c r="M1074" s="1380">
        <f>SUM(M1075:M1094)</f>
        <v>1463929</v>
      </c>
      <c r="N1074" s="1380">
        <f>SUM(N1075:N1094)</f>
        <v>798212</v>
      </c>
      <c r="O1074" s="1388">
        <f t="shared" si="153"/>
        <v>54.52532192476548</v>
      </c>
      <c r="P1074" s="1380"/>
      <c r="Q1074" s="1380"/>
      <c r="R1074" s="1478"/>
    </row>
    <row r="1075" spans="1:18" s="1564" customFormat="1" ht="36">
      <c r="A1075" s="1422">
        <v>3020</v>
      </c>
      <c r="B1075" s="1669" t="s">
        <v>1266</v>
      </c>
      <c r="C1075" s="1393">
        <v>4400</v>
      </c>
      <c r="D1075" s="869">
        <f t="shared" si="141"/>
        <v>4400</v>
      </c>
      <c r="E1075" s="1407">
        <f aca="true" t="shared" si="155" ref="E1075:E1094">SUM(H1075+K1075+N1075+Q1075)</f>
        <v>1123</v>
      </c>
      <c r="F1075" s="1391">
        <f t="shared" si="148"/>
        <v>25.522727272727273</v>
      </c>
      <c r="G1075" s="1407"/>
      <c r="H1075" s="1548"/>
      <c r="I1075" s="1543"/>
      <c r="J1075" s="1548"/>
      <c r="K1075" s="1407"/>
      <c r="L1075" s="1543"/>
      <c r="M1075" s="1393">
        <v>4400</v>
      </c>
      <c r="N1075" s="1407">
        <f>1122+1</f>
        <v>1123</v>
      </c>
      <c r="O1075" s="1374">
        <f t="shared" si="153"/>
        <v>25.522727272727273</v>
      </c>
      <c r="P1075" s="1407"/>
      <c r="Q1075" s="1407"/>
      <c r="R1075" s="1550"/>
    </row>
    <row r="1076" spans="1:18" s="1564" customFormat="1" ht="12.75" hidden="1">
      <c r="A1076" s="1443">
        <v>3110</v>
      </c>
      <c r="B1076" s="1669" t="s">
        <v>15</v>
      </c>
      <c r="C1076" s="1389"/>
      <c r="D1076" s="830">
        <f t="shared" si="141"/>
        <v>0</v>
      </c>
      <c r="E1076" s="1390">
        <f t="shared" si="155"/>
        <v>0</v>
      </c>
      <c r="F1076" s="1366" t="e">
        <f t="shared" si="148"/>
        <v>#DIV/0!</v>
      </c>
      <c r="G1076" s="1390"/>
      <c r="H1076" s="1445"/>
      <c r="I1076" s="1446"/>
      <c r="J1076" s="1445"/>
      <c r="K1076" s="1390"/>
      <c r="L1076" s="1446"/>
      <c r="M1076" s="1389"/>
      <c r="N1076" s="1390"/>
      <c r="O1076" s="1395" t="e">
        <f t="shared" si="153"/>
        <v>#DIV/0!</v>
      </c>
      <c r="P1076" s="1390"/>
      <c r="Q1076" s="1390"/>
      <c r="R1076" s="1454"/>
    </row>
    <row r="1077" spans="1:18" s="1564" customFormat="1" ht="24">
      <c r="A1077" s="1443">
        <v>4010</v>
      </c>
      <c r="B1077" s="1669" t="s">
        <v>680</v>
      </c>
      <c r="C1077" s="1389">
        <v>750000</v>
      </c>
      <c r="D1077" s="830">
        <f t="shared" si="141"/>
        <v>750000</v>
      </c>
      <c r="E1077" s="1390">
        <f t="shared" si="155"/>
        <v>348263</v>
      </c>
      <c r="F1077" s="1366">
        <f t="shared" si="148"/>
        <v>46.43506666666667</v>
      </c>
      <c r="G1077" s="1390"/>
      <c r="H1077" s="1445"/>
      <c r="I1077" s="1446"/>
      <c r="J1077" s="1445"/>
      <c r="K1077" s="1390"/>
      <c r="L1077" s="1446"/>
      <c r="M1077" s="1389">
        <v>750000</v>
      </c>
      <c r="N1077" s="1390">
        <v>348263</v>
      </c>
      <c r="O1077" s="1395">
        <f t="shared" si="153"/>
        <v>46.43506666666667</v>
      </c>
      <c r="P1077" s="1390"/>
      <c r="Q1077" s="1390"/>
      <c r="R1077" s="1454"/>
    </row>
    <row r="1078" spans="1:18" s="1564" customFormat="1" ht="24">
      <c r="A1078" s="1443">
        <v>4040</v>
      </c>
      <c r="B1078" s="1669" t="s">
        <v>684</v>
      </c>
      <c r="C1078" s="1389">
        <v>60000</v>
      </c>
      <c r="D1078" s="830">
        <f t="shared" si="141"/>
        <v>60000</v>
      </c>
      <c r="E1078" s="1390">
        <f t="shared" si="155"/>
        <v>60000</v>
      </c>
      <c r="F1078" s="1366">
        <f t="shared" si="148"/>
        <v>100</v>
      </c>
      <c r="G1078" s="1390"/>
      <c r="H1078" s="1445"/>
      <c r="I1078" s="1446"/>
      <c r="J1078" s="1445"/>
      <c r="K1078" s="1390"/>
      <c r="L1078" s="1446"/>
      <c r="M1078" s="1389">
        <v>60000</v>
      </c>
      <c r="N1078" s="1390">
        <v>60000</v>
      </c>
      <c r="O1078" s="1584">
        <f t="shared" si="153"/>
        <v>100</v>
      </c>
      <c r="P1078" s="1390"/>
      <c r="Q1078" s="1390"/>
      <c r="R1078" s="1454"/>
    </row>
    <row r="1079" spans="1:18" s="1564" customFormat="1" ht="24">
      <c r="A1079" s="1443">
        <v>4110</v>
      </c>
      <c r="B1079" s="1669" t="s">
        <v>686</v>
      </c>
      <c r="C1079" s="1389">
        <v>145000</v>
      </c>
      <c r="D1079" s="830">
        <f t="shared" si="141"/>
        <v>145000</v>
      </c>
      <c r="E1079" s="1390">
        <f t="shared" si="155"/>
        <v>69902</v>
      </c>
      <c r="F1079" s="1366">
        <f t="shared" si="148"/>
        <v>48.208275862068966</v>
      </c>
      <c r="G1079" s="1390"/>
      <c r="H1079" s="1445"/>
      <c r="I1079" s="1446"/>
      <c r="J1079" s="1445"/>
      <c r="K1079" s="1390"/>
      <c r="L1079" s="1446"/>
      <c r="M1079" s="1389">
        <v>145000</v>
      </c>
      <c r="N1079" s="1390">
        <v>69902</v>
      </c>
      <c r="O1079" s="1395">
        <f t="shared" si="153"/>
        <v>48.208275862068966</v>
      </c>
      <c r="P1079" s="1390"/>
      <c r="Q1079" s="1390"/>
      <c r="R1079" s="1454"/>
    </row>
    <row r="1080" spans="1:18" s="1564" customFormat="1" ht="12.75">
      <c r="A1080" s="1443">
        <v>4120</v>
      </c>
      <c r="B1080" s="1669" t="s">
        <v>781</v>
      </c>
      <c r="C1080" s="1389">
        <v>19800</v>
      </c>
      <c r="D1080" s="830">
        <f t="shared" si="141"/>
        <v>19800</v>
      </c>
      <c r="E1080" s="1390">
        <f t="shared" si="155"/>
        <v>9396</v>
      </c>
      <c r="F1080" s="1366">
        <f t="shared" si="148"/>
        <v>47.45454545454545</v>
      </c>
      <c r="G1080" s="1390"/>
      <c r="H1080" s="1445"/>
      <c r="I1080" s="1446"/>
      <c r="J1080" s="1445"/>
      <c r="K1080" s="1390"/>
      <c r="L1080" s="1446"/>
      <c r="M1080" s="1389">
        <v>19800</v>
      </c>
      <c r="N1080" s="1390">
        <v>9396</v>
      </c>
      <c r="O1080" s="1395">
        <f t="shared" si="153"/>
        <v>47.45454545454545</v>
      </c>
      <c r="P1080" s="1390"/>
      <c r="Q1080" s="1390"/>
      <c r="R1080" s="1454"/>
    </row>
    <row r="1081" spans="1:18" s="1564" customFormat="1" ht="24" hidden="1">
      <c r="A1081" s="1443">
        <v>4130</v>
      </c>
      <c r="B1081" s="1669" t="s">
        <v>873</v>
      </c>
      <c r="C1081" s="1389"/>
      <c r="D1081" s="830">
        <f t="shared" si="141"/>
        <v>0</v>
      </c>
      <c r="E1081" s="1390">
        <f>H1081+K1081+Q1081+N1081</f>
        <v>0</v>
      </c>
      <c r="F1081" s="1366" t="e">
        <f t="shared" si="148"/>
        <v>#DIV/0!</v>
      </c>
      <c r="G1081" s="1390"/>
      <c r="H1081" s="1445"/>
      <c r="I1081" s="1446"/>
      <c r="J1081" s="1445"/>
      <c r="K1081" s="1390"/>
      <c r="L1081" s="1446"/>
      <c r="M1081" s="1389"/>
      <c r="N1081" s="1390"/>
      <c r="O1081" s="1395" t="e">
        <f t="shared" si="153"/>
        <v>#DIV/0!</v>
      </c>
      <c r="P1081" s="1390"/>
      <c r="Q1081" s="1390"/>
      <c r="R1081" s="1454"/>
    </row>
    <row r="1082" spans="1:18" s="1564" customFormat="1" ht="24">
      <c r="A1082" s="1443">
        <v>4170</v>
      </c>
      <c r="B1082" s="1669" t="s">
        <v>744</v>
      </c>
      <c r="C1082" s="1389">
        <v>1000</v>
      </c>
      <c r="D1082" s="830">
        <f t="shared" si="141"/>
        <v>1000</v>
      </c>
      <c r="E1082" s="1390">
        <f>H1082+K1082+Q1082+N1082</f>
        <v>0</v>
      </c>
      <c r="F1082" s="1366">
        <f t="shared" si="148"/>
        <v>0</v>
      </c>
      <c r="G1082" s="1390"/>
      <c r="H1082" s="1445"/>
      <c r="I1082" s="1446"/>
      <c r="J1082" s="1445"/>
      <c r="K1082" s="1390"/>
      <c r="L1082" s="1446"/>
      <c r="M1082" s="1389">
        <v>1000</v>
      </c>
      <c r="N1082" s="1390"/>
      <c r="O1082" s="1395">
        <f t="shared" si="153"/>
        <v>0</v>
      </c>
      <c r="P1082" s="1390"/>
      <c r="Q1082" s="1390"/>
      <c r="R1082" s="1454"/>
    </row>
    <row r="1083" spans="1:18" s="1564" customFormat="1" ht="24">
      <c r="A1083" s="1443">
        <v>4210</v>
      </c>
      <c r="B1083" s="1669" t="s">
        <v>690</v>
      </c>
      <c r="C1083" s="1389">
        <v>60000</v>
      </c>
      <c r="D1083" s="830">
        <f t="shared" si="141"/>
        <v>138795</v>
      </c>
      <c r="E1083" s="1390">
        <f t="shared" si="155"/>
        <v>101955</v>
      </c>
      <c r="F1083" s="1366">
        <f t="shared" si="148"/>
        <v>73.45725710580352</v>
      </c>
      <c r="G1083" s="1390"/>
      <c r="H1083" s="1445"/>
      <c r="I1083" s="1446"/>
      <c r="J1083" s="1445"/>
      <c r="K1083" s="1390"/>
      <c r="L1083" s="1446"/>
      <c r="M1083" s="1389">
        <f>60000+66195+600+12000</f>
        <v>138795</v>
      </c>
      <c r="N1083" s="1390">
        <v>101955</v>
      </c>
      <c r="O1083" s="1395">
        <f t="shared" si="153"/>
        <v>73.45725710580352</v>
      </c>
      <c r="P1083" s="1390"/>
      <c r="Q1083" s="1390"/>
      <c r="R1083" s="1454"/>
    </row>
    <row r="1084" spans="1:18" s="1564" customFormat="1" ht="12.75">
      <c r="A1084" s="1443">
        <v>4220</v>
      </c>
      <c r="B1084" s="1669" t="s">
        <v>838</v>
      </c>
      <c r="C1084" s="1389">
        <v>80000</v>
      </c>
      <c r="D1084" s="830">
        <f t="shared" si="141"/>
        <v>67100</v>
      </c>
      <c r="E1084" s="1390">
        <f t="shared" si="155"/>
        <v>21619</v>
      </c>
      <c r="F1084" s="1366">
        <f t="shared" si="148"/>
        <v>32.21907600596125</v>
      </c>
      <c r="G1084" s="1390"/>
      <c r="H1084" s="1445"/>
      <c r="I1084" s="1446"/>
      <c r="J1084" s="1445"/>
      <c r="K1084" s="1390"/>
      <c r="L1084" s="1446"/>
      <c r="M1084" s="1389">
        <f>80000-12900</f>
        <v>67100</v>
      </c>
      <c r="N1084" s="1390">
        <v>21619</v>
      </c>
      <c r="O1084" s="1395">
        <f t="shared" si="153"/>
        <v>32.21907600596125</v>
      </c>
      <c r="P1084" s="1390"/>
      <c r="Q1084" s="1390"/>
      <c r="R1084" s="1454"/>
    </row>
    <row r="1085" spans="1:18" s="1564" customFormat="1" ht="36">
      <c r="A1085" s="1443">
        <v>4240</v>
      </c>
      <c r="B1085" s="1669" t="s">
        <v>44</v>
      </c>
      <c r="C1085" s="1389">
        <v>5000</v>
      </c>
      <c r="D1085" s="830">
        <f t="shared" si="141"/>
        <v>124734</v>
      </c>
      <c r="E1085" s="1390">
        <f t="shared" si="155"/>
        <v>114704</v>
      </c>
      <c r="F1085" s="1366">
        <f t="shared" si="148"/>
        <v>91.95888851475941</v>
      </c>
      <c r="G1085" s="1390"/>
      <c r="H1085" s="1445"/>
      <c r="I1085" s="1446"/>
      <c r="J1085" s="1445"/>
      <c r="K1085" s="1390"/>
      <c r="L1085" s="1446"/>
      <c r="M1085" s="1389">
        <f>5000+119734</f>
        <v>124734</v>
      </c>
      <c r="N1085" s="1390">
        <v>114704</v>
      </c>
      <c r="O1085" s="1395">
        <f t="shared" si="153"/>
        <v>91.95888851475941</v>
      </c>
      <c r="P1085" s="1390"/>
      <c r="Q1085" s="1390"/>
      <c r="R1085" s="1454"/>
    </row>
    <row r="1086" spans="1:18" s="1564" customFormat="1" ht="12.75">
      <c r="A1086" s="1443">
        <v>4260</v>
      </c>
      <c r="B1086" s="1669" t="s">
        <v>694</v>
      </c>
      <c r="C1086" s="1389">
        <v>53400</v>
      </c>
      <c r="D1086" s="830">
        <f t="shared" si="141"/>
        <v>53400</v>
      </c>
      <c r="E1086" s="1390">
        <f t="shared" si="155"/>
        <v>25595</v>
      </c>
      <c r="F1086" s="1366">
        <f t="shared" si="148"/>
        <v>47.930711610486895</v>
      </c>
      <c r="G1086" s="1390"/>
      <c r="H1086" s="1445"/>
      <c r="I1086" s="1446"/>
      <c r="J1086" s="1445"/>
      <c r="K1086" s="1390"/>
      <c r="L1086" s="1446"/>
      <c r="M1086" s="1389">
        <v>53400</v>
      </c>
      <c r="N1086" s="1390">
        <v>25595</v>
      </c>
      <c r="O1086" s="1395">
        <f t="shared" si="153"/>
        <v>47.930711610486895</v>
      </c>
      <c r="P1086" s="1390"/>
      <c r="Q1086" s="1390"/>
      <c r="R1086" s="1454"/>
    </row>
    <row r="1087" spans="1:18" s="1564" customFormat="1" ht="12.75">
      <c r="A1087" s="1443">
        <v>4270</v>
      </c>
      <c r="B1087" s="1669" t="s">
        <v>696</v>
      </c>
      <c r="C1087" s="1389">
        <v>8000</v>
      </c>
      <c r="D1087" s="830">
        <f t="shared" si="141"/>
        <v>8000</v>
      </c>
      <c r="E1087" s="1390">
        <f t="shared" si="155"/>
        <v>2795</v>
      </c>
      <c r="F1087" s="1366">
        <f t="shared" si="148"/>
        <v>34.9375</v>
      </c>
      <c r="G1087" s="1390"/>
      <c r="H1087" s="1445"/>
      <c r="I1087" s="1446"/>
      <c r="J1087" s="1445"/>
      <c r="K1087" s="1390"/>
      <c r="L1087" s="1446"/>
      <c r="M1087" s="1389">
        <v>8000</v>
      </c>
      <c r="N1087" s="1390">
        <v>2795</v>
      </c>
      <c r="O1087" s="1395">
        <f t="shared" si="153"/>
        <v>34.9375</v>
      </c>
      <c r="P1087" s="1390"/>
      <c r="Q1087" s="1390"/>
      <c r="R1087" s="1454"/>
    </row>
    <row r="1088" spans="1:18" s="1564" customFormat="1" ht="12.75">
      <c r="A1088" s="1443">
        <v>4280</v>
      </c>
      <c r="B1088" s="1669" t="s">
        <v>745</v>
      </c>
      <c r="C1088" s="1389">
        <v>2900</v>
      </c>
      <c r="D1088" s="830">
        <f t="shared" si="141"/>
        <v>2900</v>
      </c>
      <c r="E1088" s="1390">
        <f t="shared" si="155"/>
        <v>335</v>
      </c>
      <c r="F1088" s="1366">
        <f t="shared" si="148"/>
        <v>11.551724137931034</v>
      </c>
      <c r="G1088" s="1390"/>
      <c r="H1088" s="1445"/>
      <c r="I1088" s="1446"/>
      <c r="J1088" s="1445"/>
      <c r="K1088" s="1390"/>
      <c r="L1088" s="1446"/>
      <c r="M1088" s="1389">
        <v>2900</v>
      </c>
      <c r="N1088" s="1390">
        <v>335</v>
      </c>
      <c r="O1088" s="1395">
        <f t="shared" si="153"/>
        <v>11.551724137931034</v>
      </c>
      <c r="P1088" s="1390"/>
      <c r="Q1088" s="1390"/>
      <c r="R1088" s="1454"/>
    </row>
    <row r="1089" spans="1:18" s="1564" customFormat="1" ht="12.75">
      <c r="A1089" s="1443">
        <v>4300</v>
      </c>
      <c r="B1089" s="1669" t="s">
        <v>698</v>
      </c>
      <c r="C1089" s="1389">
        <v>28000</v>
      </c>
      <c r="D1089" s="830">
        <f t="shared" si="141"/>
        <v>28000</v>
      </c>
      <c r="E1089" s="1390">
        <f t="shared" si="155"/>
        <v>9323</v>
      </c>
      <c r="F1089" s="1366">
        <f t="shared" si="148"/>
        <v>33.29642857142857</v>
      </c>
      <c r="G1089" s="1390"/>
      <c r="H1089" s="1445"/>
      <c r="I1089" s="1446"/>
      <c r="J1089" s="1445"/>
      <c r="K1089" s="1390"/>
      <c r="L1089" s="1446"/>
      <c r="M1089" s="1389">
        <v>28000</v>
      </c>
      <c r="N1089" s="1390">
        <v>9323</v>
      </c>
      <c r="O1089" s="1395">
        <f t="shared" si="153"/>
        <v>33.29642857142857</v>
      </c>
      <c r="P1089" s="1390"/>
      <c r="Q1089" s="1390"/>
      <c r="R1089" s="1454"/>
    </row>
    <row r="1090" spans="1:18" s="1564" customFormat="1" ht="24">
      <c r="A1090" s="1443">
        <v>4350</v>
      </c>
      <c r="B1090" s="1669" t="s">
        <v>869</v>
      </c>
      <c r="C1090" s="1389">
        <v>3600</v>
      </c>
      <c r="D1090" s="830">
        <f t="shared" si="141"/>
        <v>3600</v>
      </c>
      <c r="E1090" s="1390">
        <f t="shared" si="155"/>
        <v>1402</v>
      </c>
      <c r="F1090" s="1366">
        <f t="shared" si="148"/>
        <v>38.94444444444444</v>
      </c>
      <c r="G1090" s="1390"/>
      <c r="H1090" s="1445"/>
      <c r="I1090" s="1446"/>
      <c r="J1090" s="1445"/>
      <c r="K1090" s="1390"/>
      <c r="L1090" s="1446"/>
      <c r="M1090" s="1389">
        <v>3600</v>
      </c>
      <c r="N1090" s="1390">
        <v>1402</v>
      </c>
      <c r="O1090" s="1369">
        <f t="shared" si="153"/>
        <v>38.94444444444444</v>
      </c>
      <c r="P1090" s="1390"/>
      <c r="Q1090" s="1390"/>
      <c r="R1090" s="1454"/>
    </row>
    <row r="1091" spans="1:18" s="1564" customFormat="1" ht="12.75">
      <c r="A1091" s="1443">
        <v>4410</v>
      </c>
      <c r="B1091" s="1669" t="s">
        <v>672</v>
      </c>
      <c r="C1091" s="1389">
        <v>300</v>
      </c>
      <c r="D1091" s="830">
        <f t="shared" si="141"/>
        <v>300</v>
      </c>
      <c r="E1091" s="1390">
        <f t="shared" si="155"/>
        <v>0</v>
      </c>
      <c r="F1091" s="1366">
        <f t="shared" si="148"/>
        <v>0</v>
      </c>
      <c r="G1091" s="1390"/>
      <c r="H1091" s="1445"/>
      <c r="I1091" s="1446"/>
      <c r="J1091" s="1445"/>
      <c r="K1091" s="1390"/>
      <c r="L1091" s="1446"/>
      <c r="M1091" s="1389">
        <v>300</v>
      </c>
      <c r="N1091" s="1390"/>
      <c r="O1091" s="1584">
        <f t="shared" si="153"/>
        <v>0</v>
      </c>
      <c r="P1091" s="1390"/>
      <c r="Q1091" s="1390"/>
      <c r="R1091" s="1454"/>
    </row>
    <row r="1092" spans="1:18" s="1564" customFormat="1" ht="12.75">
      <c r="A1092" s="1443">
        <v>4440</v>
      </c>
      <c r="B1092" s="1697" t="s">
        <v>702</v>
      </c>
      <c r="C1092" s="1389">
        <v>41000</v>
      </c>
      <c r="D1092" s="830">
        <f>G1092+J1092+P1092+M1092</f>
        <v>41900</v>
      </c>
      <c r="E1092" s="1390">
        <f t="shared" si="155"/>
        <v>31800</v>
      </c>
      <c r="F1092" s="1366">
        <f t="shared" si="148"/>
        <v>75.89498806682577</v>
      </c>
      <c r="G1092" s="1390"/>
      <c r="H1092" s="1445"/>
      <c r="I1092" s="1446"/>
      <c r="J1092" s="1445"/>
      <c r="K1092" s="1390"/>
      <c r="L1092" s="1446"/>
      <c r="M1092" s="1389">
        <f>41000+900</f>
        <v>41900</v>
      </c>
      <c r="N1092" s="1390">
        <v>31800</v>
      </c>
      <c r="O1092" s="1584">
        <f t="shared" si="153"/>
        <v>75.89498806682577</v>
      </c>
      <c r="P1092" s="1390"/>
      <c r="Q1092" s="1390"/>
      <c r="R1092" s="1454"/>
    </row>
    <row r="1093" spans="1:18" s="1564" customFormat="1" ht="24">
      <c r="A1093" s="1443">
        <v>6050</v>
      </c>
      <c r="B1093" s="1669" t="s">
        <v>767</v>
      </c>
      <c r="C1093" s="1389"/>
      <c r="D1093" s="830">
        <f>G1093+J1093+P1093+M1093</f>
        <v>15000</v>
      </c>
      <c r="E1093" s="1390">
        <f t="shared" si="155"/>
        <v>0</v>
      </c>
      <c r="F1093" s="1366">
        <f t="shared" si="148"/>
        <v>0</v>
      </c>
      <c r="G1093" s="1390"/>
      <c r="H1093" s="1445"/>
      <c r="I1093" s="1446"/>
      <c r="J1093" s="1445"/>
      <c r="K1093" s="1390"/>
      <c r="L1093" s="1446"/>
      <c r="M1093" s="1389">
        <v>15000</v>
      </c>
      <c r="N1093" s="1390"/>
      <c r="O1093" s="1395">
        <f t="shared" si="153"/>
        <v>0</v>
      </c>
      <c r="P1093" s="1390"/>
      <c r="Q1093" s="1390"/>
      <c r="R1093" s="1454"/>
    </row>
    <row r="1094" spans="1:18" s="1564" customFormat="1" ht="36" hidden="1">
      <c r="A1094" s="1443">
        <v>6060</v>
      </c>
      <c r="B1094" s="1669" t="s">
        <v>841</v>
      </c>
      <c r="C1094" s="1494"/>
      <c r="D1094" s="862">
        <f>G1094+J1094+P1094+M1094</f>
        <v>0</v>
      </c>
      <c r="E1094" s="1487">
        <f t="shared" si="155"/>
        <v>0</v>
      </c>
      <c r="F1094" s="1419" t="e">
        <f t="shared" si="148"/>
        <v>#DIV/0!</v>
      </c>
      <c r="G1094" s="1487"/>
      <c r="H1094" s="1495"/>
      <c r="I1094" s="1551"/>
      <c r="J1094" s="1495"/>
      <c r="K1094" s="1487"/>
      <c r="L1094" s="1551"/>
      <c r="M1094" s="1494"/>
      <c r="N1094" s="1487"/>
      <c r="O1094" s="1666" t="e">
        <f t="shared" si="153"/>
        <v>#DIV/0!</v>
      </c>
      <c r="P1094" s="1487"/>
      <c r="Q1094" s="1487"/>
      <c r="R1094" s="1539"/>
    </row>
    <row r="1095" spans="1:18" s="1435" customFormat="1" ht="36">
      <c r="A1095" s="1436">
        <v>85406</v>
      </c>
      <c r="B1095" s="1668" t="s">
        <v>1283</v>
      </c>
      <c r="C1095" s="1438">
        <f>SUM(C1096:C1110)</f>
        <v>1195500</v>
      </c>
      <c r="D1095" s="845">
        <f>G1095+J1095+P1095+M1095</f>
        <v>1195500</v>
      </c>
      <c r="E1095" s="1380">
        <f>H1095+K1095+Q1095+N1095</f>
        <v>625986</v>
      </c>
      <c r="F1095" s="1381">
        <f t="shared" si="148"/>
        <v>52.36185696361355</v>
      </c>
      <c r="G1095" s="1477"/>
      <c r="H1095" s="1476"/>
      <c r="I1095" s="1575"/>
      <c r="J1095" s="1476"/>
      <c r="K1095" s="1477"/>
      <c r="L1095" s="1575"/>
      <c r="M1095" s="1380">
        <f>SUM(M1096:M1111)</f>
        <v>1195500</v>
      </c>
      <c r="N1095" s="1380">
        <f>SUM(N1096:N1111)</f>
        <v>625986</v>
      </c>
      <c r="O1095" s="1388">
        <f t="shared" si="153"/>
        <v>52.36185696361355</v>
      </c>
      <c r="P1095" s="1380"/>
      <c r="Q1095" s="1380"/>
      <c r="R1095" s="1478"/>
    </row>
    <row r="1096" spans="1:18" s="1435" customFormat="1" ht="36">
      <c r="A1096" s="1443">
        <v>3020</v>
      </c>
      <c r="B1096" s="1669" t="s">
        <v>1266</v>
      </c>
      <c r="C1096" s="1389">
        <v>4300</v>
      </c>
      <c r="D1096" s="830">
        <f aca="true" t="shared" si="156" ref="D1096:D1157">G1096+J1096+P1096+M1096</f>
        <v>4300</v>
      </c>
      <c r="E1096" s="1390">
        <f aca="true" t="shared" si="157" ref="E1096:E1110">SUM(H1096+K1096+N1096+Q1096)</f>
        <v>392</v>
      </c>
      <c r="F1096" s="1366">
        <f t="shared" si="148"/>
        <v>9.11627906976744</v>
      </c>
      <c r="G1096" s="1390"/>
      <c r="H1096" s="1445"/>
      <c r="I1096" s="1446"/>
      <c r="J1096" s="1445"/>
      <c r="K1096" s="1390"/>
      <c r="L1096" s="1446"/>
      <c r="M1096" s="1389">
        <v>4300</v>
      </c>
      <c r="N1096" s="1390">
        <v>392</v>
      </c>
      <c r="O1096" s="1395">
        <f t="shared" si="153"/>
        <v>9.11627906976744</v>
      </c>
      <c r="P1096" s="1390"/>
      <c r="Q1096" s="1390"/>
      <c r="R1096" s="1454"/>
    </row>
    <row r="1097" spans="1:18" s="1435" customFormat="1" ht="24">
      <c r="A1097" s="1443">
        <v>4010</v>
      </c>
      <c r="B1097" s="1669" t="s">
        <v>680</v>
      </c>
      <c r="C1097" s="1389">
        <v>815000</v>
      </c>
      <c r="D1097" s="830">
        <f t="shared" si="156"/>
        <v>814375</v>
      </c>
      <c r="E1097" s="1390">
        <f t="shared" si="157"/>
        <v>389442</v>
      </c>
      <c r="F1097" s="1366">
        <f t="shared" si="148"/>
        <v>47.82096699923254</v>
      </c>
      <c r="G1097" s="1390"/>
      <c r="H1097" s="1445"/>
      <c r="I1097" s="1446"/>
      <c r="J1097" s="1445"/>
      <c r="K1097" s="1390"/>
      <c r="L1097" s="1446"/>
      <c r="M1097" s="1389">
        <f>815000-625</f>
        <v>814375</v>
      </c>
      <c r="N1097" s="1390">
        <v>389442</v>
      </c>
      <c r="O1097" s="1395">
        <f t="shared" si="153"/>
        <v>47.82096699923254</v>
      </c>
      <c r="P1097" s="1390"/>
      <c r="Q1097" s="1390"/>
      <c r="R1097" s="1454"/>
    </row>
    <row r="1098" spans="1:18" s="1435" customFormat="1" ht="24">
      <c r="A1098" s="1443">
        <v>4040</v>
      </c>
      <c r="B1098" s="1669" t="s">
        <v>684</v>
      </c>
      <c r="C1098" s="1389">
        <v>61400</v>
      </c>
      <c r="D1098" s="830">
        <f t="shared" si="156"/>
        <v>62025</v>
      </c>
      <c r="E1098" s="1390">
        <f t="shared" si="157"/>
        <v>62025</v>
      </c>
      <c r="F1098" s="1366">
        <f t="shared" si="148"/>
        <v>100</v>
      </c>
      <c r="G1098" s="1390"/>
      <c r="H1098" s="1445"/>
      <c r="I1098" s="1446"/>
      <c r="J1098" s="1445"/>
      <c r="K1098" s="1390"/>
      <c r="L1098" s="1446"/>
      <c r="M1098" s="1389">
        <f>61400+625</f>
        <v>62025</v>
      </c>
      <c r="N1098" s="1390">
        <v>62025</v>
      </c>
      <c r="O1098" s="1584">
        <f t="shared" si="153"/>
        <v>100</v>
      </c>
      <c r="P1098" s="1390"/>
      <c r="Q1098" s="1390"/>
      <c r="R1098" s="1454"/>
    </row>
    <row r="1099" spans="1:18" s="1435" customFormat="1" ht="24">
      <c r="A1099" s="1443">
        <v>4110</v>
      </c>
      <c r="B1099" s="1669" t="s">
        <v>686</v>
      </c>
      <c r="C1099" s="1389">
        <v>150000</v>
      </c>
      <c r="D1099" s="830">
        <f t="shared" si="156"/>
        <v>146000</v>
      </c>
      <c r="E1099" s="1390">
        <f t="shared" si="157"/>
        <v>76936</v>
      </c>
      <c r="F1099" s="1366">
        <f t="shared" si="148"/>
        <v>52.6958904109589</v>
      </c>
      <c r="G1099" s="1390"/>
      <c r="H1099" s="1445"/>
      <c r="I1099" s="1446"/>
      <c r="J1099" s="1445"/>
      <c r="K1099" s="1390"/>
      <c r="L1099" s="1446"/>
      <c r="M1099" s="1389">
        <f>150000-4000</f>
        <v>146000</v>
      </c>
      <c r="N1099" s="1390">
        <v>76936</v>
      </c>
      <c r="O1099" s="1395">
        <f t="shared" si="153"/>
        <v>52.6958904109589</v>
      </c>
      <c r="P1099" s="1390"/>
      <c r="Q1099" s="1390"/>
      <c r="R1099" s="1454"/>
    </row>
    <row r="1100" spans="1:18" s="1435" customFormat="1" ht="12.75">
      <c r="A1100" s="1443">
        <v>4120</v>
      </c>
      <c r="B1100" s="1669" t="s">
        <v>781</v>
      </c>
      <c r="C1100" s="1389">
        <v>21000</v>
      </c>
      <c r="D1100" s="830">
        <f t="shared" si="156"/>
        <v>21000</v>
      </c>
      <c r="E1100" s="1390">
        <f>SUM(H1100+K1100+N1100+Q1100)</f>
        <v>10392</v>
      </c>
      <c r="F1100" s="1366">
        <f>E1100/D1100*100</f>
        <v>49.48571428571429</v>
      </c>
      <c r="G1100" s="1390"/>
      <c r="H1100" s="1445"/>
      <c r="I1100" s="1446"/>
      <c r="J1100" s="1445"/>
      <c r="K1100" s="1390"/>
      <c r="L1100" s="1446"/>
      <c r="M1100" s="1389">
        <v>21000</v>
      </c>
      <c r="N1100" s="1390">
        <v>10392</v>
      </c>
      <c r="O1100" s="1395">
        <f>N1100/M1100*100</f>
        <v>49.48571428571429</v>
      </c>
      <c r="P1100" s="1390"/>
      <c r="Q1100" s="1390"/>
      <c r="R1100" s="1454"/>
    </row>
    <row r="1101" spans="1:18" s="1435" customFormat="1" ht="12.75">
      <c r="A1101" s="1443">
        <v>4140</v>
      </c>
      <c r="B1101" s="1669" t="s">
        <v>743</v>
      </c>
      <c r="C1101" s="1389">
        <v>8400</v>
      </c>
      <c r="D1101" s="830">
        <f t="shared" si="156"/>
        <v>12400</v>
      </c>
      <c r="E1101" s="1390">
        <f t="shared" si="157"/>
        <v>6392</v>
      </c>
      <c r="F1101" s="1366">
        <f t="shared" si="148"/>
        <v>51.54838709677419</v>
      </c>
      <c r="G1101" s="1390"/>
      <c r="H1101" s="1445"/>
      <c r="I1101" s="1446"/>
      <c r="J1101" s="1445"/>
      <c r="K1101" s="1390"/>
      <c r="L1101" s="1446"/>
      <c r="M1101" s="1389">
        <f>8400+4000</f>
        <v>12400</v>
      </c>
      <c r="N1101" s="1390">
        <f>6393-1</f>
        <v>6392</v>
      </c>
      <c r="O1101" s="1395">
        <f t="shared" si="153"/>
        <v>51.54838709677419</v>
      </c>
      <c r="P1101" s="1390"/>
      <c r="Q1101" s="1390"/>
      <c r="R1101" s="1454"/>
    </row>
    <row r="1102" spans="1:18" s="1435" customFormat="1" ht="24">
      <c r="A1102" s="1443">
        <v>4210</v>
      </c>
      <c r="B1102" s="1669" t="s">
        <v>690</v>
      </c>
      <c r="C1102" s="1389">
        <v>18000</v>
      </c>
      <c r="D1102" s="830">
        <f t="shared" si="156"/>
        <v>18000</v>
      </c>
      <c r="E1102" s="1390">
        <f t="shared" si="157"/>
        <v>9166</v>
      </c>
      <c r="F1102" s="1366">
        <f t="shared" si="148"/>
        <v>50.922222222222224</v>
      </c>
      <c r="G1102" s="1390"/>
      <c r="H1102" s="1445"/>
      <c r="I1102" s="1446"/>
      <c r="J1102" s="1445"/>
      <c r="K1102" s="1390"/>
      <c r="L1102" s="1446"/>
      <c r="M1102" s="1389">
        <v>18000</v>
      </c>
      <c r="N1102" s="1390">
        <v>9166</v>
      </c>
      <c r="O1102" s="1395">
        <f t="shared" si="153"/>
        <v>50.922222222222224</v>
      </c>
      <c r="P1102" s="1390"/>
      <c r="Q1102" s="1390"/>
      <c r="R1102" s="1454"/>
    </row>
    <row r="1103" spans="1:18" s="1435" customFormat="1" ht="36">
      <c r="A1103" s="1443">
        <v>4240</v>
      </c>
      <c r="B1103" s="1669" t="s">
        <v>45</v>
      </c>
      <c r="C1103" s="1389">
        <v>4000</v>
      </c>
      <c r="D1103" s="830">
        <f t="shared" si="156"/>
        <v>4000</v>
      </c>
      <c r="E1103" s="1390">
        <f t="shared" si="157"/>
        <v>713</v>
      </c>
      <c r="F1103" s="1366">
        <f aca="true" t="shared" si="158" ref="F1103:F1110">E1103/D1103*100</f>
        <v>17.825</v>
      </c>
      <c r="G1103" s="1390"/>
      <c r="H1103" s="1445"/>
      <c r="I1103" s="1446"/>
      <c r="J1103" s="1445"/>
      <c r="K1103" s="1390"/>
      <c r="L1103" s="1446"/>
      <c r="M1103" s="1389">
        <v>4000</v>
      </c>
      <c r="N1103" s="1390">
        <v>713</v>
      </c>
      <c r="O1103" s="1395">
        <f t="shared" si="153"/>
        <v>17.825</v>
      </c>
      <c r="P1103" s="1390"/>
      <c r="Q1103" s="1390"/>
      <c r="R1103" s="1454"/>
    </row>
    <row r="1104" spans="1:18" s="1435" customFormat="1" ht="12.75">
      <c r="A1104" s="1443">
        <v>4260</v>
      </c>
      <c r="B1104" s="1669" t="s">
        <v>694</v>
      </c>
      <c r="C1104" s="1389">
        <v>24000</v>
      </c>
      <c r="D1104" s="830">
        <f t="shared" si="156"/>
        <v>24000</v>
      </c>
      <c r="E1104" s="1390">
        <f t="shared" si="157"/>
        <v>10966</v>
      </c>
      <c r="F1104" s="1366">
        <f t="shared" si="158"/>
        <v>45.69166666666667</v>
      </c>
      <c r="G1104" s="1390"/>
      <c r="H1104" s="1445"/>
      <c r="I1104" s="1446"/>
      <c r="J1104" s="1445"/>
      <c r="K1104" s="1390"/>
      <c r="L1104" s="1446"/>
      <c r="M1104" s="1389">
        <v>24000</v>
      </c>
      <c r="N1104" s="1390">
        <v>10966</v>
      </c>
      <c r="O1104" s="1395">
        <f t="shared" si="153"/>
        <v>45.69166666666667</v>
      </c>
      <c r="P1104" s="1390"/>
      <c r="Q1104" s="1390"/>
      <c r="R1104" s="1454"/>
    </row>
    <row r="1105" spans="1:18" s="1435" customFormat="1" ht="12.75">
      <c r="A1105" s="1443">
        <v>4280</v>
      </c>
      <c r="B1105" s="1669" t="s">
        <v>745</v>
      </c>
      <c r="C1105" s="1389">
        <v>800</v>
      </c>
      <c r="D1105" s="830">
        <f t="shared" si="156"/>
        <v>800</v>
      </c>
      <c r="E1105" s="1390">
        <f t="shared" si="157"/>
        <v>11</v>
      </c>
      <c r="F1105" s="1366">
        <f t="shared" si="158"/>
        <v>1.375</v>
      </c>
      <c r="G1105" s="1390"/>
      <c r="H1105" s="1445"/>
      <c r="I1105" s="1446"/>
      <c r="J1105" s="1445"/>
      <c r="K1105" s="1390"/>
      <c r="L1105" s="1446"/>
      <c r="M1105" s="1389">
        <v>800</v>
      </c>
      <c r="N1105" s="1390">
        <v>11</v>
      </c>
      <c r="O1105" s="1395">
        <f t="shared" si="153"/>
        <v>1.375</v>
      </c>
      <c r="P1105" s="1390"/>
      <c r="Q1105" s="1390"/>
      <c r="R1105" s="1454"/>
    </row>
    <row r="1106" spans="1:18" s="1435" customFormat="1" ht="12.75">
      <c r="A1106" s="1443">
        <v>4300</v>
      </c>
      <c r="B1106" s="1669" t="s">
        <v>698</v>
      </c>
      <c r="C1106" s="1389">
        <v>35000</v>
      </c>
      <c r="D1106" s="830">
        <f t="shared" si="156"/>
        <v>35000</v>
      </c>
      <c r="E1106" s="1390">
        <f t="shared" si="157"/>
        <v>22463</v>
      </c>
      <c r="F1106" s="1366">
        <f t="shared" si="158"/>
        <v>64.18</v>
      </c>
      <c r="G1106" s="1390"/>
      <c r="H1106" s="1445"/>
      <c r="I1106" s="1446"/>
      <c r="J1106" s="1445"/>
      <c r="K1106" s="1390"/>
      <c r="L1106" s="1446"/>
      <c r="M1106" s="1389">
        <v>35000</v>
      </c>
      <c r="N1106" s="1390">
        <v>22463</v>
      </c>
      <c r="O1106" s="1395">
        <f t="shared" si="153"/>
        <v>64.18</v>
      </c>
      <c r="P1106" s="1390"/>
      <c r="Q1106" s="1390"/>
      <c r="R1106" s="1454"/>
    </row>
    <row r="1107" spans="1:18" s="1435" customFormat="1" ht="24">
      <c r="A1107" s="1443">
        <v>4350</v>
      </c>
      <c r="B1107" s="1669" t="s">
        <v>869</v>
      </c>
      <c r="C1107" s="1389">
        <v>2400</v>
      </c>
      <c r="D1107" s="830">
        <f t="shared" si="156"/>
        <v>2400</v>
      </c>
      <c r="E1107" s="1390">
        <f t="shared" si="157"/>
        <v>638</v>
      </c>
      <c r="F1107" s="1366">
        <f t="shared" si="158"/>
        <v>26.583333333333332</v>
      </c>
      <c r="G1107" s="1390"/>
      <c r="H1107" s="1445"/>
      <c r="I1107" s="1446"/>
      <c r="J1107" s="1445"/>
      <c r="K1107" s="1390"/>
      <c r="L1107" s="1446"/>
      <c r="M1107" s="1389">
        <v>2400</v>
      </c>
      <c r="N1107" s="1390">
        <v>638</v>
      </c>
      <c r="O1107" s="1395">
        <f t="shared" si="153"/>
        <v>26.583333333333332</v>
      </c>
      <c r="P1107" s="1390"/>
      <c r="Q1107" s="1390"/>
      <c r="R1107" s="1454"/>
    </row>
    <row r="1108" spans="1:18" s="1435" customFormat="1" ht="12.75">
      <c r="A1108" s="1443">
        <v>4410</v>
      </c>
      <c r="B1108" s="1669" t="s">
        <v>672</v>
      </c>
      <c r="C1108" s="1389">
        <v>1800</v>
      </c>
      <c r="D1108" s="830">
        <f t="shared" si="156"/>
        <v>1800</v>
      </c>
      <c r="E1108" s="1390">
        <f t="shared" si="157"/>
        <v>0</v>
      </c>
      <c r="F1108" s="1366">
        <f t="shared" si="158"/>
        <v>0</v>
      </c>
      <c r="G1108" s="1390"/>
      <c r="H1108" s="1445"/>
      <c r="I1108" s="1446"/>
      <c r="J1108" s="1445"/>
      <c r="K1108" s="1390"/>
      <c r="L1108" s="1446"/>
      <c r="M1108" s="1389">
        <v>1800</v>
      </c>
      <c r="N1108" s="1390"/>
      <c r="O1108" s="1395">
        <f t="shared" si="153"/>
        <v>0</v>
      </c>
      <c r="P1108" s="1390"/>
      <c r="Q1108" s="1390"/>
      <c r="R1108" s="1454"/>
    </row>
    <row r="1109" spans="1:18" s="1435" customFormat="1" ht="12.75">
      <c r="A1109" s="1443">
        <v>4440</v>
      </c>
      <c r="B1109" s="1669" t="s">
        <v>702</v>
      </c>
      <c r="C1109" s="1389">
        <v>49400</v>
      </c>
      <c r="D1109" s="830">
        <f t="shared" si="156"/>
        <v>49400</v>
      </c>
      <c r="E1109" s="1390">
        <f t="shared" si="157"/>
        <v>36450</v>
      </c>
      <c r="F1109" s="1366">
        <f t="shared" si="158"/>
        <v>73.78542510121457</v>
      </c>
      <c r="G1109" s="1390"/>
      <c r="H1109" s="1445"/>
      <c r="I1109" s="1446"/>
      <c r="J1109" s="1445"/>
      <c r="K1109" s="1390"/>
      <c r="L1109" s="1446"/>
      <c r="M1109" s="1389">
        <v>49400</v>
      </c>
      <c r="N1109" s="1390">
        <v>36450</v>
      </c>
      <c r="O1109" s="1369">
        <f t="shared" si="153"/>
        <v>73.78542510121457</v>
      </c>
      <c r="P1109" s="1390"/>
      <c r="Q1109" s="1390"/>
      <c r="R1109" s="1454"/>
    </row>
    <row r="1110" spans="1:18" s="1435" customFormat="1" ht="36" hidden="1">
      <c r="A1110" s="1443">
        <v>6060</v>
      </c>
      <c r="B1110" s="1669" t="s">
        <v>841</v>
      </c>
      <c r="C1110" s="1389"/>
      <c r="D1110" s="830">
        <f t="shared" si="156"/>
        <v>0</v>
      </c>
      <c r="E1110" s="1390">
        <f t="shared" si="157"/>
        <v>0</v>
      </c>
      <c r="F1110" s="1366" t="e">
        <f t="shared" si="158"/>
        <v>#DIV/0!</v>
      </c>
      <c r="G1110" s="1390"/>
      <c r="H1110" s="1445"/>
      <c r="I1110" s="1446"/>
      <c r="J1110" s="1445"/>
      <c r="K1110" s="1390"/>
      <c r="L1110" s="1446"/>
      <c r="M1110" s="1389"/>
      <c r="N1110" s="1390"/>
      <c r="O1110" s="1584" t="e">
        <f>N1110/M1110*100</f>
        <v>#DIV/0!</v>
      </c>
      <c r="P1110" s="1390"/>
      <c r="Q1110" s="1390"/>
      <c r="R1110" s="1454"/>
    </row>
    <row r="1111" spans="1:18" s="1435" customFormat="1" ht="12.75" hidden="1">
      <c r="A1111" s="1443">
        <v>4480</v>
      </c>
      <c r="B1111" s="1669" t="s">
        <v>198</v>
      </c>
      <c r="C1111" s="1389"/>
      <c r="D1111" s="830">
        <f t="shared" si="156"/>
        <v>0</v>
      </c>
      <c r="E1111" s="1390">
        <f>SUM(H1111+K1111+N1111+Q1111)</f>
        <v>0</v>
      </c>
      <c r="F1111" s="1366"/>
      <c r="G1111" s="1390"/>
      <c r="H1111" s="1445"/>
      <c r="I1111" s="1446"/>
      <c r="J1111" s="1445"/>
      <c r="K1111" s="1390"/>
      <c r="L1111" s="1446"/>
      <c r="M1111" s="1389"/>
      <c r="N1111" s="1390"/>
      <c r="O1111" s="1584"/>
      <c r="P1111" s="1390"/>
      <c r="Q1111" s="1390"/>
      <c r="R1111" s="1454"/>
    </row>
    <row r="1112" spans="1:18" s="1471" customFormat="1" ht="24">
      <c r="A1112" s="1479">
        <v>85407</v>
      </c>
      <c r="B1112" s="1710" t="s">
        <v>46</v>
      </c>
      <c r="C1112" s="823">
        <f>SUM(C1113:C1128)</f>
        <v>1067500</v>
      </c>
      <c r="D1112" s="845">
        <f t="shared" si="156"/>
        <v>1071300</v>
      </c>
      <c r="E1112" s="845">
        <f>H1112+K1112+Q1112+N1112</f>
        <v>558648</v>
      </c>
      <c r="F1112" s="1381">
        <f aca="true" t="shared" si="159" ref="F1112:F1148">E1112/D1112*100</f>
        <v>52.146737608513014</v>
      </c>
      <c r="G1112" s="845"/>
      <c r="H1112" s="845"/>
      <c r="I1112" s="1441"/>
      <c r="J1112" s="1510"/>
      <c r="K1112" s="845"/>
      <c r="L1112" s="1441"/>
      <c r="M1112" s="1510">
        <f>SUM(M1113:M1130)</f>
        <v>1071300</v>
      </c>
      <c r="N1112" s="1510">
        <f>SUM(N1113:N1130)</f>
        <v>558648</v>
      </c>
      <c r="O1112" s="1388">
        <f t="shared" si="153"/>
        <v>52.146737608513014</v>
      </c>
      <c r="P1112" s="845"/>
      <c r="Q1112" s="845"/>
      <c r="R1112" s="826"/>
    </row>
    <row r="1113" spans="1:18" s="1435" customFormat="1" ht="36">
      <c r="A1113" s="1443">
        <v>3020</v>
      </c>
      <c r="B1113" s="1669" t="s">
        <v>1266</v>
      </c>
      <c r="C1113" s="1389">
        <v>4300</v>
      </c>
      <c r="D1113" s="830">
        <f t="shared" si="156"/>
        <v>4300</v>
      </c>
      <c r="E1113" s="1390">
        <f aca="true" t="shared" si="160" ref="E1113:E1130">SUM(H1113+K1113+N1113+Q1113)</f>
        <v>200</v>
      </c>
      <c r="F1113" s="1366">
        <f t="shared" si="159"/>
        <v>4.651162790697675</v>
      </c>
      <c r="G1113" s="1390"/>
      <c r="H1113" s="1445"/>
      <c r="I1113" s="1446"/>
      <c r="J1113" s="1445"/>
      <c r="K1113" s="1390"/>
      <c r="L1113" s="1446"/>
      <c r="M1113" s="1389">
        <v>4300</v>
      </c>
      <c r="N1113" s="1390">
        <v>200</v>
      </c>
      <c r="O1113" s="1395">
        <f t="shared" si="153"/>
        <v>4.651162790697675</v>
      </c>
      <c r="P1113" s="1390"/>
      <c r="Q1113" s="1390"/>
      <c r="R1113" s="1454"/>
    </row>
    <row r="1114" spans="1:18" s="1435" customFormat="1" ht="24">
      <c r="A1114" s="1443">
        <v>4010</v>
      </c>
      <c r="B1114" s="1451" t="s">
        <v>680</v>
      </c>
      <c r="C1114" s="1389">
        <v>672000</v>
      </c>
      <c r="D1114" s="830">
        <f t="shared" si="156"/>
        <v>672000</v>
      </c>
      <c r="E1114" s="1390">
        <f t="shared" si="160"/>
        <v>330812</v>
      </c>
      <c r="F1114" s="1366">
        <f t="shared" si="159"/>
        <v>49.22797619047619</v>
      </c>
      <c r="G1114" s="1390"/>
      <c r="H1114" s="1445"/>
      <c r="I1114" s="1446"/>
      <c r="J1114" s="1445"/>
      <c r="K1114" s="1390"/>
      <c r="L1114" s="1446"/>
      <c r="M1114" s="1389">
        <v>672000</v>
      </c>
      <c r="N1114" s="1390">
        <v>330812</v>
      </c>
      <c r="O1114" s="1395">
        <f t="shared" si="153"/>
        <v>49.22797619047619</v>
      </c>
      <c r="P1114" s="1390"/>
      <c r="Q1114" s="1390"/>
      <c r="R1114" s="1454"/>
    </row>
    <row r="1115" spans="1:18" s="1435" customFormat="1" ht="24">
      <c r="A1115" s="1443">
        <v>4040</v>
      </c>
      <c r="B1115" s="1451" t="s">
        <v>684</v>
      </c>
      <c r="C1115" s="1389">
        <v>51800</v>
      </c>
      <c r="D1115" s="830">
        <f t="shared" si="156"/>
        <v>51600</v>
      </c>
      <c r="E1115" s="1390">
        <f t="shared" si="160"/>
        <v>51584</v>
      </c>
      <c r="F1115" s="1366">
        <f t="shared" si="159"/>
        <v>99.96899224806202</v>
      </c>
      <c r="G1115" s="1599"/>
      <c r="H1115" s="1445"/>
      <c r="I1115" s="1446"/>
      <c r="J1115" s="1445"/>
      <c r="K1115" s="1390"/>
      <c r="L1115" s="1446"/>
      <c r="M1115" s="1389">
        <f>51800-200</f>
        <v>51600</v>
      </c>
      <c r="N1115" s="1390">
        <v>51584</v>
      </c>
      <c r="O1115" s="1584">
        <f t="shared" si="153"/>
        <v>99.96899224806202</v>
      </c>
      <c r="P1115" s="1390"/>
      <c r="Q1115" s="1390"/>
      <c r="R1115" s="1454"/>
    </row>
    <row r="1116" spans="1:18" s="1435" customFormat="1" ht="24">
      <c r="A1116" s="1443">
        <v>4110</v>
      </c>
      <c r="B1116" s="1451" t="s">
        <v>686</v>
      </c>
      <c r="C1116" s="1389">
        <v>130000</v>
      </c>
      <c r="D1116" s="830">
        <f t="shared" si="156"/>
        <v>130000</v>
      </c>
      <c r="E1116" s="1390">
        <f t="shared" si="160"/>
        <v>63682</v>
      </c>
      <c r="F1116" s="1366">
        <f t="shared" si="159"/>
        <v>48.98615384615385</v>
      </c>
      <c r="G1116" s="1390"/>
      <c r="H1116" s="1445"/>
      <c r="I1116" s="1446"/>
      <c r="J1116" s="1445"/>
      <c r="K1116" s="1390"/>
      <c r="L1116" s="1446"/>
      <c r="M1116" s="1389">
        <v>130000</v>
      </c>
      <c r="N1116" s="1390">
        <f>63683-1</f>
        <v>63682</v>
      </c>
      <c r="O1116" s="1395">
        <f t="shared" si="153"/>
        <v>48.98615384615385</v>
      </c>
      <c r="P1116" s="1389"/>
      <c r="Q1116" s="1390"/>
      <c r="R1116" s="1454"/>
    </row>
    <row r="1117" spans="1:18" s="1435" customFormat="1" ht="12.75">
      <c r="A1117" s="1443">
        <v>4120</v>
      </c>
      <c r="B1117" s="1451" t="s">
        <v>781</v>
      </c>
      <c r="C1117" s="1389">
        <v>17700</v>
      </c>
      <c r="D1117" s="830">
        <f t="shared" si="156"/>
        <v>17700</v>
      </c>
      <c r="E1117" s="1390">
        <f t="shared" si="160"/>
        <v>8871</v>
      </c>
      <c r="F1117" s="1366">
        <f t="shared" si="159"/>
        <v>50.118644067796616</v>
      </c>
      <c r="G1117" s="1390"/>
      <c r="H1117" s="1445"/>
      <c r="I1117" s="1446"/>
      <c r="J1117" s="1445"/>
      <c r="K1117" s="1390"/>
      <c r="L1117" s="1446"/>
      <c r="M1117" s="1389">
        <v>17700</v>
      </c>
      <c r="N1117" s="1390">
        <v>8871</v>
      </c>
      <c r="O1117" s="1395">
        <f t="shared" si="153"/>
        <v>50.118644067796616</v>
      </c>
      <c r="P1117" s="1390"/>
      <c r="Q1117" s="1390"/>
      <c r="R1117" s="1454"/>
    </row>
    <row r="1118" spans="1:18" s="1435" customFormat="1" ht="12.75">
      <c r="A1118" s="1443">
        <v>4140</v>
      </c>
      <c r="B1118" s="1669" t="s">
        <v>743</v>
      </c>
      <c r="C1118" s="1389">
        <v>10800</v>
      </c>
      <c r="D1118" s="830">
        <f t="shared" si="156"/>
        <v>10800</v>
      </c>
      <c r="E1118" s="1390">
        <f t="shared" si="160"/>
        <v>6477</v>
      </c>
      <c r="F1118" s="1366">
        <f t="shared" si="159"/>
        <v>59.97222222222223</v>
      </c>
      <c r="G1118" s="1390"/>
      <c r="H1118" s="1445"/>
      <c r="I1118" s="1446"/>
      <c r="J1118" s="1445"/>
      <c r="K1118" s="1390"/>
      <c r="L1118" s="1446"/>
      <c r="M1118" s="1389">
        <v>10800</v>
      </c>
      <c r="N1118" s="1390">
        <v>6477</v>
      </c>
      <c r="O1118" s="1395">
        <f t="shared" si="153"/>
        <v>59.97222222222223</v>
      </c>
      <c r="P1118" s="1390"/>
      <c r="Q1118" s="1390"/>
      <c r="R1118" s="1454"/>
    </row>
    <row r="1119" spans="1:18" s="1435" customFormat="1" ht="24" hidden="1">
      <c r="A1119" s="1443">
        <v>4170</v>
      </c>
      <c r="B1119" s="1451" t="s">
        <v>744</v>
      </c>
      <c r="C1119" s="1389"/>
      <c r="D1119" s="830">
        <f t="shared" si="156"/>
        <v>0</v>
      </c>
      <c r="E1119" s="1390">
        <f t="shared" si="160"/>
        <v>0</v>
      </c>
      <c r="F1119" s="1366" t="e">
        <f t="shared" si="159"/>
        <v>#DIV/0!</v>
      </c>
      <c r="G1119" s="1390"/>
      <c r="H1119" s="1445"/>
      <c r="I1119" s="1446"/>
      <c r="J1119" s="1445"/>
      <c r="K1119" s="1390"/>
      <c r="L1119" s="1446"/>
      <c r="M1119" s="1389"/>
      <c r="N1119" s="1390"/>
      <c r="O1119" s="1395" t="e">
        <f t="shared" si="153"/>
        <v>#DIV/0!</v>
      </c>
      <c r="P1119" s="1390"/>
      <c r="Q1119" s="1390"/>
      <c r="R1119" s="1454"/>
    </row>
    <row r="1120" spans="1:18" s="1435" customFormat="1" ht="24">
      <c r="A1120" s="1443">
        <v>4210</v>
      </c>
      <c r="B1120" s="1451" t="s">
        <v>690</v>
      </c>
      <c r="C1120" s="1389">
        <v>30000</v>
      </c>
      <c r="D1120" s="830">
        <f t="shared" si="156"/>
        <v>31000</v>
      </c>
      <c r="E1120" s="1390">
        <f t="shared" si="160"/>
        <v>9882</v>
      </c>
      <c r="F1120" s="1366">
        <f t="shared" si="159"/>
        <v>31.87741935483871</v>
      </c>
      <c r="G1120" s="1390"/>
      <c r="H1120" s="1445"/>
      <c r="I1120" s="1446"/>
      <c r="J1120" s="1445"/>
      <c r="K1120" s="1390"/>
      <c r="L1120" s="1446"/>
      <c r="M1120" s="1389">
        <f>30000+1000</f>
        <v>31000</v>
      </c>
      <c r="N1120" s="1390">
        <v>9882</v>
      </c>
      <c r="O1120" s="1395">
        <f t="shared" si="153"/>
        <v>31.87741935483871</v>
      </c>
      <c r="P1120" s="1390"/>
      <c r="Q1120" s="1390"/>
      <c r="R1120" s="1454"/>
    </row>
    <row r="1121" spans="1:18" s="1435" customFormat="1" ht="36">
      <c r="A1121" s="1443">
        <v>4240</v>
      </c>
      <c r="B1121" s="1451" t="s">
        <v>758</v>
      </c>
      <c r="C1121" s="1389">
        <v>5000</v>
      </c>
      <c r="D1121" s="830">
        <f t="shared" si="156"/>
        <v>7000</v>
      </c>
      <c r="E1121" s="1390">
        <f t="shared" si="160"/>
        <v>0</v>
      </c>
      <c r="F1121" s="1366">
        <f t="shared" si="159"/>
        <v>0</v>
      </c>
      <c r="G1121" s="1390"/>
      <c r="H1121" s="1445"/>
      <c r="I1121" s="1446"/>
      <c r="J1121" s="1445"/>
      <c r="K1121" s="1390"/>
      <c r="L1121" s="1446"/>
      <c r="M1121" s="1389">
        <f>5000+2000</f>
        <v>7000</v>
      </c>
      <c r="N1121" s="1390"/>
      <c r="O1121" s="1369">
        <f t="shared" si="153"/>
        <v>0</v>
      </c>
      <c r="P1121" s="1390"/>
      <c r="Q1121" s="1390"/>
      <c r="R1121" s="1454"/>
    </row>
    <row r="1122" spans="1:18" s="1435" customFormat="1" ht="12.75">
      <c r="A1122" s="1443">
        <v>4260</v>
      </c>
      <c r="B1122" s="1451" t="s">
        <v>694</v>
      </c>
      <c r="C1122" s="1389">
        <v>65000</v>
      </c>
      <c r="D1122" s="830">
        <f t="shared" si="156"/>
        <v>65000</v>
      </c>
      <c r="E1122" s="1390">
        <f t="shared" si="160"/>
        <v>32698</v>
      </c>
      <c r="F1122" s="1366">
        <f t="shared" si="159"/>
        <v>50.30461538461538</v>
      </c>
      <c r="G1122" s="1390"/>
      <c r="H1122" s="1445"/>
      <c r="I1122" s="1446"/>
      <c r="J1122" s="1445"/>
      <c r="K1122" s="1390"/>
      <c r="L1122" s="1446"/>
      <c r="M1122" s="1389">
        <v>65000</v>
      </c>
      <c r="N1122" s="1390">
        <v>32698</v>
      </c>
      <c r="O1122" s="1395">
        <f>N1122/M1122*100</f>
        <v>50.30461538461538</v>
      </c>
      <c r="P1122" s="1390"/>
      <c r="Q1122" s="1390"/>
      <c r="R1122" s="1454"/>
    </row>
    <row r="1123" spans="1:18" s="1435" customFormat="1" ht="12.75">
      <c r="A1123" s="1443">
        <v>4280</v>
      </c>
      <c r="B1123" s="1451" t="s">
        <v>745</v>
      </c>
      <c r="C1123" s="1389">
        <v>1300</v>
      </c>
      <c r="D1123" s="830">
        <f t="shared" si="156"/>
        <v>1300</v>
      </c>
      <c r="E1123" s="1390">
        <f t="shared" si="160"/>
        <v>61</v>
      </c>
      <c r="F1123" s="1366">
        <f t="shared" si="159"/>
        <v>4.6923076923076925</v>
      </c>
      <c r="G1123" s="1390"/>
      <c r="H1123" s="1445"/>
      <c r="I1123" s="1446"/>
      <c r="J1123" s="1445"/>
      <c r="K1123" s="1390"/>
      <c r="L1123" s="1446"/>
      <c r="M1123" s="1389">
        <v>1300</v>
      </c>
      <c r="N1123" s="1390">
        <v>61</v>
      </c>
      <c r="O1123" s="1395">
        <f>N1123/M1123*100</f>
        <v>4.6923076923076925</v>
      </c>
      <c r="P1123" s="1390"/>
      <c r="Q1123" s="1390"/>
      <c r="R1123" s="1454"/>
    </row>
    <row r="1124" spans="1:18" s="1435" customFormat="1" ht="12.75">
      <c r="A1124" s="1443">
        <v>4300</v>
      </c>
      <c r="B1124" s="1451" t="s">
        <v>698</v>
      </c>
      <c r="C1124" s="1389">
        <v>30000</v>
      </c>
      <c r="D1124" s="830">
        <f t="shared" si="156"/>
        <v>31000</v>
      </c>
      <c r="E1124" s="1390">
        <f t="shared" si="160"/>
        <v>18472</v>
      </c>
      <c r="F1124" s="1366">
        <f t="shared" si="159"/>
        <v>59.58709677419355</v>
      </c>
      <c r="G1124" s="1390"/>
      <c r="H1124" s="1445"/>
      <c r="I1124" s="1446"/>
      <c r="J1124" s="1445"/>
      <c r="K1124" s="1390"/>
      <c r="L1124" s="1446"/>
      <c r="M1124" s="1389">
        <f>30000+1000</f>
        <v>31000</v>
      </c>
      <c r="N1124" s="1390">
        <v>18472</v>
      </c>
      <c r="O1124" s="1395">
        <f aca="true" t="shared" si="161" ref="O1124:O1148">N1124/M1124*100</f>
        <v>59.58709677419355</v>
      </c>
      <c r="P1124" s="1390"/>
      <c r="Q1124" s="1390"/>
      <c r="R1124" s="1454"/>
    </row>
    <row r="1125" spans="1:18" s="1435" customFormat="1" ht="24">
      <c r="A1125" s="1443">
        <v>4350</v>
      </c>
      <c r="B1125" s="1451" t="s">
        <v>869</v>
      </c>
      <c r="C1125" s="1389">
        <v>1500</v>
      </c>
      <c r="D1125" s="830">
        <f t="shared" si="156"/>
        <v>1500</v>
      </c>
      <c r="E1125" s="1390">
        <f t="shared" si="160"/>
        <v>642</v>
      </c>
      <c r="F1125" s="1366">
        <f t="shared" si="159"/>
        <v>42.8</v>
      </c>
      <c r="G1125" s="1390"/>
      <c r="H1125" s="1445"/>
      <c r="I1125" s="1446"/>
      <c r="J1125" s="1445"/>
      <c r="K1125" s="1390"/>
      <c r="L1125" s="1446"/>
      <c r="M1125" s="1389">
        <v>1500</v>
      </c>
      <c r="N1125" s="1390">
        <v>642</v>
      </c>
      <c r="O1125" s="1395">
        <f t="shared" si="161"/>
        <v>42.8</v>
      </c>
      <c r="P1125" s="1390"/>
      <c r="Q1125" s="1390"/>
      <c r="R1125" s="1454"/>
    </row>
    <row r="1126" spans="1:18" s="1435" customFormat="1" ht="12.75">
      <c r="A1126" s="1443">
        <v>4410</v>
      </c>
      <c r="B1126" s="1451" t="s">
        <v>672</v>
      </c>
      <c r="C1126" s="1389">
        <v>3500</v>
      </c>
      <c r="D1126" s="830">
        <f t="shared" si="156"/>
        <v>3500</v>
      </c>
      <c r="E1126" s="1390">
        <f t="shared" si="160"/>
        <v>1817</v>
      </c>
      <c r="F1126" s="1366">
        <f t="shared" si="159"/>
        <v>51.91428571428571</v>
      </c>
      <c r="G1126" s="1390"/>
      <c r="H1126" s="1445"/>
      <c r="I1126" s="1446"/>
      <c r="J1126" s="1445"/>
      <c r="K1126" s="1390"/>
      <c r="L1126" s="1446"/>
      <c r="M1126" s="1389">
        <v>3500</v>
      </c>
      <c r="N1126" s="1390">
        <v>1817</v>
      </c>
      <c r="O1126" s="1395">
        <f t="shared" si="161"/>
        <v>51.91428571428571</v>
      </c>
      <c r="P1126" s="1390"/>
      <c r="Q1126" s="1390"/>
      <c r="R1126" s="1454"/>
    </row>
    <row r="1127" spans="1:18" s="1435" customFormat="1" ht="12.75" hidden="1">
      <c r="A1127" s="1443">
        <v>4430</v>
      </c>
      <c r="B1127" s="1451" t="s">
        <v>700</v>
      </c>
      <c r="C1127" s="1389"/>
      <c r="D1127" s="830">
        <f t="shared" si="156"/>
        <v>0</v>
      </c>
      <c r="E1127" s="1390">
        <f t="shared" si="160"/>
        <v>0</v>
      </c>
      <c r="F1127" s="1366" t="e">
        <f t="shared" si="159"/>
        <v>#DIV/0!</v>
      </c>
      <c r="G1127" s="1390"/>
      <c r="H1127" s="1445"/>
      <c r="I1127" s="1446"/>
      <c r="J1127" s="1445"/>
      <c r="K1127" s="1390"/>
      <c r="L1127" s="1446"/>
      <c r="M1127" s="1389"/>
      <c r="N1127" s="1390"/>
      <c r="O1127" s="1395" t="e">
        <f t="shared" si="161"/>
        <v>#DIV/0!</v>
      </c>
      <c r="P1127" s="1390"/>
      <c r="Q1127" s="1390"/>
      <c r="R1127" s="1454"/>
    </row>
    <row r="1128" spans="1:18" s="1435" customFormat="1" ht="12.75">
      <c r="A1128" s="1443">
        <v>4440</v>
      </c>
      <c r="B1128" s="1451" t="s">
        <v>702</v>
      </c>
      <c r="C1128" s="1389">
        <v>44600</v>
      </c>
      <c r="D1128" s="830">
        <f t="shared" si="156"/>
        <v>44600</v>
      </c>
      <c r="E1128" s="1390">
        <f t="shared" si="160"/>
        <v>33450</v>
      </c>
      <c r="F1128" s="1366">
        <f t="shared" si="159"/>
        <v>75</v>
      </c>
      <c r="G1128" s="1390"/>
      <c r="H1128" s="1445"/>
      <c r="I1128" s="1446"/>
      <c r="J1128" s="1445"/>
      <c r="K1128" s="1390"/>
      <c r="L1128" s="1446"/>
      <c r="M1128" s="1389">
        <v>44600</v>
      </c>
      <c r="N1128" s="1390">
        <v>33450</v>
      </c>
      <c r="O1128" s="1369">
        <f t="shared" si="161"/>
        <v>75</v>
      </c>
      <c r="P1128" s="1390"/>
      <c r="Q1128" s="1390"/>
      <c r="R1128" s="1454"/>
    </row>
    <row r="1129" spans="1:18" s="1435" customFormat="1" ht="24" hidden="1">
      <c r="A1129" s="1443">
        <v>6050</v>
      </c>
      <c r="B1129" s="1669" t="s">
        <v>47</v>
      </c>
      <c r="C1129" s="1389"/>
      <c r="D1129" s="830">
        <f t="shared" si="156"/>
        <v>0</v>
      </c>
      <c r="E1129" s="1390">
        <f t="shared" si="160"/>
        <v>0</v>
      </c>
      <c r="F1129" s="1366" t="e">
        <f t="shared" si="159"/>
        <v>#DIV/0!</v>
      </c>
      <c r="G1129" s="1390"/>
      <c r="H1129" s="1445"/>
      <c r="I1129" s="1446"/>
      <c r="J1129" s="1445"/>
      <c r="K1129" s="1390"/>
      <c r="L1129" s="1446"/>
      <c r="M1129" s="1445"/>
      <c r="N1129" s="1390"/>
      <c r="O1129" s="1395" t="e">
        <f t="shared" si="161"/>
        <v>#DIV/0!</v>
      </c>
      <c r="P1129" s="1390"/>
      <c r="Q1129" s="1390"/>
      <c r="R1129" s="1454"/>
    </row>
    <row r="1130" spans="1:18" s="1435" customFormat="1" ht="24" hidden="1">
      <c r="A1130" s="1443">
        <v>6050</v>
      </c>
      <c r="B1130" s="1669" t="s">
        <v>767</v>
      </c>
      <c r="C1130" s="1389"/>
      <c r="D1130" s="830">
        <f t="shared" si="156"/>
        <v>0</v>
      </c>
      <c r="E1130" s="1390">
        <f t="shared" si="160"/>
        <v>0</v>
      </c>
      <c r="F1130" s="1366" t="e">
        <f t="shared" si="159"/>
        <v>#DIV/0!</v>
      </c>
      <c r="G1130" s="1390">
        <v>0</v>
      </c>
      <c r="H1130" s="1445"/>
      <c r="I1130" s="1446"/>
      <c r="J1130" s="1445"/>
      <c r="K1130" s="1390"/>
      <c r="L1130" s="1446"/>
      <c r="M1130" s="1445"/>
      <c r="N1130" s="1390"/>
      <c r="O1130" s="1395" t="e">
        <f t="shared" si="161"/>
        <v>#DIV/0!</v>
      </c>
      <c r="P1130" s="1390"/>
      <c r="Q1130" s="1390"/>
      <c r="R1130" s="1454"/>
    </row>
    <row r="1131" spans="1:18" s="1435" customFormat="1" ht="12.75">
      <c r="A1131" s="1436">
        <v>85410</v>
      </c>
      <c r="B1131" s="1668" t="s">
        <v>632</v>
      </c>
      <c r="C1131" s="1438">
        <f>SUM(C1132:C1148)</f>
        <v>2609600</v>
      </c>
      <c r="D1131" s="845">
        <f t="shared" si="156"/>
        <v>2608955</v>
      </c>
      <c r="E1131" s="1380">
        <f>H1131+K1131+Q1131+N1131</f>
        <v>1228130</v>
      </c>
      <c r="F1131" s="1381">
        <f t="shared" si="159"/>
        <v>47.07363676261185</v>
      </c>
      <c r="G1131" s="1477"/>
      <c r="H1131" s="1476"/>
      <c r="I1131" s="1575"/>
      <c r="J1131" s="1476"/>
      <c r="K1131" s="1477"/>
      <c r="L1131" s="1575"/>
      <c r="M1131" s="1380">
        <f>SUM(M1132:M1149)</f>
        <v>2608955</v>
      </c>
      <c r="N1131" s="1380">
        <f>SUM(N1132:N1149)</f>
        <v>1228130</v>
      </c>
      <c r="O1131" s="1388">
        <f t="shared" si="161"/>
        <v>47.07363676261185</v>
      </c>
      <c r="P1131" s="1380"/>
      <c r="Q1131" s="1380"/>
      <c r="R1131" s="1478"/>
    </row>
    <row r="1132" spans="1:18" s="1435" customFormat="1" ht="36">
      <c r="A1132" s="1422">
        <v>3020</v>
      </c>
      <c r="B1132" s="1669" t="s">
        <v>1266</v>
      </c>
      <c r="C1132" s="1393">
        <v>8400</v>
      </c>
      <c r="D1132" s="869">
        <f t="shared" si="156"/>
        <v>8400</v>
      </c>
      <c r="E1132" s="1407">
        <f aca="true" t="shared" si="162" ref="E1132:E1160">SUM(H1132+K1132+N1132+Q1132)</f>
        <v>3476</v>
      </c>
      <c r="F1132" s="1391">
        <f t="shared" si="159"/>
        <v>41.38095238095238</v>
      </c>
      <c r="G1132" s="1407"/>
      <c r="H1132" s="1548"/>
      <c r="I1132" s="1543"/>
      <c r="J1132" s="1548"/>
      <c r="K1132" s="1407"/>
      <c r="L1132" s="1543"/>
      <c r="M1132" s="1393">
        <v>8400</v>
      </c>
      <c r="N1132" s="1407">
        <v>3476</v>
      </c>
      <c r="O1132" s="1374">
        <f t="shared" si="161"/>
        <v>41.38095238095238</v>
      </c>
      <c r="P1132" s="1407"/>
      <c r="Q1132" s="1407"/>
      <c r="R1132" s="1550"/>
    </row>
    <row r="1133" spans="1:18" s="1435" customFormat="1" ht="24">
      <c r="A1133" s="1443">
        <v>4010</v>
      </c>
      <c r="B1133" s="1669" t="s">
        <v>680</v>
      </c>
      <c r="C1133" s="1389">
        <v>1336000</v>
      </c>
      <c r="D1133" s="830">
        <f t="shared" si="156"/>
        <v>1336000</v>
      </c>
      <c r="E1133" s="1390">
        <f t="shared" si="162"/>
        <v>614352</v>
      </c>
      <c r="F1133" s="1366">
        <f t="shared" si="159"/>
        <v>45.98443113772455</v>
      </c>
      <c r="G1133" s="1390"/>
      <c r="H1133" s="1445"/>
      <c r="I1133" s="1446"/>
      <c r="J1133" s="1445"/>
      <c r="K1133" s="1390"/>
      <c r="L1133" s="1446"/>
      <c r="M1133" s="1389">
        <v>1336000</v>
      </c>
      <c r="N1133" s="1390">
        <v>614352</v>
      </c>
      <c r="O1133" s="1395">
        <f t="shared" si="161"/>
        <v>45.98443113772455</v>
      </c>
      <c r="P1133" s="1390"/>
      <c r="Q1133" s="1390"/>
      <c r="R1133" s="1454"/>
    </row>
    <row r="1134" spans="1:18" s="1435" customFormat="1" ht="24">
      <c r="A1134" s="1443">
        <v>4040</v>
      </c>
      <c r="B1134" s="1669" t="s">
        <v>684</v>
      </c>
      <c r="C1134" s="1389">
        <v>109600</v>
      </c>
      <c r="D1134" s="830">
        <f t="shared" si="156"/>
        <v>108955</v>
      </c>
      <c r="E1134" s="1390">
        <f t="shared" si="162"/>
        <v>104498</v>
      </c>
      <c r="F1134" s="1366">
        <f t="shared" si="159"/>
        <v>95.90932036161718</v>
      </c>
      <c r="G1134" s="1390"/>
      <c r="H1134" s="1445"/>
      <c r="I1134" s="1446"/>
      <c r="J1134" s="1445"/>
      <c r="K1134" s="1390"/>
      <c r="L1134" s="1446"/>
      <c r="M1134" s="1389">
        <f>109600-645</f>
        <v>108955</v>
      </c>
      <c r="N1134" s="1390">
        <v>104498</v>
      </c>
      <c r="O1134" s="1584">
        <f t="shared" si="161"/>
        <v>95.90932036161718</v>
      </c>
      <c r="P1134" s="1390"/>
      <c r="Q1134" s="1390"/>
      <c r="R1134" s="1454"/>
    </row>
    <row r="1135" spans="1:18" s="1435" customFormat="1" ht="24">
      <c r="A1135" s="1443">
        <v>4110</v>
      </c>
      <c r="B1135" s="1669" t="s">
        <v>686</v>
      </c>
      <c r="C1135" s="1389">
        <v>239000</v>
      </c>
      <c r="D1135" s="830">
        <f t="shared" si="156"/>
        <v>239000</v>
      </c>
      <c r="E1135" s="1390">
        <f t="shared" si="162"/>
        <v>117948</v>
      </c>
      <c r="F1135" s="1366">
        <f t="shared" si="159"/>
        <v>49.350627615062756</v>
      </c>
      <c r="G1135" s="1390"/>
      <c r="H1135" s="1445"/>
      <c r="I1135" s="1446"/>
      <c r="J1135" s="1445"/>
      <c r="K1135" s="1390"/>
      <c r="L1135" s="1446"/>
      <c r="M1135" s="1389">
        <v>239000</v>
      </c>
      <c r="N1135" s="1390">
        <v>117948</v>
      </c>
      <c r="O1135" s="1395">
        <f t="shared" si="161"/>
        <v>49.350627615062756</v>
      </c>
      <c r="P1135" s="1390"/>
      <c r="Q1135" s="1390"/>
      <c r="R1135" s="1454"/>
    </row>
    <row r="1136" spans="1:18" s="1435" customFormat="1" ht="12.75">
      <c r="A1136" s="1443">
        <v>4120</v>
      </c>
      <c r="B1136" s="1669" t="s">
        <v>781</v>
      </c>
      <c r="C1136" s="1389">
        <v>35000</v>
      </c>
      <c r="D1136" s="830">
        <f t="shared" si="156"/>
        <v>35000</v>
      </c>
      <c r="E1136" s="1390">
        <f t="shared" si="162"/>
        <v>16573</v>
      </c>
      <c r="F1136" s="1366">
        <f t="shared" si="159"/>
        <v>47.35142857142857</v>
      </c>
      <c r="G1136" s="1390"/>
      <c r="H1136" s="1445"/>
      <c r="I1136" s="1446"/>
      <c r="J1136" s="1445"/>
      <c r="K1136" s="1390"/>
      <c r="L1136" s="1446"/>
      <c r="M1136" s="1389">
        <v>35000</v>
      </c>
      <c r="N1136" s="1390">
        <v>16573</v>
      </c>
      <c r="O1136" s="1395">
        <f t="shared" si="161"/>
        <v>47.35142857142857</v>
      </c>
      <c r="P1136" s="1390"/>
      <c r="Q1136" s="1390"/>
      <c r="R1136" s="1454"/>
    </row>
    <row r="1137" spans="1:18" s="1435" customFormat="1" ht="12.75">
      <c r="A1137" s="1443">
        <v>4140</v>
      </c>
      <c r="B1137" s="1669" t="s">
        <v>743</v>
      </c>
      <c r="C1137" s="1389">
        <v>12700</v>
      </c>
      <c r="D1137" s="830">
        <f t="shared" si="156"/>
        <v>12700</v>
      </c>
      <c r="E1137" s="1390">
        <f t="shared" si="162"/>
        <v>5269</v>
      </c>
      <c r="F1137" s="1366">
        <f t="shared" si="159"/>
        <v>41.488188976377955</v>
      </c>
      <c r="G1137" s="1390"/>
      <c r="H1137" s="1445"/>
      <c r="I1137" s="1446"/>
      <c r="J1137" s="1445"/>
      <c r="K1137" s="1390"/>
      <c r="L1137" s="1446"/>
      <c r="M1137" s="1389">
        <v>12700</v>
      </c>
      <c r="N1137" s="1390">
        <v>5269</v>
      </c>
      <c r="O1137" s="1395">
        <f t="shared" si="161"/>
        <v>41.488188976377955</v>
      </c>
      <c r="P1137" s="1390"/>
      <c r="Q1137" s="1390"/>
      <c r="R1137" s="1454"/>
    </row>
    <row r="1138" spans="1:18" s="1435" customFormat="1" ht="24">
      <c r="A1138" s="1443">
        <v>4170</v>
      </c>
      <c r="B1138" s="1669" t="s">
        <v>744</v>
      </c>
      <c r="C1138" s="1389">
        <v>20000</v>
      </c>
      <c r="D1138" s="830">
        <f t="shared" si="156"/>
        <v>20000</v>
      </c>
      <c r="E1138" s="1390">
        <f t="shared" si="162"/>
        <v>2292</v>
      </c>
      <c r="F1138" s="1366">
        <f t="shared" si="159"/>
        <v>11.459999999999999</v>
      </c>
      <c r="G1138" s="1390"/>
      <c r="H1138" s="1445"/>
      <c r="I1138" s="1446"/>
      <c r="J1138" s="1445"/>
      <c r="K1138" s="1390"/>
      <c r="L1138" s="1446"/>
      <c r="M1138" s="1389">
        <v>20000</v>
      </c>
      <c r="N1138" s="1390">
        <v>2292</v>
      </c>
      <c r="O1138" s="1395">
        <f t="shared" si="161"/>
        <v>11.459999999999999</v>
      </c>
      <c r="P1138" s="1390"/>
      <c r="Q1138" s="1390"/>
      <c r="R1138" s="1454"/>
    </row>
    <row r="1139" spans="1:18" s="1435" customFormat="1" ht="24">
      <c r="A1139" s="1443">
        <v>4210</v>
      </c>
      <c r="B1139" s="1669" t="s">
        <v>690</v>
      </c>
      <c r="C1139" s="1389">
        <v>75000</v>
      </c>
      <c r="D1139" s="830">
        <f t="shared" si="156"/>
        <v>75000</v>
      </c>
      <c r="E1139" s="1390">
        <f t="shared" si="162"/>
        <v>25272</v>
      </c>
      <c r="F1139" s="1366">
        <f t="shared" si="159"/>
        <v>33.696</v>
      </c>
      <c r="G1139" s="1390"/>
      <c r="H1139" s="1445"/>
      <c r="I1139" s="1446"/>
      <c r="J1139" s="1445"/>
      <c r="K1139" s="1390"/>
      <c r="L1139" s="1446"/>
      <c r="M1139" s="1389">
        <v>75000</v>
      </c>
      <c r="N1139" s="1390">
        <v>25272</v>
      </c>
      <c r="O1139" s="1395">
        <f t="shared" si="161"/>
        <v>33.696</v>
      </c>
      <c r="P1139" s="1390"/>
      <c r="Q1139" s="1390"/>
      <c r="R1139" s="1454"/>
    </row>
    <row r="1140" spans="1:18" s="1435" customFormat="1" ht="36">
      <c r="A1140" s="1443">
        <v>4240</v>
      </c>
      <c r="B1140" s="1669" t="s">
        <v>45</v>
      </c>
      <c r="C1140" s="1389">
        <v>1000</v>
      </c>
      <c r="D1140" s="830">
        <f t="shared" si="156"/>
        <v>1000</v>
      </c>
      <c r="E1140" s="1390">
        <f t="shared" si="162"/>
        <v>0</v>
      </c>
      <c r="F1140" s="1366">
        <f>E1140/D1140*100</f>
        <v>0</v>
      </c>
      <c r="G1140" s="1390"/>
      <c r="H1140" s="1445"/>
      <c r="I1140" s="1446"/>
      <c r="J1140" s="1445"/>
      <c r="K1140" s="1390"/>
      <c r="L1140" s="1446"/>
      <c r="M1140" s="1389">
        <v>1000</v>
      </c>
      <c r="N1140" s="1390"/>
      <c r="O1140" s="1395">
        <f t="shared" si="161"/>
        <v>0</v>
      </c>
      <c r="P1140" s="1390"/>
      <c r="Q1140" s="1390"/>
      <c r="R1140" s="1454"/>
    </row>
    <row r="1141" spans="1:18" s="1435" customFormat="1" ht="12.75">
      <c r="A1141" s="1443">
        <v>4260</v>
      </c>
      <c r="B1141" s="1669" t="s">
        <v>694</v>
      </c>
      <c r="C1141" s="1389">
        <v>400000</v>
      </c>
      <c r="D1141" s="830">
        <f t="shared" si="156"/>
        <v>400000</v>
      </c>
      <c r="E1141" s="1390">
        <f t="shared" si="162"/>
        <v>236819</v>
      </c>
      <c r="F1141" s="1366">
        <f t="shared" si="159"/>
        <v>59.20475</v>
      </c>
      <c r="G1141" s="1390"/>
      <c r="H1141" s="1445"/>
      <c r="I1141" s="1446"/>
      <c r="J1141" s="1445"/>
      <c r="K1141" s="1390"/>
      <c r="L1141" s="1446"/>
      <c r="M1141" s="1389">
        <v>400000</v>
      </c>
      <c r="N1141" s="1390">
        <f>236818+1</f>
        <v>236819</v>
      </c>
      <c r="O1141" s="1395">
        <f t="shared" si="161"/>
        <v>59.20475</v>
      </c>
      <c r="P1141" s="1390"/>
      <c r="Q1141" s="1390"/>
      <c r="R1141" s="1454"/>
    </row>
    <row r="1142" spans="1:18" s="1435" customFormat="1" ht="15.75" customHeight="1">
      <c r="A1142" s="1443">
        <v>4270</v>
      </c>
      <c r="B1142" s="1669" t="s">
        <v>696</v>
      </c>
      <c r="C1142" s="1389">
        <v>16000</v>
      </c>
      <c r="D1142" s="830">
        <f t="shared" si="156"/>
        <v>16000</v>
      </c>
      <c r="E1142" s="1390">
        <f t="shared" si="162"/>
        <v>5054</v>
      </c>
      <c r="F1142" s="1366">
        <f t="shared" si="159"/>
        <v>31.587500000000002</v>
      </c>
      <c r="G1142" s="1390"/>
      <c r="H1142" s="1445"/>
      <c r="I1142" s="1446"/>
      <c r="J1142" s="1445"/>
      <c r="K1142" s="1390"/>
      <c r="L1142" s="1446"/>
      <c r="M1142" s="1389">
        <v>16000</v>
      </c>
      <c r="N1142" s="1390">
        <v>5054</v>
      </c>
      <c r="O1142" s="1395">
        <f t="shared" si="161"/>
        <v>31.587500000000002</v>
      </c>
      <c r="P1142" s="1390"/>
      <c r="Q1142" s="1390"/>
      <c r="R1142" s="1454"/>
    </row>
    <row r="1143" spans="1:18" s="1435" customFormat="1" ht="15.75" customHeight="1">
      <c r="A1143" s="1443">
        <v>4280</v>
      </c>
      <c r="B1143" s="1669" t="s">
        <v>745</v>
      </c>
      <c r="C1143" s="1389">
        <v>3900</v>
      </c>
      <c r="D1143" s="830">
        <f t="shared" si="156"/>
        <v>3900</v>
      </c>
      <c r="E1143" s="1390">
        <f t="shared" si="162"/>
        <v>564</v>
      </c>
      <c r="F1143" s="1366">
        <f t="shared" si="159"/>
        <v>14.461538461538462</v>
      </c>
      <c r="G1143" s="1390"/>
      <c r="H1143" s="1445"/>
      <c r="I1143" s="1446"/>
      <c r="J1143" s="1445"/>
      <c r="K1143" s="1390"/>
      <c r="L1143" s="1446"/>
      <c r="M1143" s="1389">
        <v>3900</v>
      </c>
      <c r="N1143" s="1390">
        <v>564</v>
      </c>
      <c r="O1143" s="1395">
        <f t="shared" si="161"/>
        <v>14.461538461538462</v>
      </c>
      <c r="P1143" s="1390"/>
      <c r="Q1143" s="1390"/>
      <c r="R1143" s="1454"/>
    </row>
    <row r="1144" spans="1:18" s="1435" customFormat="1" ht="12.75" customHeight="1">
      <c r="A1144" s="1443">
        <v>4300</v>
      </c>
      <c r="B1144" s="1669" t="s">
        <v>698</v>
      </c>
      <c r="C1144" s="1389">
        <v>110000</v>
      </c>
      <c r="D1144" s="830">
        <f t="shared" si="156"/>
        <v>110000</v>
      </c>
      <c r="E1144" s="1390">
        <f t="shared" si="162"/>
        <v>33842</v>
      </c>
      <c r="F1144" s="1366">
        <f t="shared" si="159"/>
        <v>30.765454545454546</v>
      </c>
      <c r="G1144" s="1390"/>
      <c r="H1144" s="1445"/>
      <c r="I1144" s="1446"/>
      <c r="J1144" s="1445"/>
      <c r="K1144" s="1390"/>
      <c r="L1144" s="1446"/>
      <c r="M1144" s="1389">
        <v>110000</v>
      </c>
      <c r="N1144" s="1390">
        <f>33841+1</f>
        <v>33842</v>
      </c>
      <c r="O1144" s="1395">
        <f t="shared" si="161"/>
        <v>30.765454545454546</v>
      </c>
      <c r="P1144" s="1390"/>
      <c r="Q1144" s="1390"/>
      <c r="R1144" s="1454"/>
    </row>
    <row r="1145" spans="1:18" s="1435" customFormat="1" ht="24">
      <c r="A1145" s="1443">
        <v>4350</v>
      </c>
      <c r="B1145" s="1669" t="s">
        <v>869</v>
      </c>
      <c r="C1145" s="1389">
        <v>5800</v>
      </c>
      <c r="D1145" s="830">
        <f t="shared" si="156"/>
        <v>5800</v>
      </c>
      <c r="E1145" s="1390">
        <f t="shared" si="162"/>
        <v>1385</v>
      </c>
      <c r="F1145" s="1366">
        <f t="shared" si="159"/>
        <v>23.879310344827587</v>
      </c>
      <c r="G1145" s="1390"/>
      <c r="H1145" s="1445"/>
      <c r="I1145" s="1446"/>
      <c r="J1145" s="1445"/>
      <c r="K1145" s="1390"/>
      <c r="L1145" s="1446"/>
      <c r="M1145" s="1389">
        <v>5800</v>
      </c>
      <c r="N1145" s="1390">
        <v>1385</v>
      </c>
      <c r="O1145" s="1395">
        <f t="shared" si="161"/>
        <v>23.879310344827587</v>
      </c>
      <c r="P1145" s="1390"/>
      <c r="Q1145" s="1390"/>
      <c r="R1145" s="1454"/>
    </row>
    <row r="1146" spans="1:18" s="1435" customFormat="1" ht="16.5" customHeight="1">
      <c r="A1146" s="1443">
        <v>4410</v>
      </c>
      <c r="B1146" s="1669" t="s">
        <v>672</v>
      </c>
      <c r="C1146" s="1389">
        <v>3300</v>
      </c>
      <c r="D1146" s="830">
        <f t="shared" si="156"/>
        <v>3300</v>
      </c>
      <c r="E1146" s="1390">
        <f t="shared" si="162"/>
        <v>1886</v>
      </c>
      <c r="F1146" s="1366">
        <f t="shared" si="159"/>
        <v>57.151515151515156</v>
      </c>
      <c r="G1146" s="1390"/>
      <c r="H1146" s="1445"/>
      <c r="I1146" s="1446"/>
      <c r="J1146" s="1445"/>
      <c r="K1146" s="1390"/>
      <c r="L1146" s="1446"/>
      <c r="M1146" s="1389">
        <v>3300</v>
      </c>
      <c r="N1146" s="1390">
        <v>1886</v>
      </c>
      <c r="O1146" s="1395">
        <f t="shared" si="161"/>
        <v>57.151515151515156</v>
      </c>
      <c r="P1146" s="1390"/>
      <c r="Q1146" s="1390"/>
      <c r="R1146" s="1454"/>
    </row>
    <row r="1147" spans="1:18" s="1435" customFormat="1" ht="12.75">
      <c r="A1147" s="1443">
        <v>4440</v>
      </c>
      <c r="B1147" s="1669" t="s">
        <v>702</v>
      </c>
      <c r="C1147" s="1389">
        <v>73900</v>
      </c>
      <c r="D1147" s="830">
        <f>G1147+J1147+P1147+M1147</f>
        <v>73900</v>
      </c>
      <c r="E1147" s="1390">
        <f>SUM(H1147+K1147+N1147+Q1147)</f>
        <v>58900</v>
      </c>
      <c r="F1147" s="1366">
        <f>E1147/D1147*100</f>
        <v>79.70230040595399</v>
      </c>
      <c r="G1147" s="1390"/>
      <c r="H1147" s="1445"/>
      <c r="I1147" s="1446"/>
      <c r="J1147" s="1445"/>
      <c r="K1147" s="1390"/>
      <c r="L1147" s="1446"/>
      <c r="M1147" s="1389">
        <v>73900</v>
      </c>
      <c r="N1147" s="1390">
        <v>58900</v>
      </c>
      <c r="O1147" s="1584">
        <f>N1147/M1147*100</f>
        <v>79.70230040595399</v>
      </c>
      <c r="P1147" s="1390"/>
      <c r="Q1147" s="1390"/>
      <c r="R1147" s="1454"/>
    </row>
    <row r="1148" spans="1:18" s="1435" customFormat="1" ht="24">
      <c r="A1148" s="1443">
        <v>6050</v>
      </c>
      <c r="B1148" s="1669" t="s">
        <v>767</v>
      </c>
      <c r="C1148" s="1389">
        <v>160000</v>
      </c>
      <c r="D1148" s="830">
        <f t="shared" si="156"/>
        <v>160000</v>
      </c>
      <c r="E1148" s="1390">
        <f t="shared" si="162"/>
        <v>0</v>
      </c>
      <c r="F1148" s="1366">
        <f t="shared" si="159"/>
        <v>0</v>
      </c>
      <c r="G1148" s="1390"/>
      <c r="H1148" s="1445"/>
      <c r="I1148" s="1446"/>
      <c r="J1148" s="1445"/>
      <c r="K1148" s="1390"/>
      <c r="L1148" s="1446"/>
      <c r="M1148" s="1389">
        <v>160000</v>
      </c>
      <c r="N1148" s="1390"/>
      <c r="O1148" s="1395">
        <f t="shared" si="161"/>
        <v>0</v>
      </c>
      <c r="P1148" s="1390"/>
      <c r="Q1148" s="1390"/>
      <c r="R1148" s="1454"/>
    </row>
    <row r="1149" spans="1:18" s="1435" customFormat="1" ht="12.75" hidden="1">
      <c r="A1149" s="1492">
        <v>4480</v>
      </c>
      <c r="B1149" s="1670" t="s">
        <v>198</v>
      </c>
      <c r="C1149" s="1389"/>
      <c r="D1149" s="830">
        <f t="shared" si="156"/>
        <v>0</v>
      </c>
      <c r="E1149" s="1390">
        <f t="shared" si="162"/>
        <v>0</v>
      </c>
      <c r="F1149" s="1366"/>
      <c r="G1149" s="1487"/>
      <c r="H1149" s="1495"/>
      <c r="I1149" s="1551"/>
      <c r="J1149" s="1495"/>
      <c r="K1149" s="1487"/>
      <c r="L1149" s="1551"/>
      <c r="M1149" s="1389">
        <f>1296-1296</f>
        <v>0</v>
      </c>
      <c r="N1149" s="1390"/>
      <c r="O1149" s="1395"/>
      <c r="P1149" s="1487"/>
      <c r="Q1149" s="1487"/>
      <c r="R1149" s="1539"/>
    </row>
    <row r="1150" spans="1:18" s="1471" customFormat="1" ht="26.25" customHeight="1" hidden="1">
      <c r="A1150" s="1479">
        <v>85415</v>
      </c>
      <c r="B1150" s="1710" t="s">
        <v>48</v>
      </c>
      <c r="C1150" s="823"/>
      <c r="D1150" s="845">
        <f t="shared" si="156"/>
        <v>0</v>
      </c>
      <c r="E1150" s="1390">
        <f t="shared" si="162"/>
        <v>0</v>
      </c>
      <c r="F1150" s="1398" t="e">
        <f aca="true" t="shared" si="163" ref="F1150:F1180">E1150/D1150*100</f>
        <v>#DIV/0!</v>
      </c>
      <c r="G1150" s="845">
        <f>SUM(G1151)</f>
        <v>0</v>
      </c>
      <c r="H1150" s="845">
        <f>SUM(H1151)</f>
        <v>0</v>
      </c>
      <c r="I1150" s="1400" t="e">
        <f aca="true" t="shared" si="164" ref="I1150:I1203">H1150/G1150*100</f>
        <v>#DIV/0!</v>
      </c>
      <c r="J1150" s="1510"/>
      <c r="K1150" s="845"/>
      <c r="L1150" s="1441"/>
      <c r="M1150" s="845">
        <f>SUM(M1151)</f>
        <v>0</v>
      </c>
      <c r="N1150" s="845">
        <f>SUM(N1151)</f>
        <v>0</v>
      </c>
      <c r="O1150" s="1483" t="e">
        <f aca="true" t="shared" si="165" ref="O1150:O1160">N1150/M1150*100</f>
        <v>#DIV/0!</v>
      </c>
      <c r="P1150" s="845"/>
      <c r="Q1150" s="845"/>
      <c r="R1150" s="826"/>
    </row>
    <row r="1151" spans="1:18" s="1435" customFormat="1" ht="24" hidden="1">
      <c r="A1151" s="1443">
        <v>3240</v>
      </c>
      <c r="B1151" s="1669" t="s">
        <v>49</v>
      </c>
      <c r="C1151" s="1389"/>
      <c r="D1151" s="830">
        <f t="shared" si="156"/>
        <v>0</v>
      </c>
      <c r="E1151" s="1390">
        <f t="shared" si="162"/>
        <v>0</v>
      </c>
      <c r="F1151" s="1729" t="e">
        <f t="shared" si="163"/>
        <v>#DIV/0!</v>
      </c>
      <c r="G1151" s="1390">
        <v>0</v>
      </c>
      <c r="H1151" s="1514">
        <v>0</v>
      </c>
      <c r="I1151" s="1732" t="e">
        <f t="shared" si="164"/>
        <v>#DIV/0!</v>
      </c>
      <c r="J1151" s="1445"/>
      <c r="K1151" s="1390"/>
      <c r="L1151" s="1446"/>
      <c r="M1151" s="1390">
        <v>0</v>
      </c>
      <c r="N1151" s="1390">
        <v>0</v>
      </c>
      <c r="O1151" s="1733" t="e">
        <f t="shared" si="165"/>
        <v>#DIV/0!</v>
      </c>
      <c r="P1151" s="1390"/>
      <c r="Q1151" s="1390"/>
      <c r="R1151" s="1454"/>
    </row>
    <row r="1152" spans="1:18" s="1435" customFormat="1" ht="24">
      <c r="A1152" s="1479">
        <v>85415</v>
      </c>
      <c r="B1152" s="1710" t="s">
        <v>48</v>
      </c>
      <c r="C1152" s="823">
        <f>SUM(C1153:C1154)</f>
        <v>565300</v>
      </c>
      <c r="D1152" s="845">
        <f t="shared" si="156"/>
        <v>1320920</v>
      </c>
      <c r="E1152" s="845">
        <f t="shared" si="162"/>
        <v>906787</v>
      </c>
      <c r="F1152" s="1398">
        <f t="shared" si="163"/>
        <v>68.64813917572602</v>
      </c>
      <c r="G1152" s="845">
        <f>SUM(G1153:G1160)</f>
        <v>388404</v>
      </c>
      <c r="H1152" s="845">
        <f>SUM(H1153:H1160)</f>
        <v>356511</v>
      </c>
      <c r="I1152" s="1400">
        <f t="shared" si="164"/>
        <v>91.78870454475238</v>
      </c>
      <c r="J1152" s="1510"/>
      <c r="K1152" s="845"/>
      <c r="L1152" s="1441"/>
      <c r="M1152" s="845">
        <f>SUM(M1153:M1154)</f>
        <v>932516</v>
      </c>
      <c r="N1152" s="845">
        <f>SUM(N1153:N1154)</f>
        <v>550276</v>
      </c>
      <c r="O1152" s="1388">
        <f t="shared" si="165"/>
        <v>59.00981859828679</v>
      </c>
      <c r="P1152" s="845"/>
      <c r="Q1152" s="845"/>
      <c r="R1152" s="826"/>
    </row>
    <row r="1153" spans="1:18" s="1435" customFormat="1" ht="12.75">
      <c r="A1153" s="1443">
        <v>3240</v>
      </c>
      <c r="B1153" s="1669" t="s">
        <v>1284</v>
      </c>
      <c r="C1153" s="1389">
        <v>37000</v>
      </c>
      <c r="D1153" s="830">
        <f t="shared" si="156"/>
        <v>786004</v>
      </c>
      <c r="E1153" s="1390">
        <f t="shared" si="162"/>
        <v>377950</v>
      </c>
      <c r="F1153" s="1366">
        <f t="shared" si="163"/>
        <v>48.084997022915914</v>
      </c>
      <c r="G1153" s="1390">
        <f>7000+105589+275815</f>
        <v>388404</v>
      </c>
      <c r="H1153" s="1514">
        <v>356511</v>
      </c>
      <c r="I1153" s="1732">
        <f t="shared" si="164"/>
        <v>91.78870454475238</v>
      </c>
      <c r="J1153" s="1445"/>
      <c r="K1153" s="1390"/>
      <c r="L1153" s="1446"/>
      <c r="M1153" s="1390">
        <f>30000+367600</f>
        <v>397600</v>
      </c>
      <c r="N1153" s="1390">
        <v>21439</v>
      </c>
      <c r="O1153" s="1369">
        <f t="shared" si="165"/>
        <v>5.392102615694165</v>
      </c>
      <c r="P1153" s="1390"/>
      <c r="Q1153" s="1390"/>
      <c r="R1153" s="1454"/>
    </row>
    <row r="1154" spans="1:18" s="1471" customFormat="1" ht="60">
      <c r="A1154" s="1461"/>
      <c r="B1154" s="2941" t="s">
        <v>1285</v>
      </c>
      <c r="C1154" s="1463">
        <f>SUM(C1155:C1160)</f>
        <v>528300</v>
      </c>
      <c r="D1154" s="1465">
        <f t="shared" si="156"/>
        <v>534916</v>
      </c>
      <c r="E1154" s="1465">
        <f t="shared" si="162"/>
        <v>528837</v>
      </c>
      <c r="F1154" s="1366">
        <f t="shared" si="163"/>
        <v>98.86355988603817</v>
      </c>
      <c r="G1154" s="1465"/>
      <c r="H1154" s="1466"/>
      <c r="I1154" s="1732"/>
      <c r="J1154" s="1466"/>
      <c r="K1154" s="1465"/>
      <c r="L1154" s="1526"/>
      <c r="M1154" s="1465">
        <f>SUM(M1155:M1160)</f>
        <v>534916</v>
      </c>
      <c r="N1154" s="1465">
        <f>SUM(N1155:N1160)</f>
        <v>528837</v>
      </c>
      <c r="O1154" s="1395">
        <f t="shared" si="165"/>
        <v>98.86355988603817</v>
      </c>
      <c r="P1154" s="1465"/>
      <c r="Q1154" s="1465"/>
      <c r="R1154" s="880"/>
    </row>
    <row r="1155" spans="1:18" s="1435" customFormat="1" ht="12.75">
      <c r="A1155" s="1443">
        <v>3248</v>
      </c>
      <c r="B1155" s="1669" t="s">
        <v>1284</v>
      </c>
      <c r="C1155" s="1389">
        <v>355832</v>
      </c>
      <c r="D1155" s="830">
        <f t="shared" si="156"/>
        <v>360535</v>
      </c>
      <c r="E1155" s="1390">
        <f t="shared" si="162"/>
        <v>358209</v>
      </c>
      <c r="F1155" s="1366">
        <f t="shared" si="163"/>
        <v>99.35484765695425</v>
      </c>
      <c r="G1155" s="1390"/>
      <c r="H1155" s="1514"/>
      <c r="I1155" s="1732"/>
      <c r="J1155" s="1445"/>
      <c r="K1155" s="1390"/>
      <c r="L1155" s="1446"/>
      <c r="M1155" s="1389">
        <f>355832+4703</f>
        <v>360535</v>
      </c>
      <c r="N1155" s="1390">
        <v>358209</v>
      </c>
      <c r="O1155" s="1395">
        <f t="shared" si="165"/>
        <v>99.35484765695425</v>
      </c>
      <c r="P1155" s="1390"/>
      <c r="Q1155" s="1390"/>
      <c r="R1155" s="1454"/>
    </row>
    <row r="1156" spans="1:18" s="1435" customFormat="1" ht="12.75">
      <c r="A1156" s="1443">
        <v>3249</v>
      </c>
      <c r="B1156" s="1669" t="s">
        <v>1284</v>
      </c>
      <c r="C1156" s="1389">
        <v>167058</v>
      </c>
      <c r="D1156" s="830">
        <f t="shared" si="156"/>
        <v>168978</v>
      </c>
      <c r="E1156" s="1390">
        <f t="shared" si="162"/>
        <v>168182</v>
      </c>
      <c r="F1156" s="1366">
        <f t="shared" si="163"/>
        <v>99.5289327604777</v>
      </c>
      <c r="G1156" s="1390"/>
      <c r="H1156" s="1514"/>
      <c r="I1156" s="1732"/>
      <c r="J1156" s="1445"/>
      <c r="K1156" s="1390"/>
      <c r="L1156" s="1446"/>
      <c r="M1156" s="1389">
        <f>167058+1920</f>
        <v>168978</v>
      </c>
      <c r="N1156" s="1390">
        <v>168182</v>
      </c>
      <c r="O1156" s="1395">
        <f t="shared" si="165"/>
        <v>99.5289327604777</v>
      </c>
      <c r="P1156" s="1390"/>
      <c r="Q1156" s="1390"/>
      <c r="R1156" s="1454"/>
    </row>
    <row r="1157" spans="1:18" s="1435" customFormat="1" ht="24">
      <c r="A1157" s="1443">
        <v>4218</v>
      </c>
      <c r="B1157" s="1669" t="s">
        <v>690</v>
      </c>
      <c r="C1157" s="1389">
        <v>2763</v>
      </c>
      <c r="D1157" s="830">
        <f t="shared" si="156"/>
        <v>2763</v>
      </c>
      <c r="E1157" s="1390">
        <f t="shared" si="162"/>
        <v>1664</v>
      </c>
      <c r="F1157" s="1366">
        <f t="shared" si="163"/>
        <v>60.22439377488238</v>
      </c>
      <c r="G1157" s="1390"/>
      <c r="H1157" s="1514"/>
      <c r="I1157" s="1732"/>
      <c r="J1157" s="1445"/>
      <c r="K1157" s="1390"/>
      <c r="L1157" s="1446"/>
      <c r="M1157" s="1389">
        <v>2763</v>
      </c>
      <c r="N1157" s="1390">
        <v>1664</v>
      </c>
      <c r="O1157" s="1395">
        <f t="shared" si="165"/>
        <v>60.22439377488238</v>
      </c>
      <c r="P1157" s="1390"/>
      <c r="Q1157" s="1390"/>
      <c r="R1157" s="1454"/>
    </row>
    <row r="1158" spans="1:18" s="1435" customFormat="1" ht="24">
      <c r="A1158" s="1443">
        <v>4219</v>
      </c>
      <c r="B1158" s="1669" t="s">
        <v>690</v>
      </c>
      <c r="C1158" s="1389">
        <v>1297</v>
      </c>
      <c r="D1158" s="830">
        <f>G1158+J1158+P1158+M1158</f>
        <v>1297</v>
      </c>
      <c r="E1158" s="1390">
        <f>SUM(H1158+K1158+N1158+Q1158)</f>
        <v>782</v>
      </c>
      <c r="F1158" s="1366">
        <f t="shared" si="163"/>
        <v>60.292983808789515</v>
      </c>
      <c r="G1158" s="1390"/>
      <c r="H1158" s="1514"/>
      <c r="I1158" s="1732"/>
      <c r="J1158" s="1445"/>
      <c r="K1158" s="1390"/>
      <c r="L1158" s="1446"/>
      <c r="M1158" s="1389">
        <v>1297</v>
      </c>
      <c r="N1158" s="1390">
        <f>781+1</f>
        <v>782</v>
      </c>
      <c r="O1158" s="1395">
        <f t="shared" si="165"/>
        <v>60.292983808789515</v>
      </c>
      <c r="P1158" s="1390"/>
      <c r="Q1158" s="1390"/>
      <c r="R1158" s="1454"/>
    </row>
    <row r="1159" spans="1:18" s="1435" customFormat="1" ht="12.75">
      <c r="A1159" s="1443">
        <v>4308</v>
      </c>
      <c r="B1159" s="1669" t="s">
        <v>698</v>
      </c>
      <c r="C1159" s="1389">
        <v>930</v>
      </c>
      <c r="D1159" s="830">
        <f>G1159+J1159+P1159+M1159</f>
        <v>914</v>
      </c>
      <c r="E1159" s="1390">
        <f>SUM(H1159+K1159+N1159+Q1159)</f>
        <v>0</v>
      </c>
      <c r="F1159" s="1366">
        <f t="shared" si="163"/>
        <v>0</v>
      </c>
      <c r="G1159" s="1390"/>
      <c r="H1159" s="1514"/>
      <c r="I1159" s="1732"/>
      <c r="J1159" s="1445"/>
      <c r="K1159" s="1390"/>
      <c r="L1159" s="1446"/>
      <c r="M1159" s="1389">
        <f>930-16</f>
        <v>914</v>
      </c>
      <c r="N1159" s="1390"/>
      <c r="O1159" s="1395">
        <f t="shared" si="165"/>
        <v>0</v>
      </c>
      <c r="P1159" s="1390"/>
      <c r="Q1159" s="1390"/>
      <c r="R1159" s="1454"/>
    </row>
    <row r="1160" spans="1:18" s="1435" customFormat="1" ht="12.75">
      <c r="A1160" s="1443">
        <v>4309</v>
      </c>
      <c r="B1160" s="1669" t="s">
        <v>698</v>
      </c>
      <c r="C1160" s="1389">
        <v>420</v>
      </c>
      <c r="D1160" s="830">
        <f aca="true" t="shared" si="166" ref="D1160:D1181">G1160+J1160+P1160+M1160</f>
        <v>429</v>
      </c>
      <c r="E1160" s="1390">
        <f t="shared" si="162"/>
        <v>0</v>
      </c>
      <c r="F1160" s="1366">
        <f t="shared" si="163"/>
        <v>0</v>
      </c>
      <c r="G1160" s="1487"/>
      <c r="H1160" s="1516"/>
      <c r="I1160" s="1732"/>
      <c r="J1160" s="1495"/>
      <c r="K1160" s="1390"/>
      <c r="L1160" s="1446"/>
      <c r="M1160" s="1389">
        <f>420+9</f>
        <v>429</v>
      </c>
      <c r="N1160" s="1487"/>
      <c r="O1160" s="1395">
        <f t="shared" si="165"/>
        <v>0</v>
      </c>
      <c r="P1160" s="1487"/>
      <c r="Q1160" s="1487"/>
      <c r="R1160" s="1539"/>
    </row>
    <row r="1161" spans="1:18" s="1471" customFormat="1" ht="24">
      <c r="A1161" s="1479">
        <v>85417</v>
      </c>
      <c r="B1161" s="1710" t="s">
        <v>50</v>
      </c>
      <c r="C1161" s="823">
        <f>SUM(C1162:C1175)</f>
        <v>213500</v>
      </c>
      <c r="D1161" s="845">
        <f t="shared" si="166"/>
        <v>213500</v>
      </c>
      <c r="E1161" s="845">
        <f>H1161+K1161+Q1161+N1161</f>
        <v>104103</v>
      </c>
      <c r="F1161" s="1398">
        <f t="shared" si="163"/>
        <v>48.76018735362997</v>
      </c>
      <c r="G1161" s="845">
        <f>SUM(G1162:G1175)</f>
        <v>213500</v>
      </c>
      <c r="H1161" s="845">
        <f>SUM(H1162:H1175)</f>
        <v>104103</v>
      </c>
      <c r="I1161" s="1734">
        <f t="shared" si="164"/>
        <v>48.76018735362997</v>
      </c>
      <c r="J1161" s="1510"/>
      <c r="K1161" s="845"/>
      <c r="L1161" s="1441"/>
      <c r="M1161" s="845"/>
      <c r="N1161" s="845"/>
      <c r="O1161" s="1483"/>
      <c r="P1161" s="845"/>
      <c r="Q1161" s="845"/>
      <c r="R1161" s="826"/>
    </row>
    <row r="1162" spans="1:18" s="1435" customFormat="1" ht="24">
      <c r="A1162" s="1422">
        <v>4010</v>
      </c>
      <c r="B1162" s="1689" t="s">
        <v>680</v>
      </c>
      <c r="C1162" s="1393">
        <v>107500</v>
      </c>
      <c r="D1162" s="869">
        <f t="shared" si="166"/>
        <v>107500</v>
      </c>
      <c r="E1162" s="1407">
        <f aca="true" t="shared" si="167" ref="E1162:E1180">SUM(H1162+K1162+N1162+Q1162)</f>
        <v>53032</v>
      </c>
      <c r="F1162" s="1391">
        <f t="shared" si="163"/>
        <v>49.332093023255815</v>
      </c>
      <c r="G1162" s="1393">
        <v>107500</v>
      </c>
      <c r="H1162" s="1407">
        <v>53032</v>
      </c>
      <c r="I1162" s="1543">
        <f t="shared" si="164"/>
        <v>49.332093023255815</v>
      </c>
      <c r="J1162" s="1548"/>
      <c r="K1162" s="1407"/>
      <c r="L1162" s="1543"/>
      <c r="M1162" s="1393"/>
      <c r="N1162" s="1407"/>
      <c r="O1162" s="1374"/>
      <c r="P1162" s="1407"/>
      <c r="Q1162" s="1407"/>
      <c r="R1162" s="1549"/>
    </row>
    <row r="1163" spans="1:18" s="1435" customFormat="1" ht="36" hidden="1">
      <c r="A1163" s="1443">
        <v>3020</v>
      </c>
      <c r="B1163" s="1669" t="s">
        <v>739</v>
      </c>
      <c r="C1163" s="1389"/>
      <c r="D1163" s="830">
        <f t="shared" si="166"/>
        <v>0</v>
      </c>
      <c r="E1163" s="1390">
        <f t="shared" si="167"/>
        <v>0</v>
      </c>
      <c r="F1163" s="1366" t="e">
        <f t="shared" si="163"/>
        <v>#DIV/0!</v>
      </c>
      <c r="G1163" s="1389"/>
      <c r="H1163" s="1390"/>
      <c r="I1163" s="1446" t="e">
        <f t="shared" si="164"/>
        <v>#DIV/0!</v>
      </c>
      <c r="J1163" s="1445"/>
      <c r="K1163" s="1390"/>
      <c r="L1163" s="1446"/>
      <c r="M1163" s="1389"/>
      <c r="N1163" s="1390"/>
      <c r="O1163" s="1395"/>
      <c r="P1163" s="1390"/>
      <c r="Q1163" s="1390"/>
      <c r="R1163" s="1447"/>
    </row>
    <row r="1164" spans="1:18" s="1435" customFormat="1" ht="24">
      <c r="A1164" s="1443">
        <v>4040</v>
      </c>
      <c r="B1164" s="1669" t="s">
        <v>684</v>
      </c>
      <c r="C1164" s="1389">
        <v>8900</v>
      </c>
      <c r="D1164" s="830">
        <f t="shared" si="166"/>
        <v>8900</v>
      </c>
      <c r="E1164" s="1390">
        <f t="shared" si="167"/>
        <v>8806</v>
      </c>
      <c r="F1164" s="1366">
        <f t="shared" si="163"/>
        <v>98.9438202247191</v>
      </c>
      <c r="G1164" s="1389">
        <v>8900</v>
      </c>
      <c r="H1164" s="1390">
        <v>8806</v>
      </c>
      <c r="I1164" s="1446">
        <f t="shared" si="164"/>
        <v>98.9438202247191</v>
      </c>
      <c r="J1164" s="1445"/>
      <c r="K1164" s="1390"/>
      <c r="L1164" s="1446"/>
      <c r="M1164" s="1389"/>
      <c r="N1164" s="1390"/>
      <c r="O1164" s="1395"/>
      <c r="P1164" s="1390"/>
      <c r="Q1164" s="1390"/>
      <c r="R1164" s="1447"/>
    </row>
    <row r="1165" spans="1:18" s="1435" customFormat="1" ht="24">
      <c r="A1165" s="1443">
        <v>4110</v>
      </c>
      <c r="B1165" s="1669" t="s">
        <v>686</v>
      </c>
      <c r="C1165" s="1389">
        <v>21200</v>
      </c>
      <c r="D1165" s="830">
        <f t="shared" si="166"/>
        <v>21200</v>
      </c>
      <c r="E1165" s="1390">
        <f t="shared" si="167"/>
        <v>12658</v>
      </c>
      <c r="F1165" s="1366">
        <f t="shared" si="163"/>
        <v>59.70754716981133</v>
      </c>
      <c r="G1165" s="1389">
        <v>21200</v>
      </c>
      <c r="H1165" s="1390">
        <v>12658</v>
      </c>
      <c r="I1165" s="1446">
        <f t="shared" si="164"/>
        <v>59.70754716981133</v>
      </c>
      <c r="J1165" s="1445"/>
      <c r="K1165" s="1390"/>
      <c r="L1165" s="1446"/>
      <c r="M1165" s="1389"/>
      <c r="N1165" s="1390"/>
      <c r="O1165" s="1395"/>
      <c r="P1165" s="1390"/>
      <c r="Q1165" s="1390"/>
      <c r="R1165" s="1447"/>
    </row>
    <row r="1166" spans="1:18" s="1435" customFormat="1" ht="13.5" customHeight="1">
      <c r="A1166" s="1443">
        <v>4120</v>
      </c>
      <c r="B1166" s="1669" t="s">
        <v>781</v>
      </c>
      <c r="C1166" s="1389">
        <v>2900</v>
      </c>
      <c r="D1166" s="830">
        <f t="shared" si="166"/>
        <v>2900</v>
      </c>
      <c r="E1166" s="1390">
        <f t="shared" si="167"/>
        <v>1710</v>
      </c>
      <c r="F1166" s="1366">
        <f t="shared" si="163"/>
        <v>58.9655172413793</v>
      </c>
      <c r="G1166" s="1389">
        <v>2900</v>
      </c>
      <c r="H1166" s="1390">
        <v>1710</v>
      </c>
      <c r="I1166" s="1446">
        <f t="shared" si="164"/>
        <v>58.9655172413793</v>
      </c>
      <c r="J1166" s="1445"/>
      <c r="K1166" s="1390"/>
      <c r="L1166" s="1446"/>
      <c r="M1166" s="1389"/>
      <c r="N1166" s="1390"/>
      <c r="O1166" s="1395"/>
      <c r="P1166" s="1390"/>
      <c r="Q1166" s="1390"/>
      <c r="R1166" s="1447"/>
    </row>
    <row r="1167" spans="1:18" s="1435" customFormat="1" ht="24">
      <c r="A1167" s="1443">
        <v>4170</v>
      </c>
      <c r="B1167" s="1669" t="s">
        <v>744</v>
      </c>
      <c r="C1167" s="1389">
        <v>9100</v>
      </c>
      <c r="D1167" s="830">
        <f t="shared" si="166"/>
        <v>9100</v>
      </c>
      <c r="E1167" s="1390">
        <f t="shared" si="167"/>
        <v>1900</v>
      </c>
      <c r="F1167" s="1366">
        <f t="shared" si="163"/>
        <v>20.87912087912088</v>
      </c>
      <c r="G1167" s="1389">
        <v>9100</v>
      </c>
      <c r="H1167" s="1390">
        <v>1900</v>
      </c>
      <c r="I1167" s="1446">
        <f t="shared" si="164"/>
        <v>20.87912087912088</v>
      </c>
      <c r="J1167" s="1445"/>
      <c r="K1167" s="1390"/>
      <c r="L1167" s="1446"/>
      <c r="M1167" s="1389"/>
      <c r="N1167" s="1390"/>
      <c r="O1167" s="1395"/>
      <c r="P1167" s="1390"/>
      <c r="Q1167" s="1390"/>
      <c r="R1167" s="1447"/>
    </row>
    <row r="1168" spans="1:18" s="1435" customFormat="1" ht="24">
      <c r="A1168" s="1443">
        <v>4210</v>
      </c>
      <c r="B1168" s="1669" t="s">
        <v>690</v>
      </c>
      <c r="C1168" s="1389">
        <v>24000</v>
      </c>
      <c r="D1168" s="830">
        <f t="shared" si="166"/>
        <v>20850</v>
      </c>
      <c r="E1168" s="1390">
        <f t="shared" si="167"/>
        <v>3653</v>
      </c>
      <c r="F1168" s="1366">
        <f t="shared" si="163"/>
        <v>17.520383693045563</v>
      </c>
      <c r="G1168" s="1389">
        <f>24000-3150</f>
        <v>20850</v>
      </c>
      <c r="H1168" s="1390">
        <v>3653</v>
      </c>
      <c r="I1168" s="1446">
        <f t="shared" si="164"/>
        <v>17.520383693045563</v>
      </c>
      <c r="J1168" s="1445"/>
      <c r="K1168" s="1390"/>
      <c r="L1168" s="1446"/>
      <c r="M1168" s="1389"/>
      <c r="N1168" s="1390"/>
      <c r="O1168" s="1395"/>
      <c r="P1168" s="1390"/>
      <c r="Q1168" s="1390"/>
      <c r="R1168" s="1447"/>
    </row>
    <row r="1169" spans="1:18" s="1435" customFormat="1" ht="12.75">
      <c r="A1169" s="1443">
        <v>4260</v>
      </c>
      <c r="B1169" s="1669" t="s">
        <v>694</v>
      </c>
      <c r="C1169" s="1389">
        <v>21300</v>
      </c>
      <c r="D1169" s="830">
        <f t="shared" si="166"/>
        <v>21300</v>
      </c>
      <c r="E1169" s="1390">
        <f t="shared" si="167"/>
        <v>9834</v>
      </c>
      <c r="F1169" s="1366">
        <f t="shared" si="163"/>
        <v>46.16901408450704</v>
      </c>
      <c r="G1169" s="1389">
        <v>21300</v>
      </c>
      <c r="H1169" s="1390">
        <f>9835-1</f>
        <v>9834</v>
      </c>
      <c r="I1169" s="1446">
        <f t="shared" si="164"/>
        <v>46.16901408450704</v>
      </c>
      <c r="J1169" s="1445"/>
      <c r="K1169" s="1390"/>
      <c r="L1169" s="1446"/>
      <c r="M1169" s="1389"/>
      <c r="N1169" s="1390"/>
      <c r="O1169" s="1395"/>
      <c r="P1169" s="1390"/>
      <c r="Q1169" s="1390"/>
      <c r="R1169" s="1447"/>
    </row>
    <row r="1170" spans="1:18" s="1435" customFormat="1" ht="12.75">
      <c r="A1170" s="1443">
        <v>4270</v>
      </c>
      <c r="B1170" s="1669" t="s">
        <v>696</v>
      </c>
      <c r="C1170" s="1389"/>
      <c r="D1170" s="830">
        <f>G1170+J1170+P1170+M1170</f>
        <v>3150</v>
      </c>
      <c r="E1170" s="1390">
        <f>SUM(H1170+K1170+N1170+Q1170)</f>
        <v>2580</v>
      </c>
      <c r="F1170" s="1366">
        <f>E1170/D1170*100</f>
        <v>81.9047619047619</v>
      </c>
      <c r="G1170" s="1389">
        <v>3150</v>
      </c>
      <c r="H1170" s="1390">
        <v>2580</v>
      </c>
      <c r="I1170" s="1446">
        <f t="shared" si="164"/>
        <v>81.9047619047619</v>
      </c>
      <c r="J1170" s="1445"/>
      <c r="K1170" s="1390"/>
      <c r="L1170" s="1446"/>
      <c r="M1170" s="1389"/>
      <c r="N1170" s="1390"/>
      <c r="O1170" s="1395"/>
      <c r="P1170" s="1390"/>
      <c r="Q1170" s="1390"/>
      <c r="R1170" s="1447"/>
    </row>
    <row r="1171" spans="1:18" s="1435" customFormat="1" ht="12.75">
      <c r="A1171" s="1443">
        <v>4300</v>
      </c>
      <c r="B1171" s="1669" t="s">
        <v>698</v>
      </c>
      <c r="C1171" s="1389">
        <v>10900</v>
      </c>
      <c r="D1171" s="830">
        <f t="shared" si="166"/>
        <v>10900</v>
      </c>
      <c r="E1171" s="1390">
        <f t="shared" si="167"/>
        <v>3250</v>
      </c>
      <c r="F1171" s="1366">
        <f t="shared" si="163"/>
        <v>29.81651376146789</v>
      </c>
      <c r="G1171" s="1389">
        <v>10900</v>
      </c>
      <c r="H1171" s="1390">
        <v>3250</v>
      </c>
      <c r="I1171" s="1446">
        <f t="shared" si="164"/>
        <v>29.81651376146789</v>
      </c>
      <c r="J1171" s="1445"/>
      <c r="K1171" s="1390"/>
      <c r="L1171" s="1446"/>
      <c r="M1171" s="1389"/>
      <c r="N1171" s="1390"/>
      <c r="O1171" s="1395"/>
      <c r="P1171" s="1390"/>
      <c r="Q1171" s="1390"/>
      <c r="R1171" s="1447"/>
    </row>
    <row r="1172" spans="1:18" s="1435" customFormat="1" ht="24">
      <c r="A1172" s="1443">
        <v>4350</v>
      </c>
      <c r="B1172" s="1669" t="s">
        <v>869</v>
      </c>
      <c r="C1172" s="1389">
        <v>2100</v>
      </c>
      <c r="D1172" s="830">
        <f t="shared" si="166"/>
        <v>2100</v>
      </c>
      <c r="E1172" s="1390">
        <f t="shared" si="167"/>
        <v>1198</v>
      </c>
      <c r="F1172" s="1366">
        <f t="shared" si="163"/>
        <v>57.047619047619044</v>
      </c>
      <c r="G1172" s="1389">
        <v>2100</v>
      </c>
      <c r="H1172" s="1390">
        <v>1198</v>
      </c>
      <c r="I1172" s="1446">
        <f t="shared" si="164"/>
        <v>57.047619047619044</v>
      </c>
      <c r="J1172" s="1445"/>
      <c r="K1172" s="1390"/>
      <c r="L1172" s="1446"/>
      <c r="M1172" s="1389"/>
      <c r="N1172" s="1390"/>
      <c r="O1172" s="1395"/>
      <c r="P1172" s="1390"/>
      <c r="Q1172" s="1390"/>
      <c r="R1172" s="1447"/>
    </row>
    <row r="1173" spans="1:18" s="1435" customFormat="1" ht="12.75">
      <c r="A1173" s="1443">
        <v>4410</v>
      </c>
      <c r="B1173" s="1669" t="s">
        <v>672</v>
      </c>
      <c r="C1173" s="1389">
        <v>1200</v>
      </c>
      <c r="D1173" s="830">
        <f t="shared" si="166"/>
        <v>1200</v>
      </c>
      <c r="E1173" s="1390">
        <f t="shared" si="167"/>
        <v>1102</v>
      </c>
      <c r="F1173" s="1366">
        <f t="shared" si="163"/>
        <v>91.83333333333333</v>
      </c>
      <c r="G1173" s="1389">
        <v>1200</v>
      </c>
      <c r="H1173" s="1390">
        <v>1102</v>
      </c>
      <c r="I1173" s="1446">
        <f t="shared" si="164"/>
        <v>91.83333333333333</v>
      </c>
      <c r="J1173" s="1445"/>
      <c r="K1173" s="1390"/>
      <c r="L1173" s="1446"/>
      <c r="M1173" s="1389"/>
      <c r="N1173" s="1390"/>
      <c r="O1173" s="1395"/>
      <c r="P1173" s="1390"/>
      <c r="Q1173" s="1390"/>
      <c r="R1173" s="1447"/>
    </row>
    <row r="1174" spans="1:18" s="1435" customFormat="1" ht="24" hidden="1">
      <c r="A1174" s="1443">
        <v>6050</v>
      </c>
      <c r="B1174" s="1669" t="s">
        <v>767</v>
      </c>
      <c r="C1174" s="1389"/>
      <c r="D1174" s="830">
        <f t="shared" si="166"/>
        <v>0</v>
      </c>
      <c r="E1174" s="1390">
        <f t="shared" si="167"/>
        <v>0</v>
      </c>
      <c r="F1174" s="1366" t="e">
        <f t="shared" si="163"/>
        <v>#DIV/0!</v>
      </c>
      <c r="G1174" s="1389"/>
      <c r="H1174" s="1390"/>
      <c r="I1174" s="1446" t="e">
        <f t="shared" si="164"/>
        <v>#DIV/0!</v>
      </c>
      <c r="J1174" s="1445"/>
      <c r="K1174" s="1390"/>
      <c r="L1174" s="1446"/>
      <c r="M1174" s="1389"/>
      <c r="N1174" s="1390"/>
      <c r="O1174" s="1395"/>
      <c r="P1174" s="1390"/>
      <c r="Q1174" s="1390"/>
      <c r="R1174" s="1447"/>
    </row>
    <row r="1175" spans="1:18" s="1435" customFormat="1" ht="12.75">
      <c r="A1175" s="1492">
        <v>4440</v>
      </c>
      <c r="B1175" s="1670" t="s">
        <v>702</v>
      </c>
      <c r="C1175" s="1494">
        <v>4400</v>
      </c>
      <c r="D1175" s="862">
        <f t="shared" si="166"/>
        <v>4400</v>
      </c>
      <c r="E1175" s="1487">
        <f t="shared" si="167"/>
        <v>4380</v>
      </c>
      <c r="F1175" s="1366">
        <f t="shared" si="163"/>
        <v>99.54545454545455</v>
      </c>
      <c r="G1175" s="1494">
        <v>4400</v>
      </c>
      <c r="H1175" s="1487">
        <v>4380</v>
      </c>
      <c r="I1175" s="1551">
        <f t="shared" si="164"/>
        <v>99.54545454545455</v>
      </c>
      <c r="J1175" s="1495"/>
      <c r="K1175" s="1487"/>
      <c r="L1175" s="1551"/>
      <c r="M1175" s="1389"/>
      <c r="N1175" s="1390"/>
      <c r="O1175" s="1395"/>
      <c r="P1175" s="1487"/>
      <c r="Q1175" s="1487"/>
      <c r="R1175" s="1498"/>
    </row>
    <row r="1176" spans="1:18" s="1471" customFormat="1" ht="36">
      <c r="A1176" s="1552">
        <v>85446</v>
      </c>
      <c r="B1176" s="1553" t="s">
        <v>308</v>
      </c>
      <c r="C1176" s="820">
        <f>C1179</f>
        <v>22400</v>
      </c>
      <c r="D1176" s="821">
        <f t="shared" si="166"/>
        <v>22400</v>
      </c>
      <c r="E1176" s="821">
        <f>SUM(H1176+K1176+N1176+Q1176)</f>
        <v>1968</v>
      </c>
      <c r="F1176" s="1475">
        <f t="shared" si="163"/>
        <v>8.785714285714285</v>
      </c>
      <c r="G1176" s="1554"/>
      <c r="H1176" s="821"/>
      <c r="I1176" s="1538"/>
      <c r="J1176" s="1735"/>
      <c r="K1176" s="821"/>
      <c r="L1176" s="1538"/>
      <c r="M1176" s="823">
        <f>SUM(M1177:M1180)</f>
        <v>22400</v>
      </c>
      <c r="N1176" s="845">
        <f>SUM(N1177:N1180)</f>
        <v>1968</v>
      </c>
      <c r="O1176" s="1607">
        <f aca="true" t="shared" si="168" ref="O1176:O1181">N1176/M1176*100</f>
        <v>8.785714285714285</v>
      </c>
      <c r="P1176" s="821"/>
      <c r="Q1176" s="821"/>
      <c r="R1176" s="1555"/>
    </row>
    <row r="1177" spans="1:18" s="1286" customFormat="1" ht="24">
      <c r="A1177" s="1512">
        <v>4210</v>
      </c>
      <c r="B1177" s="1669" t="s">
        <v>690</v>
      </c>
      <c r="C1177" s="832"/>
      <c r="D1177" s="830">
        <f t="shared" si="166"/>
        <v>1000</v>
      </c>
      <c r="E1177" s="1390">
        <f t="shared" si="167"/>
        <v>0</v>
      </c>
      <c r="F1177" s="1366">
        <f t="shared" si="163"/>
        <v>0</v>
      </c>
      <c r="G1177" s="1514"/>
      <c r="H1177" s="830"/>
      <c r="I1177" s="1446"/>
      <c r="J1177" s="1583"/>
      <c r="K1177" s="830"/>
      <c r="L1177" s="1446"/>
      <c r="M1177" s="864">
        <v>1000</v>
      </c>
      <c r="N1177" s="830"/>
      <c r="O1177" s="2417">
        <f t="shared" si="168"/>
        <v>0</v>
      </c>
      <c r="P1177" s="830"/>
      <c r="Q1177" s="830"/>
      <c r="R1177" s="1515"/>
    </row>
    <row r="1178" spans="1:18" s="1286" customFormat="1" ht="36" hidden="1">
      <c r="A1178" s="1443">
        <v>4240</v>
      </c>
      <c r="B1178" s="1669" t="s">
        <v>45</v>
      </c>
      <c r="C1178" s="832"/>
      <c r="D1178" s="830">
        <f t="shared" si="166"/>
        <v>0</v>
      </c>
      <c r="E1178" s="1390">
        <f t="shared" si="167"/>
        <v>0</v>
      </c>
      <c r="F1178" s="1366" t="e">
        <f t="shared" si="163"/>
        <v>#DIV/0!</v>
      </c>
      <c r="G1178" s="1514"/>
      <c r="H1178" s="830"/>
      <c r="I1178" s="1446"/>
      <c r="J1178" s="1583"/>
      <c r="K1178" s="830"/>
      <c r="L1178" s="1446"/>
      <c r="M1178" s="832"/>
      <c r="N1178" s="830"/>
      <c r="O1178" s="1506" t="e">
        <f t="shared" si="168"/>
        <v>#DIV/0!</v>
      </c>
      <c r="P1178" s="830"/>
      <c r="Q1178" s="830"/>
      <c r="R1178" s="1515"/>
    </row>
    <row r="1179" spans="1:18" s="1435" customFormat="1" ht="12.75">
      <c r="A1179" s="1443">
        <v>4300</v>
      </c>
      <c r="B1179" s="1451" t="s">
        <v>698</v>
      </c>
      <c r="C1179" s="1389">
        <v>22400</v>
      </c>
      <c r="D1179" s="830">
        <f t="shared" si="166"/>
        <v>18400</v>
      </c>
      <c r="E1179" s="1390">
        <f t="shared" si="167"/>
        <v>1600</v>
      </c>
      <c r="F1179" s="1366">
        <f t="shared" si="163"/>
        <v>8.695652173913043</v>
      </c>
      <c r="G1179" s="1445"/>
      <c r="H1179" s="1390"/>
      <c r="I1179" s="1446"/>
      <c r="J1179" s="1578"/>
      <c r="K1179" s="1390"/>
      <c r="L1179" s="1446"/>
      <c r="M1179" s="1389">
        <f>22400-22400+18400</f>
        <v>18400</v>
      </c>
      <c r="N1179" s="1390">
        <v>1600</v>
      </c>
      <c r="O1179" s="1506">
        <f t="shared" si="168"/>
        <v>8.695652173913043</v>
      </c>
      <c r="P1179" s="1390"/>
      <c r="Q1179" s="1390"/>
      <c r="R1179" s="1447"/>
    </row>
    <row r="1180" spans="1:18" s="1435" customFormat="1" ht="12.75">
      <c r="A1180" s="1492">
        <v>4410</v>
      </c>
      <c r="B1180" s="1669" t="s">
        <v>672</v>
      </c>
      <c r="C1180" s="1494"/>
      <c r="D1180" s="862">
        <f t="shared" si="166"/>
        <v>3000</v>
      </c>
      <c r="E1180" s="1390">
        <f t="shared" si="167"/>
        <v>368</v>
      </c>
      <c r="F1180" s="1366">
        <f t="shared" si="163"/>
        <v>12.266666666666666</v>
      </c>
      <c r="G1180" s="1495"/>
      <c r="H1180" s="1487"/>
      <c r="I1180" s="1551"/>
      <c r="J1180" s="1611"/>
      <c r="K1180" s="1487"/>
      <c r="L1180" s="1551"/>
      <c r="M1180" s="1494">
        <v>3000</v>
      </c>
      <c r="N1180" s="1487">
        <v>368</v>
      </c>
      <c r="O1180" s="1661">
        <f t="shared" si="168"/>
        <v>12.266666666666666</v>
      </c>
      <c r="P1180" s="1487"/>
      <c r="Q1180" s="1487"/>
      <c r="R1180" s="1498"/>
    </row>
    <row r="1181" spans="1:18" s="1435" customFormat="1" ht="12.75">
      <c r="A1181" s="1436">
        <v>85495</v>
      </c>
      <c r="B1181" s="1529" t="s">
        <v>299</v>
      </c>
      <c r="C1181" s="1438">
        <f>SUM(C1182+C1195+C1203)</f>
        <v>319600</v>
      </c>
      <c r="D1181" s="845">
        <f t="shared" si="166"/>
        <v>308255</v>
      </c>
      <c r="E1181" s="845">
        <f>H1181+K1181+Q1181+N1181</f>
        <v>149550</v>
      </c>
      <c r="F1181" s="1381">
        <f>E1181/D1181*100</f>
        <v>48.51502814228479</v>
      </c>
      <c r="G1181" s="1380">
        <f>SUM(G1182+G1195+G1203)</f>
        <v>157510</v>
      </c>
      <c r="H1181" s="1380">
        <f>SUM(H1182+H1195+H1203)</f>
        <v>87144</v>
      </c>
      <c r="I1181" s="1475">
        <f t="shared" si="164"/>
        <v>55.32601104691766</v>
      </c>
      <c r="J1181" s="1736"/>
      <c r="K1181" s="1380"/>
      <c r="L1181" s="1441"/>
      <c r="M1181" s="1380">
        <f>SUM(M1182+M1195+M1203)</f>
        <v>150745</v>
      </c>
      <c r="N1181" s="1380">
        <f>SUM(N1182+N1195+N1203)</f>
        <v>62406</v>
      </c>
      <c r="O1181" s="1607">
        <f t="shared" si="168"/>
        <v>41.3983880062357</v>
      </c>
      <c r="P1181" s="1380"/>
      <c r="Q1181" s="1380"/>
      <c r="R1181" s="1442"/>
    </row>
    <row r="1182" spans="1:18" s="1435" customFormat="1" ht="12.75" hidden="1">
      <c r="A1182" s="1436"/>
      <c r="B1182" s="1576"/>
      <c r="C1182" s="1438"/>
      <c r="D1182" s="845"/>
      <c r="E1182" s="845"/>
      <c r="F1182" s="1381"/>
      <c r="G1182" s="1438"/>
      <c r="H1182" s="1380"/>
      <c r="I1182" s="1475"/>
      <c r="J1182" s="1679"/>
      <c r="K1182" s="1380"/>
      <c r="L1182" s="1441"/>
      <c r="M1182" s="1380"/>
      <c r="N1182" s="1380"/>
      <c r="O1182" s="1442"/>
      <c r="P1182" s="1380"/>
      <c r="Q1182" s="1380"/>
      <c r="R1182" s="1442"/>
    </row>
    <row r="1183" spans="1:18" s="1435" customFormat="1" ht="12.75" hidden="1">
      <c r="A1183" s="1443"/>
      <c r="B1183" s="1451"/>
      <c r="C1183" s="832"/>
      <c r="D1183" s="830"/>
      <c r="E1183" s="1390"/>
      <c r="F1183" s="1366"/>
      <c r="G1183" s="832"/>
      <c r="H1183" s="830"/>
      <c r="I1183" s="1369"/>
      <c r="J1183" s="1680"/>
      <c r="K1183" s="1524"/>
      <c r="L1183" s="1526"/>
      <c r="M1183" s="1524"/>
      <c r="N1183" s="1524"/>
      <c r="O1183" s="1447"/>
      <c r="P1183" s="1524"/>
      <c r="Q1183" s="1524"/>
      <c r="R1183" s="1447"/>
    </row>
    <row r="1184" spans="1:18" s="1435" customFormat="1" ht="12.75" hidden="1">
      <c r="A1184" s="1443"/>
      <c r="B1184" s="1451"/>
      <c r="C1184" s="832"/>
      <c r="D1184" s="830"/>
      <c r="E1184" s="1390"/>
      <c r="F1184" s="1366"/>
      <c r="G1184" s="832"/>
      <c r="H1184" s="830"/>
      <c r="I1184" s="1369"/>
      <c r="J1184" s="1445"/>
      <c r="K1184" s="1390"/>
      <c r="L1184" s="1446"/>
      <c r="M1184" s="1390"/>
      <c r="N1184" s="1390"/>
      <c r="O1184" s="1395"/>
      <c r="P1184" s="1390"/>
      <c r="Q1184" s="1390"/>
      <c r="R1184" s="1447"/>
    </row>
    <row r="1185" spans="1:18" s="1435" customFormat="1" ht="12.75" hidden="1">
      <c r="A1185" s="1443"/>
      <c r="B1185" s="1451"/>
      <c r="C1185" s="832"/>
      <c r="D1185" s="830"/>
      <c r="E1185" s="1390"/>
      <c r="F1185" s="1366"/>
      <c r="G1185" s="832"/>
      <c r="H1185" s="830"/>
      <c r="I1185" s="1369"/>
      <c r="J1185" s="1680"/>
      <c r="K1185" s="1524"/>
      <c r="L1185" s="1526"/>
      <c r="M1185" s="1524"/>
      <c r="N1185" s="1524"/>
      <c r="O1185" s="1447"/>
      <c r="P1185" s="1524"/>
      <c r="Q1185" s="1524"/>
      <c r="R1185" s="1447"/>
    </row>
    <row r="1186" spans="1:18" s="1435" customFormat="1" ht="14.25" customHeight="1" hidden="1">
      <c r="A1186" s="1443"/>
      <c r="B1186" s="1451"/>
      <c r="C1186" s="832"/>
      <c r="D1186" s="830"/>
      <c r="E1186" s="1390"/>
      <c r="F1186" s="1366"/>
      <c r="G1186" s="832"/>
      <c r="H1186" s="830"/>
      <c r="I1186" s="1369"/>
      <c r="J1186" s="1680"/>
      <c r="K1186" s="1524"/>
      <c r="L1186" s="1526"/>
      <c r="M1186" s="1524"/>
      <c r="N1186" s="1524"/>
      <c r="O1186" s="1447"/>
      <c r="P1186" s="1524"/>
      <c r="Q1186" s="1524"/>
      <c r="R1186" s="1447"/>
    </row>
    <row r="1187" spans="1:18" s="1435" customFormat="1" ht="12.75" hidden="1">
      <c r="A1187" s="1443"/>
      <c r="B1187" s="1451"/>
      <c r="C1187" s="832"/>
      <c r="D1187" s="830"/>
      <c r="E1187" s="1390"/>
      <c r="F1187" s="1366"/>
      <c r="G1187" s="832"/>
      <c r="H1187" s="830"/>
      <c r="I1187" s="1369"/>
      <c r="J1187" s="1680"/>
      <c r="K1187" s="1524"/>
      <c r="L1187" s="1526"/>
      <c r="M1187" s="1524"/>
      <c r="N1187" s="1524"/>
      <c r="O1187" s="1447"/>
      <c r="P1187" s="1524"/>
      <c r="Q1187" s="1524"/>
      <c r="R1187" s="1447"/>
    </row>
    <row r="1188" spans="1:18" s="1435" customFormat="1" ht="15" customHeight="1" hidden="1">
      <c r="A1188" s="1443"/>
      <c r="B1188" s="1451"/>
      <c r="C1188" s="832"/>
      <c r="D1188" s="830"/>
      <c r="E1188" s="1390"/>
      <c r="F1188" s="1366"/>
      <c r="G1188" s="832"/>
      <c r="H1188" s="830"/>
      <c r="I1188" s="1369"/>
      <c r="J1188" s="1680"/>
      <c r="K1188" s="1524"/>
      <c r="L1188" s="1526"/>
      <c r="M1188" s="1524"/>
      <c r="N1188" s="1524"/>
      <c r="O1188" s="1447"/>
      <c r="P1188" s="1524"/>
      <c r="Q1188" s="1524"/>
      <c r="R1188" s="1447"/>
    </row>
    <row r="1189" spans="1:18" s="1435" customFormat="1" ht="14.25" customHeight="1" hidden="1">
      <c r="A1189" s="1443"/>
      <c r="B1189" s="1451"/>
      <c r="C1189" s="832"/>
      <c r="D1189" s="830"/>
      <c r="E1189" s="1390"/>
      <c r="F1189" s="1366"/>
      <c r="G1189" s="832"/>
      <c r="H1189" s="830"/>
      <c r="I1189" s="1369"/>
      <c r="J1189" s="1680"/>
      <c r="K1189" s="1524"/>
      <c r="L1189" s="1526"/>
      <c r="M1189" s="1524"/>
      <c r="N1189" s="1524"/>
      <c r="O1189" s="1447"/>
      <c r="P1189" s="1524"/>
      <c r="Q1189" s="1524"/>
      <c r="R1189" s="1447"/>
    </row>
    <row r="1190" spans="1:18" s="1435" customFormat="1" ht="14.25" customHeight="1" hidden="1">
      <c r="A1190" s="1443"/>
      <c r="B1190" s="1451"/>
      <c r="C1190" s="832"/>
      <c r="D1190" s="830"/>
      <c r="E1190" s="1390"/>
      <c r="F1190" s="1366"/>
      <c r="G1190" s="832"/>
      <c r="H1190" s="830"/>
      <c r="I1190" s="1369"/>
      <c r="J1190" s="1680"/>
      <c r="K1190" s="1524"/>
      <c r="L1190" s="1526"/>
      <c r="M1190" s="830"/>
      <c r="N1190" s="1524"/>
      <c r="O1190" s="1447"/>
      <c r="P1190" s="1524"/>
      <c r="Q1190" s="1524"/>
      <c r="R1190" s="1447"/>
    </row>
    <row r="1191" spans="1:18" s="1435" customFormat="1" ht="14.25" customHeight="1" hidden="1">
      <c r="A1191" s="1443"/>
      <c r="B1191" s="1451"/>
      <c r="C1191" s="832"/>
      <c r="D1191" s="830"/>
      <c r="E1191" s="1390"/>
      <c r="F1191" s="1366"/>
      <c r="G1191" s="832"/>
      <c r="H1191" s="830"/>
      <c r="I1191" s="1369"/>
      <c r="J1191" s="1680"/>
      <c r="K1191" s="1524"/>
      <c r="L1191" s="1526"/>
      <c r="M1191" s="1524"/>
      <c r="N1191" s="1524"/>
      <c r="O1191" s="1447"/>
      <c r="P1191" s="1524"/>
      <c r="Q1191" s="1524"/>
      <c r="R1191" s="1447"/>
    </row>
    <row r="1192" spans="1:18" s="1435" customFormat="1" ht="14.25" customHeight="1" hidden="1">
      <c r="A1192" s="1443"/>
      <c r="B1192" s="1451"/>
      <c r="C1192" s="832"/>
      <c r="D1192" s="830"/>
      <c r="E1192" s="1390"/>
      <c r="F1192" s="1366"/>
      <c r="G1192" s="832"/>
      <c r="H1192" s="830"/>
      <c r="I1192" s="1369"/>
      <c r="J1192" s="1680"/>
      <c r="K1192" s="1524"/>
      <c r="L1192" s="1526"/>
      <c r="M1192" s="1524"/>
      <c r="N1192" s="1524"/>
      <c r="O1192" s="1447"/>
      <c r="P1192" s="1524"/>
      <c r="Q1192" s="1524"/>
      <c r="R1192" s="1447"/>
    </row>
    <row r="1193" spans="1:18" s="1435" customFormat="1" ht="14.25" customHeight="1" hidden="1">
      <c r="A1193" s="1443"/>
      <c r="B1193" s="1451"/>
      <c r="C1193" s="832"/>
      <c r="D1193" s="830"/>
      <c r="E1193" s="1390"/>
      <c r="F1193" s="1366"/>
      <c r="G1193" s="832"/>
      <c r="H1193" s="830"/>
      <c r="I1193" s="1369"/>
      <c r="J1193" s="1680"/>
      <c r="K1193" s="1524"/>
      <c r="L1193" s="1526"/>
      <c r="M1193" s="830"/>
      <c r="N1193" s="830"/>
      <c r="O1193" s="1447"/>
      <c r="P1193" s="1524"/>
      <c r="Q1193" s="1524"/>
      <c r="R1193" s="1447"/>
    </row>
    <row r="1194" spans="1:18" s="1435" customFormat="1" ht="36.75" customHeight="1" hidden="1">
      <c r="A1194" s="1492"/>
      <c r="B1194" s="1670"/>
      <c r="C1194" s="861"/>
      <c r="D1194" s="862"/>
      <c r="E1194" s="1487"/>
      <c r="F1194" s="1419"/>
      <c r="G1194" s="861"/>
      <c r="H1194" s="862"/>
      <c r="I1194" s="1439"/>
      <c r="J1194" s="1681"/>
      <c r="K1194" s="1536"/>
      <c r="L1194" s="1538"/>
      <c r="M1194" s="862"/>
      <c r="N1194" s="862"/>
      <c r="O1194" s="1498"/>
      <c r="P1194" s="1536"/>
      <c r="Q1194" s="1536"/>
      <c r="R1194" s="1498"/>
    </row>
    <row r="1195" spans="1:18" s="1435" customFormat="1" ht="18.75" customHeight="1" hidden="1">
      <c r="A1195" s="1521"/>
      <c r="B1195" s="1522" t="s">
        <v>1322</v>
      </c>
      <c r="C1195" s="1523">
        <f>SUM(C1196:C1202)</f>
        <v>0</v>
      </c>
      <c r="D1195" s="1465">
        <f aca="true" t="shared" si="169" ref="D1195:D1226">G1195+J1195+P1195+M1195</f>
        <v>0</v>
      </c>
      <c r="E1195" s="1465">
        <f aca="true" t="shared" si="170" ref="E1195:E1203">SUM(H1195+K1195+N1195+Q1195)</f>
        <v>0</v>
      </c>
      <c r="F1195" s="1366" t="e">
        <f aca="true" t="shared" si="171" ref="F1195:F1258">E1195/D1195*100</f>
        <v>#DIV/0!</v>
      </c>
      <c r="G1195" s="1523">
        <f>SUM(G1196:G1202)</f>
        <v>0</v>
      </c>
      <c r="H1195" s="1524">
        <f>SUM(H1196:H1202)</f>
        <v>0</v>
      </c>
      <c r="I1195" s="1369" t="e">
        <f t="shared" si="164"/>
        <v>#DIV/0!</v>
      </c>
      <c r="J1195" s="1680"/>
      <c r="K1195" s="1524"/>
      <c r="L1195" s="1526"/>
      <c r="M1195" s="1524"/>
      <c r="N1195" s="1524"/>
      <c r="O1195" s="1447"/>
      <c r="P1195" s="1524"/>
      <c r="Q1195" s="1524"/>
      <c r="R1195" s="1447"/>
    </row>
    <row r="1196" spans="1:18" s="1435" customFormat="1" ht="40.5" customHeight="1" hidden="1">
      <c r="A1196" s="1443">
        <v>3020</v>
      </c>
      <c r="B1196" s="1451" t="s">
        <v>739</v>
      </c>
      <c r="C1196" s="832"/>
      <c r="D1196" s="830">
        <f t="shared" si="169"/>
        <v>0</v>
      </c>
      <c r="E1196" s="1390">
        <f t="shared" si="170"/>
        <v>0</v>
      </c>
      <c r="F1196" s="1366" t="e">
        <f t="shared" si="171"/>
        <v>#DIV/0!</v>
      </c>
      <c r="G1196" s="832"/>
      <c r="H1196" s="830"/>
      <c r="I1196" s="1369" t="e">
        <f t="shared" si="164"/>
        <v>#DIV/0!</v>
      </c>
      <c r="J1196" s="1680"/>
      <c r="K1196" s="1524"/>
      <c r="L1196" s="1526"/>
      <c r="M1196" s="1524"/>
      <c r="N1196" s="1524"/>
      <c r="O1196" s="1447"/>
      <c r="P1196" s="1524"/>
      <c r="Q1196" s="1524"/>
      <c r="R1196" s="1447"/>
    </row>
    <row r="1197" spans="1:18" s="1435" customFormat="1" ht="27" customHeight="1" hidden="1">
      <c r="A1197" s="1443">
        <v>4010</v>
      </c>
      <c r="B1197" s="1451" t="s">
        <v>680</v>
      </c>
      <c r="C1197" s="832"/>
      <c r="D1197" s="830">
        <f t="shared" si="169"/>
        <v>0</v>
      </c>
      <c r="E1197" s="1390">
        <f t="shared" si="170"/>
        <v>0</v>
      </c>
      <c r="F1197" s="1366" t="e">
        <f t="shared" si="171"/>
        <v>#DIV/0!</v>
      </c>
      <c r="G1197" s="832"/>
      <c r="H1197" s="830"/>
      <c r="I1197" s="1369" t="e">
        <f t="shared" si="164"/>
        <v>#DIV/0!</v>
      </c>
      <c r="J1197" s="1680"/>
      <c r="K1197" s="1524"/>
      <c r="L1197" s="1526"/>
      <c r="M1197" s="1524"/>
      <c r="N1197" s="1524"/>
      <c r="O1197" s="1447"/>
      <c r="P1197" s="1524"/>
      <c r="Q1197" s="1524"/>
      <c r="R1197" s="1447"/>
    </row>
    <row r="1198" spans="1:18" s="1435" customFormat="1" ht="29.25" customHeight="1" hidden="1">
      <c r="A1198" s="1443">
        <v>4040</v>
      </c>
      <c r="B1198" s="1451" t="s">
        <v>740</v>
      </c>
      <c r="C1198" s="832"/>
      <c r="D1198" s="830">
        <f t="shared" si="169"/>
        <v>0</v>
      </c>
      <c r="E1198" s="1390">
        <f t="shared" si="170"/>
        <v>0</v>
      </c>
      <c r="F1198" s="1366" t="e">
        <f t="shared" si="171"/>
        <v>#DIV/0!</v>
      </c>
      <c r="G1198" s="832"/>
      <c r="H1198" s="830"/>
      <c r="I1198" s="1369" t="e">
        <f t="shared" si="164"/>
        <v>#DIV/0!</v>
      </c>
      <c r="J1198" s="1680"/>
      <c r="K1198" s="1524"/>
      <c r="L1198" s="1526"/>
      <c r="M1198" s="1524"/>
      <c r="N1198" s="1524"/>
      <c r="O1198" s="1447"/>
      <c r="P1198" s="1524"/>
      <c r="Q1198" s="1524"/>
      <c r="R1198" s="1447"/>
    </row>
    <row r="1199" spans="1:18" s="1435" customFormat="1" ht="24" hidden="1">
      <c r="A1199" s="1443">
        <v>4110</v>
      </c>
      <c r="B1199" s="1451" t="s">
        <v>686</v>
      </c>
      <c r="C1199" s="832"/>
      <c r="D1199" s="830">
        <f t="shared" si="169"/>
        <v>0</v>
      </c>
      <c r="E1199" s="1390">
        <f t="shared" si="170"/>
        <v>0</v>
      </c>
      <c r="F1199" s="1366" t="e">
        <f t="shared" si="171"/>
        <v>#DIV/0!</v>
      </c>
      <c r="G1199" s="832"/>
      <c r="H1199" s="830"/>
      <c r="I1199" s="1369" t="e">
        <f t="shared" si="164"/>
        <v>#DIV/0!</v>
      </c>
      <c r="J1199" s="1680"/>
      <c r="K1199" s="1524"/>
      <c r="L1199" s="1526"/>
      <c r="M1199" s="1524"/>
      <c r="N1199" s="1524"/>
      <c r="O1199" s="1447"/>
      <c r="P1199" s="1524"/>
      <c r="Q1199" s="1524"/>
      <c r="R1199" s="1447"/>
    </row>
    <row r="1200" spans="1:18" s="1435" customFormat="1" ht="15.75" customHeight="1" hidden="1">
      <c r="A1200" s="1443">
        <v>4120</v>
      </c>
      <c r="B1200" s="1451" t="s">
        <v>781</v>
      </c>
      <c r="C1200" s="832"/>
      <c r="D1200" s="830">
        <f t="shared" si="169"/>
        <v>0</v>
      </c>
      <c r="E1200" s="1390">
        <f t="shared" si="170"/>
        <v>0</v>
      </c>
      <c r="F1200" s="1366" t="e">
        <f t="shared" si="171"/>
        <v>#DIV/0!</v>
      </c>
      <c r="G1200" s="832"/>
      <c r="H1200" s="830"/>
      <c r="I1200" s="1369" t="e">
        <f t="shared" si="164"/>
        <v>#DIV/0!</v>
      </c>
      <c r="J1200" s="1680"/>
      <c r="K1200" s="1524"/>
      <c r="L1200" s="1526"/>
      <c r="M1200" s="1524"/>
      <c r="N1200" s="1524"/>
      <c r="O1200" s="1447"/>
      <c r="P1200" s="1524"/>
      <c r="Q1200" s="1524"/>
      <c r="R1200" s="1447"/>
    </row>
    <row r="1201" spans="1:18" s="1435" customFormat="1" ht="15" customHeight="1" hidden="1" thickBot="1">
      <c r="A1201" s="1443">
        <v>4140</v>
      </c>
      <c r="B1201" s="1451" t="s">
        <v>743</v>
      </c>
      <c r="C1201" s="832"/>
      <c r="D1201" s="830">
        <f t="shared" si="169"/>
        <v>0</v>
      </c>
      <c r="E1201" s="1390">
        <f t="shared" si="170"/>
        <v>0</v>
      </c>
      <c r="F1201" s="1366" t="e">
        <f t="shared" si="171"/>
        <v>#DIV/0!</v>
      </c>
      <c r="G1201" s="832"/>
      <c r="H1201" s="830"/>
      <c r="I1201" s="1369" t="e">
        <f t="shared" si="164"/>
        <v>#DIV/0!</v>
      </c>
      <c r="J1201" s="1680"/>
      <c r="K1201" s="1524"/>
      <c r="L1201" s="1526"/>
      <c r="M1201" s="1524"/>
      <c r="N1201" s="1524"/>
      <c r="O1201" s="1447"/>
      <c r="P1201" s="1524"/>
      <c r="Q1201" s="1524"/>
      <c r="R1201" s="1447"/>
    </row>
    <row r="1202" spans="1:18" s="1435" customFormat="1" ht="18" customHeight="1" hidden="1" thickBot="1" thickTop="1">
      <c r="A1202" s="1492">
        <v>4440</v>
      </c>
      <c r="B1202" s="1493" t="s">
        <v>702</v>
      </c>
      <c r="C1202" s="861"/>
      <c r="D1202" s="862">
        <f t="shared" si="169"/>
        <v>0</v>
      </c>
      <c r="E1202" s="1487">
        <f t="shared" si="170"/>
        <v>0</v>
      </c>
      <c r="F1202" s="1419" t="e">
        <f t="shared" si="171"/>
        <v>#DIV/0!</v>
      </c>
      <c r="G1202" s="861"/>
      <c r="H1202" s="862"/>
      <c r="I1202" s="1439" t="e">
        <f t="shared" si="164"/>
        <v>#DIV/0!</v>
      </c>
      <c r="J1202" s="1681"/>
      <c r="K1202" s="1536"/>
      <c r="L1202" s="1538"/>
      <c r="M1202" s="1536"/>
      <c r="N1202" s="1536"/>
      <c r="O1202" s="1498"/>
      <c r="P1202" s="1536"/>
      <c r="Q1202" s="1536"/>
      <c r="R1202" s="1498"/>
    </row>
    <row r="1203" spans="1:18" s="1435" customFormat="1" ht="30.75" customHeight="1" hidden="1" thickTop="1">
      <c r="A1203" s="1531"/>
      <c r="B1203" s="1532" t="s">
        <v>1323</v>
      </c>
      <c r="C1203" s="1533">
        <f>SUM(C1204:C1215)</f>
        <v>319600</v>
      </c>
      <c r="D1203" s="821">
        <f t="shared" si="169"/>
        <v>308255</v>
      </c>
      <c r="E1203" s="821">
        <f t="shared" si="170"/>
        <v>149550</v>
      </c>
      <c r="F1203" s="1419">
        <f t="shared" si="171"/>
        <v>48.51502814228479</v>
      </c>
      <c r="G1203" s="1533">
        <f>SUM(G1204:G1215)</f>
        <v>157510</v>
      </c>
      <c r="H1203" s="1536">
        <f>SUM(H1204:H1215)</f>
        <v>87144</v>
      </c>
      <c r="I1203" s="1439">
        <f t="shared" si="164"/>
        <v>55.32601104691766</v>
      </c>
      <c r="J1203" s="1681"/>
      <c r="K1203" s="1536"/>
      <c r="L1203" s="1538"/>
      <c r="M1203" s="1536">
        <f>SUM(M1204:M1215)</f>
        <v>150745</v>
      </c>
      <c r="N1203" s="1536">
        <f>SUM(N1204:N1215)</f>
        <v>62406</v>
      </c>
      <c r="O1203" s="1420">
        <f>N1203/M1203*100</f>
        <v>41.3983880062357</v>
      </c>
      <c r="P1203" s="1536"/>
      <c r="Q1203" s="1536"/>
      <c r="R1203" s="1498"/>
    </row>
    <row r="1204" spans="1:18" s="1435" customFormat="1" ht="60">
      <c r="A1204" s="1443">
        <v>2820</v>
      </c>
      <c r="B1204" s="1451" t="s">
        <v>1324</v>
      </c>
      <c r="C1204" s="1389">
        <v>29500</v>
      </c>
      <c r="D1204" s="830">
        <f t="shared" si="169"/>
        <v>29500</v>
      </c>
      <c r="E1204" s="830">
        <f>H1204+K1204+Q1204+N1204</f>
        <v>15500</v>
      </c>
      <c r="F1204" s="1366">
        <f t="shared" si="171"/>
        <v>52.54237288135594</v>
      </c>
      <c r="G1204" s="1389">
        <v>29500</v>
      </c>
      <c r="H1204" s="1390">
        <v>15500</v>
      </c>
      <c r="I1204" s="1369">
        <f>H1204/G1204*100</f>
        <v>52.54237288135594</v>
      </c>
      <c r="J1204" s="1445"/>
      <c r="K1204" s="1390"/>
      <c r="L1204" s="1446"/>
      <c r="M1204" s="1390"/>
      <c r="N1204" s="1390"/>
      <c r="O1204" s="1447"/>
      <c r="P1204" s="1390"/>
      <c r="Q1204" s="1390"/>
      <c r="R1204" s="1447"/>
    </row>
    <row r="1205" spans="1:18" s="1435" customFormat="1" ht="36">
      <c r="A1205" s="1443">
        <v>3040</v>
      </c>
      <c r="B1205" s="1451" t="s">
        <v>906</v>
      </c>
      <c r="C1205" s="1389">
        <v>1000</v>
      </c>
      <c r="D1205" s="830">
        <f t="shared" si="169"/>
        <v>1000</v>
      </c>
      <c r="E1205" s="830">
        <f>H1205+K1205+Q1205+N1205</f>
        <v>600</v>
      </c>
      <c r="F1205" s="1366">
        <f>E1205/D1205*100</f>
        <v>60</v>
      </c>
      <c r="G1205" s="1389"/>
      <c r="H1205" s="1390"/>
      <c r="I1205" s="1369"/>
      <c r="J1205" s="1578"/>
      <c r="K1205" s="1390"/>
      <c r="L1205" s="1446"/>
      <c r="M1205" s="1390">
        <v>1000</v>
      </c>
      <c r="N1205" s="1390">
        <v>600</v>
      </c>
      <c r="O1205" s="1369">
        <f>N1205/M1205*100</f>
        <v>60</v>
      </c>
      <c r="P1205" s="1390"/>
      <c r="Q1205" s="1390"/>
      <c r="R1205" s="1447"/>
    </row>
    <row r="1206" spans="1:18" s="1435" customFormat="1" ht="48">
      <c r="A1206" s="1443">
        <v>4010</v>
      </c>
      <c r="B1206" s="1451" t="s">
        <v>1286</v>
      </c>
      <c r="C1206" s="1389">
        <v>20000</v>
      </c>
      <c r="D1206" s="830">
        <f t="shared" si="169"/>
        <v>22155</v>
      </c>
      <c r="E1206" s="830">
        <f>H1206+K1206+Q1206+N1206</f>
        <v>0</v>
      </c>
      <c r="F1206" s="1366">
        <f>E1206/D1206*100</f>
        <v>0</v>
      </c>
      <c r="G1206" s="1389">
        <f>950+360</f>
        <v>1310</v>
      </c>
      <c r="H1206" s="1390"/>
      <c r="I1206" s="1369">
        <f>H1206/G1206*100</f>
        <v>0</v>
      </c>
      <c r="J1206" s="1578"/>
      <c r="K1206" s="1390"/>
      <c r="L1206" s="1446"/>
      <c r="M1206" s="1390">
        <f>20000+645+200</f>
        <v>20845</v>
      </c>
      <c r="N1206" s="1390"/>
      <c r="O1206" s="1395">
        <f>N1206/M1206*100</f>
        <v>0</v>
      </c>
      <c r="P1206" s="1390"/>
      <c r="Q1206" s="1390"/>
      <c r="R1206" s="1447"/>
    </row>
    <row r="1207" spans="1:18" s="1435" customFormat="1" ht="24">
      <c r="A1207" s="1443">
        <v>4110</v>
      </c>
      <c r="B1207" s="1451" t="s">
        <v>686</v>
      </c>
      <c r="C1207" s="1389"/>
      <c r="D1207" s="830">
        <f>G1207+J1207+P1207+M1207</f>
        <v>500</v>
      </c>
      <c r="E1207" s="830">
        <f>H1207+K1207+Q1207+N1207</f>
        <v>317</v>
      </c>
      <c r="F1207" s="1366">
        <f>E1207/D1207*100</f>
        <v>63.4</v>
      </c>
      <c r="G1207" s="1389"/>
      <c r="H1207" s="1390"/>
      <c r="I1207" s="1369"/>
      <c r="J1207" s="1578"/>
      <c r="K1207" s="1390"/>
      <c r="L1207" s="1446"/>
      <c r="M1207" s="1390">
        <v>500</v>
      </c>
      <c r="N1207" s="1390">
        <v>317</v>
      </c>
      <c r="O1207" s="1395">
        <f>N1207/M1207*100</f>
        <v>63.4</v>
      </c>
      <c r="P1207" s="1390"/>
      <c r="Q1207" s="1390"/>
      <c r="R1207" s="1447"/>
    </row>
    <row r="1208" spans="1:18" s="1435" customFormat="1" ht="24">
      <c r="A1208" s="1443">
        <v>4170</v>
      </c>
      <c r="B1208" s="1451" t="s">
        <v>744</v>
      </c>
      <c r="C1208" s="1389"/>
      <c r="D1208" s="830">
        <f>G1208+J1208+P1208+M1208</f>
        <v>6250</v>
      </c>
      <c r="E1208" s="830">
        <f>H1208+K1208+Q1208+N1208</f>
        <v>5875</v>
      </c>
      <c r="F1208" s="1366">
        <f>E1208/D1208*100</f>
        <v>94</v>
      </c>
      <c r="G1208" s="1389"/>
      <c r="H1208" s="1390"/>
      <c r="I1208" s="1369"/>
      <c r="J1208" s="1578"/>
      <c r="K1208" s="1390"/>
      <c r="L1208" s="1446"/>
      <c r="M1208" s="1390">
        <v>6250</v>
      </c>
      <c r="N1208" s="1390">
        <v>5875</v>
      </c>
      <c r="O1208" s="1395">
        <f>N1208/M1208*100</f>
        <v>94</v>
      </c>
      <c r="P1208" s="1390"/>
      <c r="Q1208" s="1390"/>
      <c r="R1208" s="1447"/>
    </row>
    <row r="1209" spans="1:18" s="1435" customFormat="1" ht="23.25" customHeight="1">
      <c r="A1209" s="1443">
        <v>4210</v>
      </c>
      <c r="B1209" s="1451" t="s">
        <v>1325</v>
      </c>
      <c r="C1209" s="1389">
        <v>6650</v>
      </c>
      <c r="D1209" s="830">
        <f t="shared" si="169"/>
        <v>6850</v>
      </c>
      <c r="E1209" s="1390">
        <f aca="true" t="shared" si="172" ref="E1209:E1215">SUM(H1209+K1209+N1209+Q1209)</f>
        <v>3449</v>
      </c>
      <c r="F1209" s="1366">
        <f t="shared" si="171"/>
        <v>50.350364963503644</v>
      </c>
      <c r="G1209" s="1389">
        <f>6650+200</f>
        <v>6850</v>
      </c>
      <c r="H1209" s="1390">
        <v>3449</v>
      </c>
      <c r="I1209" s="1369">
        <f>H1209/G1209*100</f>
        <v>50.350364963503644</v>
      </c>
      <c r="J1209" s="1578"/>
      <c r="K1209" s="1390"/>
      <c r="L1209" s="1446"/>
      <c r="M1209" s="1390"/>
      <c r="N1209" s="1390"/>
      <c r="O1209" s="1447"/>
      <c r="P1209" s="1390"/>
      <c r="Q1209" s="1390"/>
      <c r="R1209" s="1447"/>
    </row>
    <row r="1210" spans="1:18" s="1435" customFormat="1" ht="23.25" customHeight="1">
      <c r="A1210" s="1443">
        <v>4210</v>
      </c>
      <c r="B1210" s="1451" t="s">
        <v>1287</v>
      </c>
      <c r="C1210" s="1389"/>
      <c r="D1210" s="830">
        <f>G1210+J1210+P1210+M1210</f>
        <v>6800</v>
      </c>
      <c r="E1210" s="1390">
        <f t="shared" si="172"/>
        <v>5976</v>
      </c>
      <c r="F1210" s="1366">
        <f>E1210/D1210*100</f>
        <v>87.88235294117646</v>
      </c>
      <c r="G1210" s="1389"/>
      <c r="H1210" s="1390"/>
      <c r="I1210" s="1369"/>
      <c r="J1210" s="1578"/>
      <c r="K1210" s="1390"/>
      <c r="L1210" s="1446"/>
      <c r="M1210" s="1390">
        <f>4400+2400</f>
        <v>6800</v>
      </c>
      <c r="N1210" s="1390">
        <v>5976</v>
      </c>
      <c r="O1210" s="1395">
        <f>N1210/M1210*100</f>
        <v>87.88235294117646</v>
      </c>
      <c r="P1210" s="1390"/>
      <c r="Q1210" s="1390"/>
      <c r="R1210" s="1447"/>
    </row>
    <row r="1211" spans="1:18" s="1435" customFormat="1" ht="12.75">
      <c r="A1211" s="1443">
        <v>4300</v>
      </c>
      <c r="B1211" s="1451" t="s">
        <v>698</v>
      </c>
      <c r="C1211" s="1389">
        <v>59600</v>
      </c>
      <c r="D1211" s="830">
        <f t="shared" si="169"/>
        <v>45450</v>
      </c>
      <c r="E1211" s="1390">
        <f t="shared" si="172"/>
        <v>20605</v>
      </c>
      <c r="F1211" s="1366">
        <f t="shared" si="171"/>
        <v>45.33553355335533</v>
      </c>
      <c r="G1211" s="1389"/>
      <c r="H1211" s="1390"/>
      <c r="I1211" s="1369"/>
      <c r="J1211" s="1578"/>
      <c r="K1211" s="1390"/>
      <c r="L1211" s="1446"/>
      <c r="M1211" s="1390">
        <f>59600-39000+28350-600-2900</f>
        <v>45450</v>
      </c>
      <c r="N1211" s="1390">
        <v>20605</v>
      </c>
      <c r="O1211" s="1395">
        <f>N1211/M1211*100</f>
        <v>45.33553355335533</v>
      </c>
      <c r="P1211" s="1390"/>
      <c r="Q1211" s="1390"/>
      <c r="R1211" s="1447"/>
    </row>
    <row r="1212" spans="1:18" s="1435" customFormat="1" ht="23.25" customHeight="1">
      <c r="A1212" s="1443">
        <v>4300</v>
      </c>
      <c r="B1212" s="1451" t="s">
        <v>1326</v>
      </c>
      <c r="C1212" s="1389">
        <v>6050</v>
      </c>
      <c r="D1212" s="830">
        <f t="shared" si="169"/>
        <v>7950</v>
      </c>
      <c r="E1212" s="1390">
        <f t="shared" si="172"/>
        <v>650</v>
      </c>
      <c r="F1212" s="1366">
        <f t="shared" si="171"/>
        <v>8.176100628930817</v>
      </c>
      <c r="G1212" s="1389">
        <f>6050+1900</f>
        <v>7950</v>
      </c>
      <c r="H1212" s="1390">
        <v>650</v>
      </c>
      <c r="I1212" s="1369">
        <f>H1212/G1212*100</f>
        <v>8.176100628930817</v>
      </c>
      <c r="J1212" s="1578"/>
      <c r="K1212" s="1390"/>
      <c r="L1212" s="1446"/>
      <c r="M1212" s="1390"/>
      <c r="N1212" s="1390"/>
      <c r="O1212" s="1395"/>
      <c r="P1212" s="1390"/>
      <c r="Q1212" s="1390"/>
      <c r="R1212" s="1447"/>
    </row>
    <row r="1213" spans="1:18" s="1435" customFormat="1" ht="12.75">
      <c r="A1213" s="1443">
        <v>4430</v>
      </c>
      <c r="B1213" s="1451" t="s">
        <v>1288</v>
      </c>
      <c r="C1213" s="1389">
        <v>100</v>
      </c>
      <c r="D1213" s="830">
        <f t="shared" si="169"/>
        <v>100</v>
      </c>
      <c r="E1213" s="1390">
        <f t="shared" si="172"/>
        <v>0</v>
      </c>
      <c r="F1213" s="1366">
        <f t="shared" si="171"/>
        <v>0</v>
      </c>
      <c r="G1213" s="1389">
        <v>100</v>
      </c>
      <c r="H1213" s="1390"/>
      <c r="I1213" s="1369">
        <f>H1213/G1213*100</f>
        <v>0</v>
      </c>
      <c r="J1213" s="1578"/>
      <c r="K1213" s="1390"/>
      <c r="L1213" s="1446"/>
      <c r="M1213" s="1390"/>
      <c r="N1213" s="1390"/>
      <c r="O1213" s="1395"/>
      <c r="P1213" s="1390"/>
      <c r="Q1213" s="1390"/>
      <c r="R1213" s="1447"/>
    </row>
    <row r="1214" spans="1:18" s="1435" customFormat="1" ht="12.75">
      <c r="A1214" s="1443">
        <v>4440</v>
      </c>
      <c r="B1214" s="1451" t="s">
        <v>702</v>
      </c>
      <c r="C1214" s="1389">
        <v>161700</v>
      </c>
      <c r="D1214" s="830">
        <f>G1214+J1214+P1214+M1214</f>
        <v>161700</v>
      </c>
      <c r="E1214" s="830">
        <f>H1214+K1214+Q1214+N1214</f>
        <v>96578</v>
      </c>
      <c r="F1214" s="1366">
        <f>E1214/D1214*100</f>
        <v>59.72665429808287</v>
      </c>
      <c r="G1214" s="1389">
        <v>111800</v>
      </c>
      <c r="H1214" s="830">
        <v>67545</v>
      </c>
      <c r="I1214" s="1369">
        <f>H1214/G1214*100</f>
        <v>60.41592128801431</v>
      </c>
      <c r="J1214" s="1578"/>
      <c r="K1214" s="1390"/>
      <c r="L1214" s="1446"/>
      <c r="M1214" s="1390">
        <v>49900</v>
      </c>
      <c r="N1214" s="1390">
        <v>29033</v>
      </c>
      <c r="O1214" s="1584">
        <f>N1214/M1214*100</f>
        <v>58.18236472945891</v>
      </c>
      <c r="P1214" s="1390"/>
      <c r="Q1214" s="1390"/>
      <c r="R1214" s="1447"/>
    </row>
    <row r="1215" spans="1:18" s="1435" customFormat="1" ht="24.75" thickBot="1">
      <c r="A1215" s="1443">
        <v>6050</v>
      </c>
      <c r="B1215" s="1451" t="s">
        <v>767</v>
      </c>
      <c r="C1215" s="1389">
        <v>35000</v>
      </c>
      <c r="D1215" s="830">
        <f>G1215+J1215+P1215+M1215</f>
        <v>20000</v>
      </c>
      <c r="E1215" s="1390">
        <f t="shared" si="172"/>
        <v>0</v>
      </c>
      <c r="F1215" s="1366">
        <f t="shared" si="171"/>
        <v>0</v>
      </c>
      <c r="G1215" s="1389"/>
      <c r="H1215" s="1390"/>
      <c r="I1215" s="1369"/>
      <c r="J1215" s="1578"/>
      <c r="K1215" s="1390"/>
      <c r="L1215" s="1446"/>
      <c r="M1215" s="1390">
        <f>35000-35000+20000</f>
        <v>20000</v>
      </c>
      <c r="N1215" s="1390"/>
      <c r="O1215" s="1395">
        <f>N1215/M1215*100</f>
        <v>0</v>
      </c>
      <c r="P1215" s="1390"/>
      <c r="Q1215" s="1390"/>
      <c r="R1215" s="1447"/>
    </row>
    <row r="1216" spans="1:18" s="1435" customFormat="1" ht="49.5" thickBot="1" thickTop="1">
      <c r="A1216" s="1455">
        <v>900</v>
      </c>
      <c r="B1216" s="1456" t="s">
        <v>1327</v>
      </c>
      <c r="C1216" s="1431">
        <f>C1230+C1232+C1240+C1246+C1235+C1217</f>
        <v>14225500</v>
      </c>
      <c r="D1216" s="813">
        <f t="shared" si="169"/>
        <v>14875702</v>
      </c>
      <c r="E1216" s="1416">
        <f>H1216+K1216+Q1216+N1216</f>
        <v>6628826</v>
      </c>
      <c r="F1216" s="1342">
        <f t="shared" si="171"/>
        <v>44.5614331343825</v>
      </c>
      <c r="G1216" s="1431">
        <f>G1230+G1232+G1240+G1246+G1235+G1217</f>
        <v>11981402</v>
      </c>
      <c r="H1216" s="1416">
        <f>H1230+H1232+H1240+H1246+H1235+H1217</f>
        <v>4945319</v>
      </c>
      <c r="I1216" s="1344">
        <f aca="true" t="shared" si="173" ref="I1216:I1279">H1216/G1216*100</f>
        <v>41.27496097702089</v>
      </c>
      <c r="J1216" s="1416"/>
      <c r="K1216" s="1416"/>
      <c r="L1216" s="1458"/>
      <c r="M1216" s="1416">
        <f>M1230+M1232+M1240+M1246+M1235+M1217</f>
        <v>2894300</v>
      </c>
      <c r="N1216" s="1416">
        <f>N1230+N1232+N1240+N1246+N1235+N1217</f>
        <v>1683507</v>
      </c>
      <c r="O1216" s="1349">
        <f>N1216/M1216*100</f>
        <v>58.16629236775731</v>
      </c>
      <c r="P1216" s="1416"/>
      <c r="Q1216" s="1416"/>
      <c r="R1216" s="1434"/>
    </row>
    <row r="1217" spans="1:18" s="1435" customFormat="1" ht="30" customHeight="1" thickTop="1">
      <c r="A1217" s="1436">
        <v>90001</v>
      </c>
      <c r="B1217" s="1529" t="s">
        <v>1328</v>
      </c>
      <c r="C1217" s="1438">
        <f>SUM(C1219:C1221)</f>
        <v>5000000</v>
      </c>
      <c r="D1217" s="821">
        <f t="shared" si="169"/>
        <v>6074000</v>
      </c>
      <c r="E1217" s="1536">
        <f>H1217+K1217+Q1217+N1217</f>
        <v>2787915</v>
      </c>
      <c r="F1217" s="1419">
        <f t="shared" si="171"/>
        <v>45.89916035561409</v>
      </c>
      <c r="G1217" s="1438">
        <f>SUM(G1218:G1221)</f>
        <v>6074000</v>
      </c>
      <c r="H1217" s="1380">
        <f>SUM(H1218:H1221)</f>
        <v>2787915</v>
      </c>
      <c r="I1217" s="1357">
        <f t="shared" si="173"/>
        <v>45.89916035561409</v>
      </c>
      <c r="J1217" s="1440"/>
      <c r="K1217" s="1380"/>
      <c r="L1217" s="1439"/>
      <c r="M1217" s="1380">
        <f>SUM(M1219:M1221)</f>
        <v>0</v>
      </c>
      <c r="N1217" s="1380">
        <f>SUM(N1219:N1221)</f>
        <v>0</v>
      </c>
      <c r="O1217" s="1439"/>
      <c r="P1217" s="1380"/>
      <c r="Q1217" s="1380"/>
      <c r="R1217" s="1442"/>
    </row>
    <row r="1218" spans="1:18" s="1286" customFormat="1" ht="18.75" customHeight="1">
      <c r="A1218" s="1512">
        <v>4300</v>
      </c>
      <c r="B1218" s="1541" t="s">
        <v>698</v>
      </c>
      <c r="C1218" s="864"/>
      <c r="D1218" s="830">
        <f t="shared" si="169"/>
        <v>470000</v>
      </c>
      <c r="E1218" s="1390">
        <f aca="true" t="shared" si="174" ref="E1218:E1226">SUM(H1218+K1218+N1218+Q1218)</f>
        <v>0</v>
      </c>
      <c r="F1218" s="1366">
        <f t="shared" si="171"/>
        <v>0</v>
      </c>
      <c r="G1218" s="864">
        <v>470000</v>
      </c>
      <c r="H1218" s="830"/>
      <c r="I1218" s="1369">
        <f t="shared" si="173"/>
        <v>0</v>
      </c>
      <c r="J1218" s="1542"/>
      <c r="K1218" s="830"/>
      <c r="L1218" s="1369"/>
      <c r="M1218" s="830"/>
      <c r="N1218" s="830"/>
      <c r="O1218" s="1369"/>
      <c r="P1218" s="830"/>
      <c r="Q1218" s="830"/>
      <c r="R1218" s="1515"/>
    </row>
    <row r="1219" spans="1:18" s="1286" customFormat="1" ht="17.25" customHeight="1" hidden="1">
      <c r="A1219" s="1512">
        <v>4430</v>
      </c>
      <c r="B1219" s="1574" t="s">
        <v>700</v>
      </c>
      <c r="C1219" s="832"/>
      <c r="D1219" s="830">
        <f t="shared" si="169"/>
        <v>0</v>
      </c>
      <c r="E1219" s="1390">
        <f t="shared" si="174"/>
        <v>0</v>
      </c>
      <c r="F1219" s="1366" t="e">
        <f t="shared" si="171"/>
        <v>#DIV/0!</v>
      </c>
      <c r="G1219" s="832"/>
      <c r="H1219" s="830"/>
      <c r="I1219" s="1369" t="e">
        <f t="shared" si="173"/>
        <v>#DIV/0!</v>
      </c>
      <c r="J1219" s="1514"/>
      <c r="K1219" s="830"/>
      <c r="L1219" s="1369"/>
      <c r="M1219" s="830"/>
      <c r="N1219" s="830"/>
      <c r="O1219" s="1369"/>
      <c r="P1219" s="830"/>
      <c r="Q1219" s="830"/>
      <c r="R1219" s="1515"/>
    </row>
    <row r="1220" spans="1:18" s="1286" customFormat="1" ht="16.5" customHeight="1">
      <c r="A1220" s="1512">
        <v>4270</v>
      </c>
      <c r="B1220" s="1574" t="s">
        <v>1342</v>
      </c>
      <c r="C1220" s="832">
        <v>150000</v>
      </c>
      <c r="D1220" s="830">
        <f t="shared" si="169"/>
        <v>0</v>
      </c>
      <c r="E1220" s="1390">
        <f t="shared" si="174"/>
        <v>0</v>
      </c>
      <c r="F1220" s="1366"/>
      <c r="G1220" s="832">
        <f>100000-100000</f>
        <v>0</v>
      </c>
      <c r="H1220" s="830"/>
      <c r="I1220" s="1369"/>
      <c r="J1220" s="1514"/>
      <c r="K1220" s="830"/>
      <c r="L1220" s="1369"/>
      <c r="M1220" s="830">
        <f>50000-50000</f>
        <v>0</v>
      </c>
      <c r="N1220" s="830"/>
      <c r="O1220" s="1369"/>
      <c r="P1220" s="830"/>
      <c r="Q1220" s="830"/>
      <c r="R1220" s="1515"/>
    </row>
    <row r="1221" spans="1:18" ht="24">
      <c r="A1221" s="1664">
        <v>6050</v>
      </c>
      <c r="B1221" s="1451" t="s">
        <v>719</v>
      </c>
      <c r="C1221" s="1389">
        <v>4850000</v>
      </c>
      <c r="D1221" s="830">
        <f t="shared" si="169"/>
        <v>5604000</v>
      </c>
      <c r="E1221" s="1390">
        <f t="shared" si="174"/>
        <v>2787915</v>
      </c>
      <c r="F1221" s="1366">
        <f t="shared" si="171"/>
        <v>49.74866167023554</v>
      </c>
      <c r="G1221" s="1389">
        <f>4800000+400000+454000-50000</f>
        <v>5604000</v>
      </c>
      <c r="H1221" s="1390">
        <v>2787915</v>
      </c>
      <c r="I1221" s="1369">
        <f t="shared" si="173"/>
        <v>49.74866167023554</v>
      </c>
      <c r="J1221" s="1445"/>
      <c r="K1221" s="1390"/>
      <c r="L1221" s="1369"/>
      <c r="M1221" s="1390">
        <f>50000-50000</f>
        <v>0</v>
      </c>
      <c r="N1221" s="1390"/>
      <c r="O1221" s="1369"/>
      <c r="P1221" s="1390"/>
      <c r="Q1221" s="1390"/>
      <c r="R1221" s="1447"/>
    </row>
    <row r="1222" spans="1:18" s="1564" customFormat="1" ht="25.5" customHeight="1" hidden="1">
      <c r="A1222" s="1737"/>
      <c r="B1222" s="1738" t="s">
        <v>1329</v>
      </c>
      <c r="C1222" s="1389">
        <v>200000</v>
      </c>
      <c r="D1222" s="830">
        <f t="shared" si="169"/>
        <v>200000</v>
      </c>
      <c r="E1222" s="1390">
        <f t="shared" si="174"/>
        <v>0</v>
      </c>
      <c r="F1222" s="1366">
        <f t="shared" si="171"/>
        <v>0</v>
      </c>
      <c r="G1222" s="1389">
        <v>200000</v>
      </c>
      <c r="H1222" s="1739"/>
      <c r="I1222" s="1369">
        <f t="shared" si="173"/>
        <v>0</v>
      </c>
      <c r="J1222" s="1561"/>
      <c r="K1222" s="1560"/>
      <c r="L1222" s="1369"/>
      <c r="M1222" s="1560"/>
      <c r="N1222" s="1560"/>
      <c r="O1222" s="1395"/>
      <c r="P1222" s="1560"/>
      <c r="Q1222" s="1560"/>
      <c r="R1222" s="1562"/>
    </row>
    <row r="1223" spans="1:18" s="1564" customFormat="1" ht="25.5" customHeight="1" hidden="1">
      <c r="A1223" s="1737"/>
      <c r="B1223" s="1738" t="s">
        <v>1330</v>
      </c>
      <c r="C1223" s="1389">
        <v>800000</v>
      </c>
      <c r="D1223" s="830">
        <f t="shared" si="169"/>
        <v>600000</v>
      </c>
      <c r="E1223" s="1390">
        <f t="shared" si="174"/>
        <v>0</v>
      </c>
      <c r="F1223" s="1366">
        <f t="shared" si="171"/>
        <v>0</v>
      </c>
      <c r="G1223" s="1389">
        <f>800000-200000</f>
        <v>600000</v>
      </c>
      <c r="H1223" s="1739"/>
      <c r="I1223" s="1369">
        <f t="shared" si="173"/>
        <v>0</v>
      </c>
      <c r="J1223" s="1561"/>
      <c r="K1223" s="1560"/>
      <c r="L1223" s="1369"/>
      <c r="M1223" s="1560"/>
      <c r="N1223" s="1560"/>
      <c r="O1223" s="1395"/>
      <c r="P1223" s="1560"/>
      <c r="Q1223" s="1560"/>
      <c r="R1223" s="1562"/>
    </row>
    <row r="1224" spans="1:18" s="1564" customFormat="1" ht="17.25" customHeight="1" hidden="1">
      <c r="A1224" s="1737"/>
      <c r="B1224" s="1738" t="s">
        <v>1331</v>
      </c>
      <c r="C1224" s="1389">
        <v>100000</v>
      </c>
      <c r="D1224" s="830">
        <f t="shared" si="169"/>
        <v>100000</v>
      </c>
      <c r="E1224" s="1390">
        <f t="shared" si="174"/>
        <v>0</v>
      </c>
      <c r="F1224" s="1366">
        <f t="shared" si="171"/>
        <v>0</v>
      </c>
      <c r="G1224" s="1389">
        <v>100000</v>
      </c>
      <c r="H1224" s="1739"/>
      <c r="I1224" s="1369">
        <f t="shared" si="173"/>
        <v>0</v>
      </c>
      <c r="J1224" s="1561"/>
      <c r="K1224" s="1560"/>
      <c r="L1224" s="1369"/>
      <c r="M1224" s="1560"/>
      <c r="N1224" s="1560"/>
      <c r="O1224" s="1395"/>
      <c r="P1224" s="1560"/>
      <c r="Q1224" s="1560"/>
      <c r="R1224" s="1562"/>
    </row>
    <row r="1225" spans="1:18" s="1564" customFormat="1" ht="38.25" customHeight="1" hidden="1">
      <c r="A1225" s="1737"/>
      <c r="B1225" s="1738" t="s">
        <v>1332</v>
      </c>
      <c r="C1225" s="1389">
        <v>700000</v>
      </c>
      <c r="D1225" s="830">
        <f t="shared" si="169"/>
        <v>550000</v>
      </c>
      <c r="E1225" s="1390">
        <f t="shared" si="174"/>
        <v>0</v>
      </c>
      <c r="F1225" s="1366">
        <f t="shared" si="171"/>
        <v>0</v>
      </c>
      <c r="G1225" s="1389">
        <f>700000-150000</f>
        <v>550000</v>
      </c>
      <c r="H1225" s="1739"/>
      <c r="I1225" s="1369">
        <f t="shared" si="173"/>
        <v>0</v>
      </c>
      <c r="J1225" s="1561"/>
      <c r="K1225" s="1560"/>
      <c r="L1225" s="1369"/>
      <c r="M1225" s="1560"/>
      <c r="N1225" s="1560"/>
      <c r="O1225" s="1395"/>
      <c r="P1225" s="1560"/>
      <c r="Q1225" s="1560"/>
      <c r="R1225" s="1562"/>
    </row>
    <row r="1226" spans="1:18" s="1564" customFormat="1" ht="25.5" customHeight="1" hidden="1">
      <c r="A1226" s="1557"/>
      <c r="B1226" s="1738" t="s">
        <v>1333</v>
      </c>
      <c r="C1226" s="1389">
        <v>500000</v>
      </c>
      <c r="D1226" s="830">
        <f t="shared" si="169"/>
        <v>1300000</v>
      </c>
      <c r="E1226" s="1390">
        <f t="shared" si="174"/>
        <v>0</v>
      </c>
      <c r="F1226" s="1366">
        <f t="shared" si="171"/>
        <v>0</v>
      </c>
      <c r="G1226" s="1389">
        <f>500000+800000</f>
        <v>1300000</v>
      </c>
      <c r="H1226" s="1560"/>
      <c r="I1226" s="1369">
        <f t="shared" si="173"/>
        <v>0</v>
      </c>
      <c r="J1226" s="1561"/>
      <c r="K1226" s="1560"/>
      <c r="L1226" s="1369"/>
      <c r="M1226" s="1560"/>
      <c r="N1226" s="1560"/>
      <c r="O1226" s="1395"/>
      <c r="P1226" s="1560"/>
      <c r="Q1226" s="1560"/>
      <c r="R1226" s="1563"/>
    </row>
    <row r="1227" spans="1:18" s="1564" customFormat="1" ht="49.5" customHeight="1" hidden="1">
      <c r="A1227" s="1557"/>
      <c r="B1227" s="1738" t="s">
        <v>1334</v>
      </c>
      <c r="C1227" s="1389">
        <v>200000</v>
      </c>
      <c r="D1227" s="830"/>
      <c r="E1227" s="1390"/>
      <c r="F1227" s="1366"/>
      <c r="G1227" s="1389">
        <v>200000</v>
      </c>
      <c r="H1227" s="1560"/>
      <c r="I1227" s="1369"/>
      <c r="J1227" s="1561"/>
      <c r="K1227" s="1560"/>
      <c r="L1227" s="1369"/>
      <c r="M1227" s="1560"/>
      <c r="N1227" s="1560"/>
      <c r="O1227" s="1395"/>
      <c r="P1227" s="1560"/>
      <c r="Q1227" s="1560"/>
      <c r="R1227" s="1563"/>
    </row>
    <row r="1228" spans="1:18" s="1564" customFormat="1" ht="59.25" customHeight="1" hidden="1">
      <c r="A1228" s="1557"/>
      <c r="B1228" s="1738" t="s">
        <v>1335</v>
      </c>
      <c r="C1228" s="1389">
        <v>200000</v>
      </c>
      <c r="D1228" s="830"/>
      <c r="E1228" s="1390"/>
      <c r="F1228" s="1366"/>
      <c r="G1228" s="1389">
        <f>200000-80000</f>
        <v>120000</v>
      </c>
      <c r="H1228" s="1560"/>
      <c r="I1228" s="1369"/>
      <c r="J1228" s="1561"/>
      <c r="K1228" s="1560"/>
      <c r="L1228" s="1369"/>
      <c r="M1228" s="1560"/>
      <c r="N1228" s="1560"/>
      <c r="O1228" s="1395"/>
      <c r="P1228" s="1560"/>
      <c r="Q1228" s="1560"/>
      <c r="R1228" s="1563"/>
    </row>
    <row r="1229" spans="1:18" s="1564" customFormat="1" ht="60" customHeight="1" hidden="1">
      <c r="A1229" s="1557"/>
      <c r="B1229" s="1738" t="s">
        <v>1336</v>
      </c>
      <c r="C1229" s="1389">
        <v>200000</v>
      </c>
      <c r="D1229" s="830"/>
      <c r="E1229" s="1390"/>
      <c r="F1229" s="1366"/>
      <c r="G1229" s="1494">
        <v>200000</v>
      </c>
      <c r="H1229" s="1740"/>
      <c r="I1229" s="1369"/>
      <c r="J1229" s="1561"/>
      <c r="K1229" s="1560"/>
      <c r="L1229" s="1369"/>
      <c r="M1229" s="1560"/>
      <c r="N1229" s="1560"/>
      <c r="O1229" s="1395"/>
      <c r="P1229" s="1560"/>
      <c r="Q1229" s="1560"/>
      <c r="R1229" s="1563"/>
    </row>
    <row r="1230" spans="1:18" s="1435" customFormat="1" ht="12.75">
      <c r="A1230" s="1436">
        <v>90003</v>
      </c>
      <c r="B1230" s="1529" t="s">
        <v>1337</v>
      </c>
      <c r="C1230" s="1438">
        <f>SUM(C1231:C1231)</f>
        <v>2450000</v>
      </c>
      <c r="D1230" s="845">
        <f aca="true" t="shared" si="175" ref="D1230:E1258">G1230+J1230+P1230+M1230</f>
        <v>2330000</v>
      </c>
      <c r="E1230" s="1380">
        <f t="shared" si="175"/>
        <v>1439201</v>
      </c>
      <c r="F1230" s="1381">
        <f t="shared" si="171"/>
        <v>61.76828326180257</v>
      </c>
      <c r="G1230" s="1380">
        <f>SUM(G1231:G1231)</f>
        <v>1153000</v>
      </c>
      <c r="H1230" s="1440">
        <f>SUM(H1231:H1231)</f>
        <v>532428</v>
      </c>
      <c r="I1230" s="1475">
        <f t="shared" si="173"/>
        <v>46.17762359063313</v>
      </c>
      <c r="J1230" s="1440"/>
      <c r="K1230" s="1380"/>
      <c r="L1230" s="1475"/>
      <c r="M1230" s="1380">
        <f>SUM(M1231:M1231)</f>
        <v>1177000</v>
      </c>
      <c r="N1230" s="1380">
        <f>SUM(N1231:N1231)</f>
        <v>906773</v>
      </c>
      <c r="O1230" s="1741">
        <f>N1230/M1230*100</f>
        <v>77.0410365335599</v>
      </c>
      <c r="P1230" s="1380"/>
      <c r="Q1230" s="1380"/>
      <c r="R1230" s="1478"/>
    </row>
    <row r="1231" spans="1:18" ht="16.5" customHeight="1">
      <c r="A1231" s="1443">
        <v>4300</v>
      </c>
      <c r="B1231" s="1451" t="s">
        <v>698</v>
      </c>
      <c r="C1231" s="1389">
        <v>2450000</v>
      </c>
      <c r="D1231" s="830">
        <f t="shared" si="175"/>
        <v>2330000</v>
      </c>
      <c r="E1231" s="856">
        <f t="shared" si="175"/>
        <v>1439201</v>
      </c>
      <c r="F1231" s="1366">
        <f t="shared" si="171"/>
        <v>61.76828326180257</v>
      </c>
      <c r="G1231" s="1390">
        <f>1078000+100000-25000</f>
        <v>1153000</v>
      </c>
      <c r="H1231" s="1445">
        <v>532428</v>
      </c>
      <c r="I1231" s="1369">
        <f t="shared" si="173"/>
        <v>46.17762359063313</v>
      </c>
      <c r="J1231" s="1445"/>
      <c r="K1231" s="1390"/>
      <c r="L1231" s="1369"/>
      <c r="M1231" s="1390">
        <f>1372000-220000+25000</f>
        <v>1177000</v>
      </c>
      <c r="N1231" s="1390">
        <v>906773</v>
      </c>
      <c r="O1231" s="1584">
        <f>N1231/M1231*100</f>
        <v>77.0410365335599</v>
      </c>
      <c r="P1231" s="1390"/>
      <c r="Q1231" s="1390"/>
      <c r="R1231" s="1454"/>
    </row>
    <row r="1232" spans="1:18" s="1435" customFormat="1" ht="28.5" customHeight="1">
      <c r="A1232" s="1436">
        <v>90004</v>
      </c>
      <c r="B1232" s="1529" t="s">
        <v>1338</v>
      </c>
      <c r="C1232" s="1438">
        <f>SUM(C1233:C1233)</f>
        <v>1650000</v>
      </c>
      <c r="D1232" s="845">
        <f t="shared" si="175"/>
        <v>1630000</v>
      </c>
      <c r="E1232" s="1380">
        <f t="shared" si="175"/>
        <v>582533</v>
      </c>
      <c r="F1232" s="1381">
        <f t="shared" si="171"/>
        <v>35.7382208588957</v>
      </c>
      <c r="G1232" s="1380">
        <f>SUM(G1233:G1234)</f>
        <v>1032700</v>
      </c>
      <c r="H1232" s="1440">
        <f>SUM(H1233:H1234)</f>
        <v>394076</v>
      </c>
      <c r="I1232" s="1475">
        <f t="shared" si="173"/>
        <v>38.15977534617992</v>
      </c>
      <c r="J1232" s="1440"/>
      <c r="K1232" s="1380"/>
      <c r="L1232" s="1475"/>
      <c r="M1232" s="1380">
        <f>SUM(M1233:M1233)</f>
        <v>597300</v>
      </c>
      <c r="N1232" s="1380">
        <f>SUM(N1233:N1233)</f>
        <v>188457</v>
      </c>
      <c r="O1232" s="1388">
        <f>N1232/M1232*100</f>
        <v>31.551481667503765</v>
      </c>
      <c r="P1232" s="1380"/>
      <c r="Q1232" s="1380"/>
      <c r="R1232" s="1478"/>
    </row>
    <row r="1233" spans="1:18" ht="12.75">
      <c r="A1233" s="1422">
        <v>4300</v>
      </c>
      <c r="B1233" s="1547" t="s">
        <v>698</v>
      </c>
      <c r="C1233" s="1393">
        <v>1650000</v>
      </c>
      <c r="D1233" s="869">
        <f t="shared" si="175"/>
        <v>1630000</v>
      </c>
      <c r="E1233" s="1407">
        <f>SUM(H1233+K1233+N1233+Q1233)</f>
        <v>582533</v>
      </c>
      <c r="F1233" s="1391">
        <f t="shared" si="171"/>
        <v>35.7382208588957</v>
      </c>
      <c r="G1233" s="1407">
        <f>1052700-20000</f>
        <v>1032700</v>
      </c>
      <c r="H1233" s="1548">
        <v>394076</v>
      </c>
      <c r="I1233" s="1410">
        <f t="shared" si="173"/>
        <v>38.15977534617992</v>
      </c>
      <c r="J1233" s="1548"/>
      <c r="K1233" s="1407"/>
      <c r="L1233" s="1410"/>
      <c r="M1233" s="1407">
        <v>597300</v>
      </c>
      <c r="N1233" s="1407">
        <v>188457</v>
      </c>
      <c r="O1233" s="1374">
        <f>N1233/M1233*100</f>
        <v>31.551481667503765</v>
      </c>
      <c r="P1233" s="1407"/>
      <c r="Q1233" s="1407"/>
      <c r="R1233" s="1550"/>
    </row>
    <row r="1234" spans="1:18" ht="24" hidden="1">
      <c r="A1234" s="1492">
        <v>4170</v>
      </c>
      <c r="B1234" s="1493" t="s">
        <v>744</v>
      </c>
      <c r="C1234" s="1494"/>
      <c r="D1234" s="862">
        <f t="shared" si="175"/>
        <v>0</v>
      </c>
      <c r="E1234" s="1390">
        <f>SUM(H1234+K1234+N1234+Q1234)</f>
        <v>0</v>
      </c>
      <c r="F1234" s="1366" t="e">
        <f t="shared" si="171"/>
        <v>#DIV/0!</v>
      </c>
      <c r="G1234" s="1487"/>
      <c r="H1234" s="1495"/>
      <c r="I1234" s="1369" t="e">
        <f t="shared" si="173"/>
        <v>#DIV/0!</v>
      </c>
      <c r="J1234" s="1495"/>
      <c r="K1234" s="1487"/>
      <c r="L1234" s="1439"/>
      <c r="M1234" s="1487"/>
      <c r="N1234" s="1487"/>
      <c r="O1234" s="1420"/>
      <c r="P1234" s="1487"/>
      <c r="Q1234" s="1487"/>
      <c r="R1234" s="1539"/>
    </row>
    <row r="1235" spans="1:18" s="1435" customFormat="1" ht="12.75" customHeight="1">
      <c r="A1235" s="1436">
        <v>90013</v>
      </c>
      <c r="B1235" s="1529" t="s">
        <v>1339</v>
      </c>
      <c r="C1235" s="1438">
        <f>SUM(C1236:C1239)</f>
        <v>495000</v>
      </c>
      <c r="D1235" s="845">
        <f t="shared" si="175"/>
        <v>395000</v>
      </c>
      <c r="E1235" s="1380">
        <f>H1235+K1235+Q1235+N1235</f>
        <v>246706</v>
      </c>
      <c r="F1235" s="1381">
        <f t="shared" si="171"/>
        <v>62.457215189873416</v>
      </c>
      <c r="G1235" s="1380">
        <f>SUM(G1236:G1239)</f>
        <v>395000</v>
      </c>
      <c r="H1235" s="1380">
        <f>SUM(H1236:H1239)</f>
        <v>246706</v>
      </c>
      <c r="I1235" s="1475">
        <f t="shared" si="173"/>
        <v>62.457215189873416</v>
      </c>
      <c r="J1235" s="1440"/>
      <c r="K1235" s="1380"/>
      <c r="L1235" s="1400"/>
      <c r="M1235" s="1380"/>
      <c r="N1235" s="1380"/>
      <c r="O1235" s="1388"/>
      <c r="P1235" s="1380"/>
      <c r="Q1235" s="1380"/>
      <c r="R1235" s="1478"/>
    </row>
    <row r="1236" spans="1:18" s="1286" customFormat="1" ht="24">
      <c r="A1236" s="1512">
        <v>4210</v>
      </c>
      <c r="B1236" s="1574" t="s">
        <v>690</v>
      </c>
      <c r="C1236" s="832"/>
      <c r="D1236" s="830">
        <f t="shared" si="175"/>
        <v>31500</v>
      </c>
      <c r="E1236" s="1390">
        <f>SUM(H1236+K1236+N1236+Q1236)</f>
        <v>3306</v>
      </c>
      <c r="F1236" s="1366">
        <f t="shared" si="171"/>
        <v>10.495238095238095</v>
      </c>
      <c r="G1236" s="830">
        <f>3500+28000</f>
        <v>31500</v>
      </c>
      <c r="H1236" s="1514">
        <v>3306</v>
      </c>
      <c r="I1236" s="1369">
        <f t="shared" si="173"/>
        <v>10.495238095238095</v>
      </c>
      <c r="J1236" s="1514"/>
      <c r="K1236" s="830"/>
      <c r="L1236" s="1369"/>
      <c r="M1236" s="830"/>
      <c r="N1236" s="830"/>
      <c r="O1236" s="1573"/>
      <c r="P1236" s="830"/>
      <c r="Q1236" s="830"/>
      <c r="R1236" s="834"/>
    </row>
    <row r="1237" spans="1:18" s="1286" customFormat="1" ht="16.5" customHeight="1" hidden="1">
      <c r="A1237" s="1512">
        <v>4270</v>
      </c>
      <c r="B1237" s="1574" t="s">
        <v>696</v>
      </c>
      <c r="C1237" s="832"/>
      <c r="D1237" s="830">
        <f t="shared" si="175"/>
        <v>0</v>
      </c>
      <c r="E1237" s="1390">
        <f>SUM(H1237+K1237+N1237+Q1237)</f>
        <v>0</v>
      </c>
      <c r="F1237" s="1366" t="e">
        <f t="shared" si="171"/>
        <v>#DIV/0!</v>
      </c>
      <c r="G1237" s="830"/>
      <c r="H1237" s="1514"/>
      <c r="I1237" s="1369" t="e">
        <f t="shared" si="173"/>
        <v>#DIV/0!</v>
      </c>
      <c r="J1237" s="1514"/>
      <c r="K1237" s="830"/>
      <c r="L1237" s="1369"/>
      <c r="M1237" s="830"/>
      <c r="N1237" s="830"/>
      <c r="O1237" s="1573"/>
      <c r="P1237" s="830"/>
      <c r="Q1237" s="830"/>
      <c r="R1237" s="834"/>
    </row>
    <row r="1238" spans="1:18" ht="24">
      <c r="A1238" s="1443">
        <v>4300</v>
      </c>
      <c r="B1238" s="1451" t="s">
        <v>1340</v>
      </c>
      <c r="C1238" s="1389">
        <v>295000</v>
      </c>
      <c r="D1238" s="830">
        <f t="shared" si="175"/>
        <v>295000</v>
      </c>
      <c r="E1238" s="1390">
        <f>SUM(H1238+K1238+N1238+Q1238)</f>
        <v>243400</v>
      </c>
      <c r="F1238" s="1366">
        <f t="shared" si="171"/>
        <v>82.50847457627118</v>
      </c>
      <c r="G1238" s="1390">
        <v>295000</v>
      </c>
      <c r="H1238" s="1445">
        <v>243400</v>
      </c>
      <c r="I1238" s="1369">
        <f t="shared" si="173"/>
        <v>82.50847457627118</v>
      </c>
      <c r="J1238" s="1445"/>
      <c r="K1238" s="1390"/>
      <c r="L1238" s="1369"/>
      <c r="M1238" s="1390"/>
      <c r="N1238" s="1390"/>
      <c r="O1238" s="1395"/>
      <c r="P1238" s="1390"/>
      <c r="Q1238" s="1390"/>
      <c r="R1238" s="1454"/>
    </row>
    <row r="1239" spans="1:18" ht="24">
      <c r="A1239" s="1443">
        <v>6050</v>
      </c>
      <c r="B1239" s="1451" t="s">
        <v>767</v>
      </c>
      <c r="C1239" s="1389">
        <v>200000</v>
      </c>
      <c r="D1239" s="830">
        <f t="shared" si="175"/>
        <v>68500</v>
      </c>
      <c r="E1239" s="830">
        <f>H1239+K1239+Q1239+N1239</f>
        <v>0</v>
      </c>
      <c r="F1239" s="1366">
        <f t="shared" si="171"/>
        <v>0</v>
      </c>
      <c r="G1239" s="1389">
        <f>200000-3500-100000-28000</f>
        <v>68500</v>
      </c>
      <c r="H1239" s="1578"/>
      <c r="I1239" s="1369">
        <f t="shared" si="173"/>
        <v>0</v>
      </c>
      <c r="J1239" s="1445"/>
      <c r="K1239" s="1390"/>
      <c r="L1239" s="1369"/>
      <c r="M1239" s="1445"/>
      <c r="N1239" s="1487"/>
      <c r="O1239" s="1395"/>
      <c r="P1239" s="1445"/>
      <c r="Q1239" s="1390"/>
      <c r="R1239" s="1454"/>
    </row>
    <row r="1240" spans="1:18" s="1435" customFormat="1" ht="27" customHeight="1">
      <c r="A1240" s="1436">
        <v>90015</v>
      </c>
      <c r="B1240" s="1529" t="s">
        <v>1341</v>
      </c>
      <c r="C1240" s="1438">
        <f>SUM(C1241:C1245)</f>
        <v>2870000</v>
      </c>
      <c r="D1240" s="845">
        <f t="shared" si="175"/>
        <v>2870000</v>
      </c>
      <c r="E1240" s="1380">
        <f t="shared" si="175"/>
        <v>1471801</v>
      </c>
      <c r="F1240" s="1381">
        <f t="shared" si="171"/>
        <v>51.28226480836236</v>
      </c>
      <c r="G1240" s="1380">
        <f>SUM(G1241:G1245)</f>
        <v>1750000</v>
      </c>
      <c r="H1240" s="1440">
        <f>SUM(H1241:H1245)</f>
        <v>883524</v>
      </c>
      <c r="I1240" s="1475">
        <f t="shared" si="173"/>
        <v>50.48708571428572</v>
      </c>
      <c r="J1240" s="1440"/>
      <c r="K1240" s="1380"/>
      <c r="L1240" s="1475"/>
      <c r="M1240" s="1380">
        <f>SUM(M1241:M1245)</f>
        <v>1120000</v>
      </c>
      <c r="N1240" s="1536">
        <f>SUM(N1241:N1245)</f>
        <v>588277</v>
      </c>
      <c r="O1240" s="1388">
        <f>N1240/M1240*100</f>
        <v>52.52473214285715</v>
      </c>
      <c r="P1240" s="1380"/>
      <c r="Q1240" s="1380"/>
      <c r="R1240" s="1478"/>
    </row>
    <row r="1241" spans="1:18" ht="15" customHeight="1">
      <c r="A1241" s="1422">
        <v>4260</v>
      </c>
      <c r="B1241" s="1490" t="s">
        <v>694</v>
      </c>
      <c r="C1241" s="1393">
        <v>1620000</v>
      </c>
      <c r="D1241" s="869">
        <f t="shared" si="175"/>
        <v>1620000</v>
      </c>
      <c r="E1241" s="1407">
        <f>SUM(H1241+K1241+N1241+Q1241)</f>
        <v>821698</v>
      </c>
      <c r="F1241" s="1391">
        <f t="shared" si="171"/>
        <v>50.7220987654321</v>
      </c>
      <c r="G1241" s="1407">
        <v>950000</v>
      </c>
      <c r="H1241" s="1548">
        <v>454933</v>
      </c>
      <c r="I1241" s="1410">
        <f t="shared" si="173"/>
        <v>47.88768421052632</v>
      </c>
      <c r="J1241" s="1548"/>
      <c r="K1241" s="1407"/>
      <c r="L1241" s="1410"/>
      <c r="M1241" s="1407">
        <v>670000</v>
      </c>
      <c r="N1241" s="1407">
        <v>366765</v>
      </c>
      <c r="O1241" s="1395">
        <f>N1241/M1241*100</f>
        <v>54.74104477611941</v>
      </c>
      <c r="P1241" s="1407"/>
      <c r="Q1241" s="1407"/>
      <c r="R1241" s="1550"/>
    </row>
    <row r="1242" spans="1:18" ht="18" customHeight="1">
      <c r="A1242" s="1443">
        <v>4270</v>
      </c>
      <c r="B1242" s="1451" t="s">
        <v>696</v>
      </c>
      <c r="C1242" s="1389">
        <v>1175000</v>
      </c>
      <c r="D1242" s="830">
        <f t="shared" si="175"/>
        <v>1175000</v>
      </c>
      <c r="E1242" s="1390">
        <f>SUM(H1242+K1242+N1242+Q1242)</f>
        <v>649803</v>
      </c>
      <c r="F1242" s="1366">
        <f t="shared" si="171"/>
        <v>55.30238297872341</v>
      </c>
      <c r="G1242" s="1390">
        <v>725000</v>
      </c>
      <c r="H1242" s="1445">
        <f>428292-1</f>
        <v>428291</v>
      </c>
      <c r="I1242" s="1369">
        <f t="shared" si="173"/>
        <v>59.07462068965518</v>
      </c>
      <c r="J1242" s="1445"/>
      <c r="K1242" s="1390"/>
      <c r="L1242" s="1369"/>
      <c r="M1242" s="1390">
        <v>450000</v>
      </c>
      <c r="N1242" s="1390">
        <v>221512</v>
      </c>
      <c r="O1242" s="1395">
        <f>N1242/M1242*100</f>
        <v>49.22488888888889</v>
      </c>
      <c r="P1242" s="1390"/>
      <c r="Q1242" s="1390"/>
      <c r="R1242" s="1454"/>
    </row>
    <row r="1243" spans="1:18" ht="12.75" hidden="1">
      <c r="A1243" s="1443">
        <v>4300</v>
      </c>
      <c r="B1243" s="1451" t="s">
        <v>698</v>
      </c>
      <c r="C1243" s="1389"/>
      <c r="D1243" s="830">
        <f t="shared" si="175"/>
        <v>0</v>
      </c>
      <c r="E1243" s="1390">
        <f>SUM(H1243+K1243+N1243+Q1243)</f>
        <v>0</v>
      </c>
      <c r="F1243" s="1366" t="e">
        <f t="shared" si="171"/>
        <v>#DIV/0!</v>
      </c>
      <c r="G1243" s="1390"/>
      <c r="H1243" s="1445"/>
      <c r="I1243" s="1369" t="e">
        <f t="shared" si="173"/>
        <v>#DIV/0!</v>
      </c>
      <c r="J1243" s="1445"/>
      <c r="K1243" s="1390"/>
      <c r="L1243" s="1369"/>
      <c r="M1243" s="1390"/>
      <c r="N1243" s="1390"/>
      <c r="O1243" s="1395"/>
      <c r="P1243" s="1390"/>
      <c r="Q1243" s="1390"/>
      <c r="R1243" s="1454"/>
    </row>
    <row r="1244" spans="1:18" ht="72" hidden="1">
      <c r="A1244" s="1443">
        <v>4560</v>
      </c>
      <c r="B1244" s="1451" t="s">
        <v>749</v>
      </c>
      <c r="C1244" s="1389"/>
      <c r="D1244" s="830">
        <f t="shared" si="175"/>
        <v>0</v>
      </c>
      <c r="E1244" s="830">
        <f t="shared" si="175"/>
        <v>0</v>
      </c>
      <c r="F1244" s="1366" t="e">
        <f t="shared" si="171"/>
        <v>#DIV/0!</v>
      </c>
      <c r="G1244" s="1390"/>
      <c r="H1244" s="1445"/>
      <c r="I1244" s="1369" t="e">
        <f t="shared" si="173"/>
        <v>#DIV/0!</v>
      </c>
      <c r="J1244" s="1445"/>
      <c r="K1244" s="1390"/>
      <c r="L1244" s="1369"/>
      <c r="M1244" s="1390"/>
      <c r="N1244" s="1390"/>
      <c r="O1244" s="1395"/>
      <c r="P1244" s="1390"/>
      <c r="Q1244" s="1390"/>
      <c r="R1244" s="1454"/>
    </row>
    <row r="1245" spans="1:18" ht="24">
      <c r="A1245" s="1492">
        <v>6050</v>
      </c>
      <c r="B1245" s="1493" t="s">
        <v>719</v>
      </c>
      <c r="C1245" s="1494">
        <v>75000</v>
      </c>
      <c r="D1245" s="862">
        <f t="shared" si="175"/>
        <v>75000</v>
      </c>
      <c r="E1245" s="1487">
        <f aca="true" t="shared" si="176" ref="E1245:E1259">SUM(H1245+K1245+N1245+Q1245)</f>
        <v>300</v>
      </c>
      <c r="F1245" s="1419">
        <f t="shared" si="171"/>
        <v>0.4</v>
      </c>
      <c r="G1245" s="1487">
        <v>75000</v>
      </c>
      <c r="H1245" s="1495">
        <v>300</v>
      </c>
      <c r="I1245" s="1369">
        <f t="shared" si="173"/>
        <v>0.4</v>
      </c>
      <c r="J1245" s="1495"/>
      <c r="K1245" s="1487"/>
      <c r="L1245" s="1439"/>
      <c r="M1245" s="1487"/>
      <c r="N1245" s="1487"/>
      <c r="O1245" s="1420"/>
      <c r="P1245" s="1487"/>
      <c r="Q1245" s="1487"/>
      <c r="R1245" s="1539"/>
    </row>
    <row r="1246" spans="1:18" ht="24" customHeight="1">
      <c r="A1246" s="1436">
        <v>90095</v>
      </c>
      <c r="B1246" s="1529" t="s">
        <v>299</v>
      </c>
      <c r="C1246" s="1675">
        <f>SUM(C1247:C1271)</f>
        <v>1760500</v>
      </c>
      <c r="D1246" s="845">
        <f t="shared" si="175"/>
        <v>1576702</v>
      </c>
      <c r="E1246" s="845">
        <f t="shared" si="176"/>
        <v>100670</v>
      </c>
      <c r="F1246" s="1381">
        <f t="shared" si="171"/>
        <v>6.384846343824008</v>
      </c>
      <c r="G1246" s="1380">
        <f>SUM(G1247:G1271)+G1286</f>
        <v>1576702</v>
      </c>
      <c r="H1246" s="1380">
        <f>SUM(H1247:H1271)+H1286</f>
        <v>100670</v>
      </c>
      <c r="I1246" s="1475">
        <f t="shared" si="173"/>
        <v>6.384846343824008</v>
      </c>
      <c r="J1246" s="1736"/>
      <c r="K1246" s="1380"/>
      <c r="L1246" s="1475"/>
      <c r="M1246" s="1380"/>
      <c r="N1246" s="1380"/>
      <c r="O1246" s="1388"/>
      <c r="P1246" s="1380"/>
      <c r="Q1246" s="1380"/>
      <c r="R1246" s="1442"/>
    </row>
    <row r="1247" spans="1:18" s="1286" customFormat="1" ht="24" hidden="1">
      <c r="A1247" s="1540">
        <v>4112</v>
      </c>
      <c r="B1247" s="1541" t="s">
        <v>686</v>
      </c>
      <c r="C1247" s="864"/>
      <c r="D1247" s="830">
        <f t="shared" si="175"/>
        <v>0</v>
      </c>
      <c r="E1247" s="1390">
        <f t="shared" si="176"/>
        <v>0</v>
      </c>
      <c r="F1247" s="1391" t="e">
        <f t="shared" si="171"/>
        <v>#DIV/0!</v>
      </c>
      <c r="G1247" s="1542"/>
      <c r="H1247" s="1514"/>
      <c r="I1247" s="1369" t="e">
        <f t="shared" si="173"/>
        <v>#DIV/0!</v>
      </c>
      <c r="J1247" s="1583"/>
      <c r="K1247" s="830"/>
      <c r="L1247" s="1369"/>
      <c r="M1247" s="830"/>
      <c r="N1247" s="830"/>
      <c r="O1247" s="1573"/>
      <c r="P1247" s="830"/>
      <c r="Q1247" s="830"/>
      <c r="R1247" s="834"/>
    </row>
    <row r="1248" spans="1:18" s="1286" customFormat="1" ht="12.75" hidden="1">
      <c r="A1248" s="1512">
        <v>4122</v>
      </c>
      <c r="B1248" s="1574" t="s">
        <v>781</v>
      </c>
      <c r="C1248" s="832"/>
      <c r="D1248" s="830">
        <f t="shared" si="175"/>
        <v>0</v>
      </c>
      <c r="E1248" s="1390">
        <f t="shared" si="176"/>
        <v>0</v>
      </c>
      <c r="F1248" s="1366" t="e">
        <f t="shared" si="171"/>
        <v>#DIV/0!</v>
      </c>
      <c r="G1248" s="1514"/>
      <c r="H1248" s="1514"/>
      <c r="I1248" s="1369" t="e">
        <f>H1248/G1248*100</f>
        <v>#DIV/0!</v>
      </c>
      <c r="J1248" s="1583"/>
      <c r="K1248" s="830"/>
      <c r="L1248" s="1369"/>
      <c r="M1248" s="830"/>
      <c r="N1248" s="830"/>
      <c r="O1248" s="1573"/>
      <c r="P1248" s="830"/>
      <c r="Q1248" s="830"/>
      <c r="R1248" s="834"/>
    </row>
    <row r="1249" spans="1:18" s="1286" customFormat="1" ht="24" hidden="1">
      <c r="A1249" s="1512">
        <v>4172</v>
      </c>
      <c r="B1249" s="1574" t="s">
        <v>744</v>
      </c>
      <c r="C1249" s="832"/>
      <c r="D1249" s="830">
        <f t="shared" si="175"/>
        <v>0</v>
      </c>
      <c r="E1249" s="1390">
        <f t="shared" si="176"/>
        <v>0</v>
      </c>
      <c r="F1249" s="1366" t="e">
        <f t="shared" si="171"/>
        <v>#DIV/0!</v>
      </c>
      <c r="G1249" s="1514"/>
      <c r="H1249" s="1514"/>
      <c r="I1249" s="1369" t="e">
        <f>H1249/G1249*100</f>
        <v>#DIV/0!</v>
      </c>
      <c r="J1249" s="1583"/>
      <c r="K1249" s="830"/>
      <c r="L1249" s="1369"/>
      <c r="M1249" s="830"/>
      <c r="N1249" s="830"/>
      <c r="O1249" s="1573"/>
      <c r="P1249" s="830"/>
      <c r="Q1249" s="830"/>
      <c r="R1249" s="834"/>
    </row>
    <row r="1250" spans="1:18" s="1286" customFormat="1" ht="24" hidden="1">
      <c r="A1250" s="1443">
        <v>4211</v>
      </c>
      <c r="B1250" s="1451" t="s">
        <v>690</v>
      </c>
      <c r="C1250" s="832"/>
      <c r="D1250" s="830">
        <f t="shared" si="175"/>
        <v>0</v>
      </c>
      <c r="E1250" s="1390">
        <f t="shared" si="176"/>
        <v>0</v>
      </c>
      <c r="F1250" s="1366" t="e">
        <f t="shared" si="171"/>
        <v>#DIV/0!</v>
      </c>
      <c r="G1250" s="1514"/>
      <c r="H1250" s="1514"/>
      <c r="I1250" s="1369" t="e">
        <f>H1250/G1250*100</f>
        <v>#DIV/0!</v>
      </c>
      <c r="J1250" s="1583"/>
      <c r="K1250" s="830"/>
      <c r="L1250" s="1369"/>
      <c r="M1250" s="830"/>
      <c r="N1250" s="830"/>
      <c r="O1250" s="1573"/>
      <c r="P1250" s="830"/>
      <c r="Q1250" s="830"/>
      <c r="R1250" s="834"/>
    </row>
    <row r="1251" spans="1:18" ht="24" hidden="1">
      <c r="A1251" s="1443">
        <v>4212</v>
      </c>
      <c r="B1251" s="1451" t="s">
        <v>690</v>
      </c>
      <c r="C1251" s="1742"/>
      <c r="D1251" s="830">
        <f t="shared" si="175"/>
        <v>0</v>
      </c>
      <c r="E1251" s="1390">
        <f t="shared" si="176"/>
        <v>0</v>
      </c>
      <c r="F1251" s="1366" t="e">
        <f t="shared" si="171"/>
        <v>#DIV/0!</v>
      </c>
      <c r="G1251" s="1742"/>
      <c r="H1251" s="1445"/>
      <c r="I1251" s="1369" t="e">
        <f>H1251/G1251*100</f>
        <v>#DIV/0!</v>
      </c>
      <c r="J1251" s="1445"/>
      <c r="K1251" s="1390"/>
      <c r="L1251" s="1369"/>
      <c r="M1251" s="1390"/>
      <c r="N1251" s="1390"/>
      <c r="O1251" s="1395"/>
      <c r="P1251" s="1390"/>
      <c r="Q1251" s="1390"/>
      <c r="R1251" s="1454"/>
    </row>
    <row r="1252" spans="1:18" ht="12.75">
      <c r="A1252" s="1443">
        <v>4270</v>
      </c>
      <c r="B1252" s="1451" t="s">
        <v>1342</v>
      </c>
      <c r="C1252" s="1742">
        <v>193500</v>
      </c>
      <c r="D1252" s="830">
        <f t="shared" si="175"/>
        <v>378180</v>
      </c>
      <c r="E1252" s="1390">
        <f t="shared" si="176"/>
        <v>0</v>
      </c>
      <c r="F1252" s="1366">
        <f t="shared" si="171"/>
        <v>0</v>
      </c>
      <c r="G1252" s="1742">
        <f>193500+20000+106680+30000+28000</f>
        <v>378180</v>
      </c>
      <c r="H1252" s="1445"/>
      <c r="I1252" s="1369">
        <f>H1252/G1252*100</f>
        <v>0</v>
      </c>
      <c r="J1252" s="1445"/>
      <c r="K1252" s="1390"/>
      <c r="L1252" s="1369"/>
      <c r="M1252" s="1390"/>
      <c r="N1252" s="1390"/>
      <c r="O1252" s="1395"/>
      <c r="P1252" s="1390"/>
      <c r="Q1252" s="1390"/>
      <c r="R1252" s="1454"/>
    </row>
    <row r="1253" spans="1:18" ht="12.75">
      <c r="A1253" s="1443">
        <v>4300</v>
      </c>
      <c r="B1253" s="1451" t="s">
        <v>698</v>
      </c>
      <c r="C1253" s="1743">
        <v>187000</v>
      </c>
      <c r="D1253" s="830">
        <f t="shared" si="175"/>
        <v>187000</v>
      </c>
      <c r="E1253" s="1390">
        <f t="shared" si="176"/>
        <v>73399</v>
      </c>
      <c r="F1253" s="1366">
        <f t="shared" si="171"/>
        <v>39.25080213903743</v>
      </c>
      <c r="G1253" s="1743">
        <v>187000</v>
      </c>
      <c r="H1253" s="1514">
        <f>73398+1</f>
        <v>73399</v>
      </c>
      <c r="I1253" s="1369">
        <f t="shared" si="173"/>
        <v>39.25080213903743</v>
      </c>
      <c r="J1253" s="1445"/>
      <c r="K1253" s="1390"/>
      <c r="L1253" s="1369"/>
      <c r="M1253" s="1390"/>
      <c r="N1253" s="1390"/>
      <c r="O1253" s="1395"/>
      <c r="P1253" s="1390"/>
      <c r="Q1253" s="1390"/>
      <c r="R1253" s="1454"/>
    </row>
    <row r="1254" spans="1:18" ht="24" hidden="1">
      <c r="A1254" s="1499"/>
      <c r="B1254" s="1597" t="s">
        <v>1343</v>
      </c>
      <c r="C1254" s="1744"/>
      <c r="D1254" s="830">
        <f t="shared" si="175"/>
        <v>0</v>
      </c>
      <c r="E1254" s="1390">
        <f t="shared" si="176"/>
        <v>0</v>
      </c>
      <c r="F1254" s="1366" t="e">
        <f t="shared" si="171"/>
        <v>#DIV/0!</v>
      </c>
      <c r="G1254" s="1744"/>
      <c r="H1254" s="1445"/>
      <c r="I1254" s="1369" t="e">
        <f t="shared" si="173"/>
        <v>#DIV/0!</v>
      </c>
      <c r="J1254" s="1445"/>
      <c r="K1254" s="1390"/>
      <c r="L1254" s="1369"/>
      <c r="M1254" s="1390"/>
      <c r="N1254" s="1390"/>
      <c r="O1254" s="1395"/>
      <c r="P1254" s="1390"/>
      <c r="Q1254" s="1390"/>
      <c r="R1254" s="1454"/>
    </row>
    <row r="1255" spans="1:18" s="1564" customFormat="1" ht="12.75" hidden="1">
      <c r="A1255" s="1745"/>
      <c r="B1255" s="1597" t="s">
        <v>1344</v>
      </c>
      <c r="C1255" s="1744"/>
      <c r="D1255" s="830">
        <f t="shared" si="175"/>
        <v>0</v>
      </c>
      <c r="E1255" s="1390">
        <f t="shared" si="176"/>
        <v>0</v>
      </c>
      <c r="F1255" s="1366" t="e">
        <f t="shared" si="171"/>
        <v>#DIV/0!</v>
      </c>
      <c r="G1255" s="1744"/>
      <c r="H1255" s="1368"/>
      <c r="I1255" s="1369" t="e">
        <f t="shared" si="173"/>
        <v>#DIV/0!</v>
      </c>
      <c r="J1255" s="1746"/>
      <c r="K1255" s="1560"/>
      <c r="L1255" s="1369"/>
      <c r="M1255" s="1747"/>
      <c r="N1255" s="1747"/>
      <c r="O1255" s="1395"/>
      <c r="P1255" s="1747"/>
      <c r="Q1255" s="1747"/>
      <c r="R1255" s="1582"/>
    </row>
    <row r="1256" spans="1:18" s="1564" customFormat="1" ht="37.5" customHeight="1" hidden="1">
      <c r="A1256" s="1745"/>
      <c r="B1256" s="1597" t="s">
        <v>1345</v>
      </c>
      <c r="C1256" s="1744"/>
      <c r="D1256" s="830">
        <f t="shared" si="175"/>
        <v>0</v>
      </c>
      <c r="E1256" s="1390">
        <f t="shared" si="176"/>
        <v>0</v>
      </c>
      <c r="F1256" s="1366" t="e">
        <f t="shared" si="171"/>
        <v>#DIV/0!</v>
      </c>
      <c r="G1256" s="1744"/>
      <c r="H1256" s="1514"/>
      <c r="I1256" s="1369" t="e">
        <f t="shared" si="173"/>
        <v>#DIV/0!</v>
      </c>
      <c r="J1256" s="1561"/>
      <c r="K1256" s="1560"/>
      <c r="L1256" s="1369"/>
      <c r="M1256" s="1560"/>
      <c r="N1256" s="1560"/>
      <c r="O1256" s="1395"/>
      <c r="P1256" s="1560"/>
      <c r="Q1256" s="1560"/>
      <c r="R1256" s="1563"/>
    </row>
    <row r="1257" spans="1:18" s="1564" customFormat="1" ht="12.75" hidden="1">
      <c r="A1257" s="1499"/>
      <c r="B1257" s="1597" t="s">
        <v>1346</v>
      </c>
      <c r="C1257" s="1744"/>
      <c r="D1257" s="830">
        <f t="shared" si="175"/>
        <v>0</v>
      </c>
      <c r="E1257" s="1390">
        <f t="shared" si="176"/>
        <v>0</v>
      </c>
      <c r="F1257" s="1366" t="e">
        <f t="shared" si="171"/>
        <v>#DIV/0!</v>
      </c>
      <c r="G1257" s="1744"/>
      <c r="H1257" s="1514"/>
      <c r="I1257" s="1369" t="e">
        <f t="shared" si="173"/>
        <v>#DIV/0!</v>
      </c>
      <c r="J1257" s="1561"/>
      <c r="K1257" s="1560"/>
      <c r="L1257" s="1369"/>
      <c r="M1257" s="1560"/>
      <c r="N1257" s="1560"/>
      <c r="O1257" s="1395"/>
      <c r="P1257" s="1560"/>
      <c r="Q1257" s="1560"/>
      <c r="R1257" s="1563"/>
    </row>
    <row r="1258" spans="1:18" s="1564" customFormat="1" ht="21" customHeight="1" hidden="1">
      <c r="A1258" s="1499"/>
      <c r="B1258" s="1597" t="s">
        <v>1347</v>
      </c>
      <c r="C1258" s="1744"/>
      <c r="D1258" s="830">
        <f t="shared" si="175"/>
        <v>0</v>
      </c>
      <c r="E1258" s="1390">
        <f t="shared" si="176"/>
        <v>0</v>
      </c>
      <c r="F1258" s="1366" t="e">
        <f t="shared" si="171"/>
        <v>#DIV/0!</v>
      </c>
      <c r="G1258" s="1744"/>
      <c r="H1258" s="1514"/>
      <c r="I1258" s="1369" t="e">
        <f t="shared" si="173"/>
        <v>#DIV/0!</v>
      </c>
      <c r="J1258" s="1561"/>
      <c r="K1258" s="1560"/>
      <c r="L1258" s="1369"/>
      <c r="M1258" s="1560"/>
      <c r="N1258" s="1560"/>
      <c r="O1258" s="1395"/>
      <c r="P1258" s="1560"/>
      <c r="Q1258" s="1560"/>
      <c r="R1258" s="1563"/>
    </row>
    <row r="1259" spans="1:18" s="1564" customFormat="1" ht="31.5" customHeight="1" hidden="1">
      <c r="A1259" s="1499"/>
      <c r="B1259" s="1597" t="s">
        <v>1348</v>
      </c>
      <c r="C1259" s="1744"/>
      <c r="D1259" s="830">
        <f>G1259+J1259+P1259+M1259</f>
        <v>0</v>
      </c>
      <c r="E1259" s="1390">
        <f t="shared" si="176"/>
        <v>0</v>
      </c>
      <c r="F1259" s="1366" t="e">
        <f aca="true" t="shared" si="177" ref="F1259:F1322">E1259/D1259*100</f>
        <v>#DIV/0!</v>
      </c>
      <c r="G1259" s="1744"/>
      <c r="H1259" s="1514"/>
      <c r="I1259" s="1369" t="e">
        <f t="shared" si="173"/>
        <v>#DIV/0!</v>
      </c>
      <c r="J1259" s="1561"/>
      <c r="K1259" s="1560"/>
      <c r="L1259" s="1369"/>
      <c r="M1259" s="1560"/>
      <c r="N1259" s="1560"/>
      <c r="O1259" s="1395"/>
      <c r="P1259" s="1560"/>
      <c r="Q1259" s="1560"/>
      <c r="R1259" s="1563"/>
    </row>
    <row r="1260" spans="1:18" s="1564" customFormat="1" ht="31.5" customHeight="1" hidden="1">
      <c r="A1260" s="1499"/>
      <c r="B1260" s="1597" t="s">
        <v>1349</v>
      </c>
      <c r="C1260" s="1744"/>
      <c r="D1260" s="830"/>
      <c r="E1260" s="1390"/>
      <c r="F1260" s="1366" t="e">
        <f t="shared" si="177"/>
        <v>#DIV/0!</v>
      </c>
      <c r="G1260" s="1744"/>
      <c r="H1260" s="1514"/>
      <c r="I1260" s="1369"/>
      <c r="J1260" s="1561"/>
      <c r="K1260" s="1560"/>
      <c r="L1260" s="1369"/>
      <c r="M1260" s="1560"/>
      <c r="N1260" s="1560"/>
      <c r="O1260" s="1395"/>
      <c r="P1260" s="1560"/>
      <c r="Q1260" s="1560"/>
      <c r="R1260" s="1563"/>
    </row>
    <row r="1261" spans="1:18" s="1286" customFormat="1" ht="12.75" hidden="1">
      <c r="A1261" s="1443">
        <v>4301</v>
      </c>
      <c r="B1261" s="1451" t="s">
        <v>698</v>
      </c>
      <c r="C1261" s="1742"/>
      <c r="D1261" s="830">
        <f>G1261+J1261+P1261+M1261</f>
        <v>0</v>
      </c>
      <c r="E1261" s="1390">
        <f>SUM(H1261+K1261+N1261+Q1261)</f>
        <v>0</v>
      </c>
      <c r="F1261" s="1366" t="e">
        <f t="shared" si="177"/>
        <v>#DIV/0!</v>
      </c>
      <c r="G1261" s="1742"/>
      <c r="H1261" s="1514"/>
      <c r="I1261" s="1369" t="e">
        <f t="shared" si="173"/>
        <v>#DIV/0!</v>
      </c>
      <c r="J1261" s="1514"/>
      <c r="K1261" s="830"/>
      <c r="L1261" s="1485"/>
      <c r="M1261" s="830"/>
      <c r="N1261" s="830"/>
      <c r="O1261" s="1748"/>
      <c r="P1261" s="830"/>
      <c r="Q1261" s="830"/>
      <c r="R1261" s="834"/>
    </row>
    <row r="1262" spans="1:18" s="1286" customFormat="1" ht="12.75" hidden="1">
      <c r="A1262" s="1443">
        <v>4302</v>
      </c>
      <c r="B1262" s="1451" t="s">
        <v>698</v>
      </c>
      <c r="C1262" s="1742"/>
      <c r="D1262" s="830">
        <f>G1262+J1262+P1262+M1262</f>
        <v>0</v>
      </c>
      <c r="E1262" s="1390">
        <f>SUM(H1262+K1262+N1262+Q1262)</f>
        <v>0</v>
      </c>
      <c r="F1262" s="1366" t="e">
        <f t="shared" si="177"/>
        <v>#DIV/0!</v>
      </c>
      <c r="G1262" s="1742"/>
      <c r="H1262" s="1514"/>
      <c r="I1262" s="1369" t="e">
        <f t="shared" si="173"/>
        <v>#DIV/0!</v>
      </c>
      <c r="J1262" s="1514"/>
      <c r="K1262" s="830"/>
      <c r="L1262" s="1485"/>
      <c r="M1262" s="830"/>
      <c r="N1262" s="830"/>
      <c r="O1262" s="1748"/>
      <c r="P1262" s="830"/>
      <c r="Q1262" s="830"/>
      <c r="R1262" s="834"/>
    </row>
    <row r="1263" spans="1:18" s="1286" customFormat="1" ht="12.75" hidden="1">
      <c r="A1263" s="1512">
        <v>4580</v>
      </c>
      <c r="B1263" s="1574" t="s">
        <v>750</v>
      </c>
      <c r="C1263" s="1742"/>
      <c r="D1263" s="830">
        <f>G1263+J1263+P1263+M1263</f>
        <v>0</v>
      </c>
      <c r="E1263" s="1390">
        <f>SUM(H1263+K1263+N1263+Q1263)</f>
        <v>0</v>
      </c>
      <c r="F1263" s="1366" t="e">
        <f t="shared" si="177"/>
        <v>#DIV/0!</v>
      </c>
      <c r="G1263" s="1742"/>
      <c r="H1263" s="1514"/>
      <c r="I1263" s="1369" t="e">
        <f t="shared" si="173"/>
        <v>#DIV/0!</v>
      </c>
      <c r="J1263" s="1514"/>
      <c r="K1263" s="830"/>
      <c r="L1263" s="1485"/>
      <c r="M1263" s="830"/>
      <c r="N1263" s="830"/>
      <c r="O1263" s="1748"/>
      <c r="P1263" s="830"/>
      <c r="Q1263" s="830"/>
      <c r="R1263" s="834"/>
    </row>
    <row r="1264" spans="1:18" ht="24">
      <c r="A1264" s="1664">
        <v>6050</v>
      </c>
      <c r="B1264" s="1451" t="s">
        <v>719</v>
      </c>
      <c r="C1264" s="1742">
        <v>1380000</v>
      </c>
      <c r="D1264" s="830">
        <f>G1264+J1264+P1264+M1264</f>
        <v>880000</v>
      </c>
      <c r="E1264" s="1390">
        <f>SUM(H1264+K1264+N1264+Q1264)</f>
        <v>27271</v>
      </c>
      <c r="F1264" s="1366">
        <f t="shared" si="177"/>
        <v>3.098977272727273</v>
      </c>
      <c r="G1264" s="1742">
        <f>1380000-600000+100000</f>
        <v>880000</v>
      </c>
      <c r="H1264" s="1646">
        <f>27271+1-1</f>
        <v>27271</v>
      </c>
      <c r="I1264" s="1369">
        <f t="shared" si="173"/>
        <v>3.098977272727273</v>
      </c>
      <c r="J1264" s="1561"/>
      <c r="K1264" s="1560"/>
      <c r="L1264" s="1369"/>
      <c r="M1264" s="1390"/>
      <c r="N1264" s="1390"/>
      <c r="O1264" s="1395"/>
      <c r="P1264" s="1390"/>
      <c r="Q1264" s="1390"/>
      <c r="R1264" s="1454"/>
    </row>
    <row r="1265" spans="1:18" ht="38.25" customHeight="1" hidden="1">
      <c r="A1265" s="1664"/>
      <c r="B1265" s="1738" t="s">
        <v>1350</v>
      </c>
      <c r="C1265" s="1744"/>
      <c r="D1265" s="830">
        <f aca="true" t="shared" si="178" ref="D1265:D1289">G1265+J1265+P1265+M1265</f>
        <v>0</v>
      </c>
      <c r="E1265" s="1390">
        <f aca="true" t="shared" si="179" ref="E1265:E1289">SUM(H1265+K1265+N1265+Q1265)</f>
        <v>0</v>
      </c>
      <c r="F1265" s="1366" t="e">
        <f t="shared" si="177"/>
        <v>#DIV/0!</v>
      </c>
      <c r="G1265" s="1744"/>
      <c r="H1265" s="1749"/>
      <c r="I1265" s="1369" t="e">
        <f t="shared" si="173"/>
        <v>#DIV/0!</v>
      </c>
      <c r="J1265" s="1561"/>
      <c r="K1265" s="1560"/>
      <c r="L1265" s="1369"/>
      <c r="M1265" s="1390"/>
      <c r="N1265" s="1390"/>
      <c r="O1265" s="1395"/>
      <c r="P1265" s="1390"/>
      <c r="Q1265" s="1390"/>
      <c r="R1265" s="1454"/>
    </row>
    <row r="1266" spans="1:18" ht="38.25" customHeight="1" hidden="1">
      <c r="A1266" s="1664"/>
      <c r="B1266" s="1738" t="s">
        <v>1351</v>
      </c>
      <c r="C1266" s="1744"/>
      <c r="D1266" s="830">
        <f t="shared" si="178"/>
        <v>0</v>
      </c>
      <c r="E1266" s="1390">
        <f t="shared" si="179"/>
        <v>0</v>
      </c>
      <c r="F1266" s="1366" t="e">
        <f t="shared" si="177"/>
        <v>#DIV/0!</v>
      </c>
      <c r="G1266" s="1744"/>
      <c r="H1266" s="1749"/>
      <c r="I1266" s="1369" t="e">
        <f t="shared" si="173"/>
        <v>#DIV/0!</v>
      </c>
      <c r="J1266" s="1561"/>
      <c r="K1266" s="1560"/>
      <c r="L1266" s="1369"/>
      <c r="M1266" s="1390"/>
      <c r="N1266" s="1390"/>
      <c r="O1266" s="1395"/>
      <c r="P1266" s="1390"/>
      <c r="Q1266" s="1390"/>
      <c r="R1266" s="1454"/>
    </row>
    <row r="1267" spans="1:18" ht="25.5" customHeight="1" hidden="1">
      <c r="A1267" s="1664"/>
      <c r="B1267" s="1738" t="s">
        <v>1352</v>
      </c>
      <c r="C1267" s="1744"/>
      <c r="D1267" s="830">
        <f t="shared" si="178"/>
        <v>0</v>
      </c>
      <c r="E1267" s="1390">
        <f t="shared" si="179"/>
        <v>0</v>
      </c>
      <c r="F1267" s="1366" t="e">
        <f t="shared" si="177"/>
        <v>#DIV/0!</v>
      </c>
      <c r="G1267" s="1744"/>
      <c r="H1267" s="1749"/>
      <c r="I1267" s="1369" t="e">
        <f t="shared" si="173"/>
        <v>#DIV/0!</v>
      </c>
      <c r="J1267" s="1561"/>
      <c r="K1267" s="1560"/>
      <c r="L1267" s="1369"/>
      <c r="M1267" s="1390"/>
      <c r="N1267" s="1390"/>
      <c r="O1267" s="1395"/>
      <c r="P1267" s="1390"/>
      <c r="Q1267" s="1390"/>
      <c r="R1267" s="1454"/>
    </row>
    <row r="1268" spans="1:18" ht="29.25" customHeight="1" hidden="1">
      <c r="A1268" s="1664"/>
      <c r="B1268" s="1738" t="s">
        <v>1353</v>
      </c>
      <c r="C1268" s="1744"/>
      <c r="D1268" s="830">
        <f t="shared" si="178"/>
        <v>0</v>
      </c>
      <c r="E1268" s="1390">
        <f t="shared" si="179"/>
        <v>0</v>
      </c>
      <c r="F1268" s="1366" t="e">
        <f t="shared" si="177"/>
        <v>#DIV/0!</v>
      </c>
      <c r="G1268" s="1744"/>
      <c r="H1268" s="1749"/>
      <c r="I1268" s="1369" t="e">
        <f t="shared" si="173"/>
        <v>#DIV/0!</v>
      </c>
      <c r="J1268" s="1561"/>
      <c r="K1268" s="1560"/>
      <c r="L1268" s="1369"/>
      <c r="M1268" s="1390"/>
      <c r="N1268" s="1390"/>
      <c r="O1268" s="1395"/>
      <c r="P1268" s="1390"/>
      <c r="Q1268" s="1390"/>
      <c r="R1268" s="1454"/>
    </row>
    <row r="1269" spans="1:18" ht="30" customHeight="1" hidden="1">
      <c r="A1269" s="1664"/>
      <c r="B1269" s="1738" t="s">
        <v>1354</v>
      </c>
      <c r="C1269" s="1744"/>
      <c r="D1269" s="830">
        <f t="shared" si="178"/>
        <v>0</v>
      </c>
      <c r="E1269" s="1390">
        <f t="shared" si="179"/>
        <v>0</v>
      </c>
      <c r="F1269" s="1366" t="e">
        <f t="shared" si="177"/>
        <v>#DIV/0!</v>
      </c>
      <c r="G1269" s="1744"/>
      <c r="H1269" s="1445"/>
      <c r="I1269" s="1369" t="e">
        <f t="shared" si="173"/>
        <v>#DIV/0!</v>
      </c>
      <c r="J1269" s="1445"/>
      <c r="K1269" s="1390"/>
      <c r="L1269" s="1369"/>
      <c r="M1269" s="1390"/>
      <c r="N1269" s="1390"/>
      <c r="O1269" s="1395"/>
      <c r="P1269" s="1390"/>
      <c r="Q1269" s="1390"/>
      <c r="R1269" s="1454"/>
    </row>
    <row r="1270" spans="1:18" s="1564" customFormat="1" ht="25.5" customHeight="1" hidden="1">
      <c r="A1270" s="1664"/>
      <c r="B1270" s="1738" t="s">
        <v>1355</v>
      </c>
      <c r="C1270" s="1744"/>
      <c r="D1270" s="830">
        <f t="shared" si="178"/>
        <v>0</v>
      </c>
      <c r="E1270" s="1390">
        <f t="shared" si="179"/>
        <v>0</v>
      </c>
      <c r="F1270" s="1366" t="e">
        <f t="shared" si="177"/>
        <v>#DIV/0!</v>
      </c>
      <c r="G1270" s="1744"/>
      <c r="H1270" s="1749"/>
      <c r="I1270" s="1369" t="e">
        <f t="shared" si="173"/>
        <v>#DIV/0!</v>
      </c>
      <c r="J1270" s="1561"/>
      <c r="K1270" s="1560"/>
      <c r="L1270" s="1369"/>
      <c r="M1270" s="1560"/>
      <c r="N1270" s="1560"/>
      <c r="O1270" s="1395"/>
      <c r="P1270" s="1560"/>
      <c r="Q1270" s="1560"/>
      <c r="R1270" s="1563"/>
    </row>
    <row r="1271" spans="1:18" s="1564" customFormat="1" ht="84" hidden="1">
      <c r="A1271" s="1443">
        <v>6230</v>
      </c>
      <c r="B1271" s="1451" t="s">
        <v>1356</v>
      </c>
      <c r="C1271" s="1742"/>
      <c r="D1271" s="830">
        <f t="shared" si="178"/>
        <v>0</v>
      </c>
      <c r="E1271" s="1390">
        <f t="shared" si="179"/>
        <v>0</v>
      </c>
      <c r="F1271" s="1366" t="e">
        <f t="shared" si="177"/>
        <v>#DIV/0!</v>
      </c>
      <c r="G1271" s="1742"/>
      <c r="H1271" s="1750"/>
      <c r="I1271" s="1369" t="e">
        <f t="shared" si="173"/>
        <v>#DIV/0!</v>
      </c>
      <c r="J1271" s="1561"/>
      <c r="K1271" s="1560"/>
      <c r="L1271" s="1369"/>
      <c r="M1271" s="1560"/>
      <c r="N1271" s="1560"/>
      <c r="O1271" s="1395"/>
      <c r="P1271" s="1560"/>
      <c r="Q1271" s="1560"/>
      <c r="R1271" s="1563"/>
    </row>
    <row r="1272" spans="1:18" s="1564" customFormat="1" ht="15.75" customHeight="1" hidden="1">
      <c r="A1272" s="1557"/>
      <c r="B1272" s="1751" t="s">
        <v>1357</v>
      </c>
      <c r="C1272" s="1744">
        <v>10000</v>
      </c>
      <c r="D1272" s="830">
        <f t="shared" si="178"/>
        <v>10000</v>
      </c>
      <c r="E1272" s="1390">
        <f t="shared" si="179"/>
        <v>0</v>
      </c>
      <c r="F1272" s="1366">
        <f t="shared" si="177"/>
        <v>0</v>
      </c>
      <c r="G1272" s="1744">
        <v>10000</v>
      </c>
      <c r="H1272" s="1749"/>
      <c r="I1272" s="1369">
        <f t="shared" si="173"/>
        <v>0</v>
      </c>
      <c r="J1272" s="1561"/>
      <c r="K1272" s="1560"/>
      <c r="L1272" s="1369"/>
      <c r="M1272" s="1560"/>
      <c r="N1272" s="1560"/>
      <c r="O1272" s="1395"/>
      <c r="P1272" s="1560"/>
      <c r="Q1272" s="1560"/>
      <c r="R1272" s="1563"/>
    </row>
    <row r="1273" spans="1:18" s="1564" customFormat="1" ht="15.75" customHeight="1" hidden="1">
      <c r="A1273" s="1557"/>
      <c r="B1273" s="1751" t="s">
        <v>1358</v>
      </c>
      <c r="C1273" s="1744">
        <v>50000</v>
      </c>
      <c r="D1273" s="830">
        <f t="shared" si="178"/>
        <v>0</v>
      </c>
      <c r="E1273" s="1390">
        <f t="shared" si="179"/>
        <v>0</v>
      </c>
      <c r="F1273" s="1366" t="e">
        <f t="shared" si="177"/>
        <v>#DIV/0!</v>
      </c>
      <c r="G1273" s="1744">
        <f>50000-50000</f>
        <v>0</v>
      </c>
      <c r="H1273" s="1749"/>
      <c r="I1273" s="1369" t="e">
        <f t="shared" si="173"/>
        <v>#DIV/0!</v>
      </c>
      <c r="J1273" s="1561"/>
      <c r="K1273" s="1560"/>
      <c r="L1273" s="1369"/>
      <c r="M1273" s="1560"/>
      <c r="N1273" s="1560"/>
      <c r="O1273" s="1395"/>
      <c r="P1273" s="1560"/>
      <c r="Q1273" s="1560"/>
      <c r="R1273" s="1563"/>
    </row>
    <row r="1274" spans="1:18" s="1564" customFormat="1" ht="15.75" customHeight="1" hidden="1">
      <c r="A1274" s="1557"/>
      <c r="B1274" s="1751" t="s">
        <v>1359</v>
      </c>
      <c r="C1274" s="1744">
        <v>30000</v>
      </c>
      <c r="D1274" s="830">
        <f t="shared" si="178"/>
        <v>0</v>
      </c>
      <c r="E1274" s="1390">
        <f t="shared" si="179"/>
        <v>0</v>
      </c>
      <c r="F1274" s="1366" t="e">
        <f t="shared" si="177"/>
        <v>#DIV/0!</v>
      </c>
      <c r="G1274" s="1744">
        <f>30000-30000</f>
        <v>0</v>
      </c>
      <c r="H1274" s="1749"/>
      <c r="I1274" s="1369" t="e">
        <f t="shared" si="173"/>
        <v>#DIV/0!</v>
      </c>
      <c r="J1274" s="1561"/>
      <c r="K1274" s="1560"/>
      <c r="L1274" s="1369"/>
      <c r="M1274" s="1560"/>
      <c r="N1274" s="1560"/>
      <c r="O1274" s="1395"/>
      <c r="P1274" s="1560"/>
      <c r="Q1274" s="1560"/>
      <c r="R1274" s="1563"/>
    </row>
    <row r="1275" spans="1:18" s="1564" customFormat="1" ht="15.75" customHeight="1" hidden="1">
      <c r="A1275" s="1557"/>
      <c r="B1275" s="1751" t="s">
        <v>1360</v>
      </c>
      <c r="C1275" s="1744">
        <v>30000</v>
      </c>
      <c r="D1275" s="830">
        <f t="shared" si="178"/>
        <v>30000</v>
      </c>
      <c r="E1275" s="1390">
        <f t="shared" si="179"/>
        <v>0</v>
      </c>
      <c r="F1275" s="1366">
        <f t="shared" si="177"/>
        <v>0</v>
      </c>
      <c r="G1275" s="1744">
        <v>30000</v>
      </c>
      <c r="H1275" s="1749"/>
      <c r="I1275" s="1369">
        <f t="shared" si="173"/>
        <v>0</v>
      </c>
      <c r="J1275" s="1561"/>
      <c r="K1275" s="1560"/>
      <c r="L1275" s="1369"/>
      <c r="M1275" s="1560"/>
      <c r="N1275" s="1560"/>
      <c r="O1275" s="1395"/>
      <c r="P1275" s="1560"/>
      <c r="Q1275" s="1560"/>
      <c r="R1275" s="1563"/>
    </row>
    <row r="1276" spans="1:18" s="1564" customFormat="1" ht="15.75" customHeight="1" hidden="1">
      <c r="A1276" s="1557"/>
      <c r="B1276" s="1752" t="s">
        <v>1361</v>
      </c>
      <c r="C1276" s="1744">
        <v>40000</v>
      </c>
      <c r="D1276" s="830">
        <f t="shared" si="178"/>
        <v>40000</v>
      </c>
      <c r="E1276" s="1390">
        <f t="shared" si="179"/>
        <v>0</v>
      </c>
      <c r="F1276" s="1366">
        <f t="shared" si="177"/>
        <v>0</v>
      </c>
      <c r="G1276" s="1744">
        <v>40000</v>
      </c>
      <c r="H1276" s="1749"/>
      <c r="I1276" s="1369">
        <f t="shared" si="173"/>
        <v>0</v>
      </c>
      <c r="J1276" s="1561"/>
      <c r="K1276" s="1560"/>
      <c r="L1276" s="1369"/>
      <c r="M1276" s="1560"/>
      <c r="N1276" s="1560"/>
      <c r="O1276" s="1395"/>
      <c r="P1276" s="1560"/>
      <c r="Q1276" s="1560"/>
      <c r="R1276" s="1563"/>
    </row>
    <row r="1277" spans="1:18" s="1564" customFormat="1" ht="15.75" customHeight="1" hidden="1">
      <c r="A1277" s="1557"/>
      <c r="B1277" s="1751" t="s">
        <v>1362</v>
      </c>
      <c r="C1277" s="1744">
        <v>150000</v>
      </c>
      <c r="D1277" s="830">
        <f t="shared" si="178"/>
        <v>270000</v>
      </c>
      <c r="E1277" s="1390">
        <f t="shared" si="179"/>
        <v>0</v>
      </c>
      <c r="F1277" s="1366">
        <f t="shared" si="177"/>
        <v>0</v>
      </c>
      <c r="G1277" s="1744">
        <f>150000+120000</f>
        <v>270000</v>
      </c>
      <c r="H1277" s="1749"/>
      <c r="I1277" s="1369">
        <f t="shared" si="173"/>
        <v>0</v>
      </c>
      <c r="J1277" s="1561"/>
      <c r="K1277" s="1560"/>
      <c r="L1277" s="1369"/>
      <c r="M1277" s="1560"/>
      <c r="N1277" s="1560"/>
      <c r="O1277" s="1395"/>
      <c r="P1277" s="1560"/>
      <c r="Q1277" s="1560"/>
      <c r="R1277" s="1563"/>
    </row>
    <row r="1278" spans="1:18" s="1564" customFormat="1" ht="15.75" customHeight="1" hidden="1">
      <c r="A1278" s="1557"/>
      <c r="B1278" s="1751" t="s">
        <v>1363</v>
      </c>
      <c r="C1278" s="1744">
        <v>50000</v>
      </c>
      <c r="D1278" s="830">
        <f t="shared" si="178"/>
        <v>0</v>
      </c>
      <c r="E1278" s="1390">
        <f t="shared" si="179"/>
        <v>0</v>
      </c>
      <c r="F1278" s="1366" t="e">
        <f t="shared" si="177"/>
        <v>#DIV/0!</v>
      </c>
      <c r="G1278" s="1744">
        <f>50000-50000</f>
        <v>0</v>
      </c>
      <c r="H1278" s="1749"/>
      <c r="I1278" s="1369" t="e">
        <f t="shared" si="173"/>
        <v>#DIV/0!</v>
      </c>
      <c r="J1278" s="1561"/>
      <c r="K1278" s="1560"/>
      <c r="L1278" s="1369"/>
      <c r="M1278" s="1560"/>
      <c r="N1278" s="1560"/>
      <c r="O1278" s="1395"/>
      <c r="P1278" s="1560"/>
      <c r="Q1278" s="1560"/>
      <c r="R1278" s="1563"/>
    </row>
    <row r="1279" spans="1:18" s="1564" customFormat="1" ht="15.75" customHeight="1" hidden="1" thickBot="1">
      <c r="A1279" s="1557"/>
      <c r="B1279" s="1751" t="s">
        <v>1364</v>
      </c>
      <c r="C1279" s="1744">
        <v>70000</v>
      </c>
      <c r="D1279" s="830">
        <f t="shared" si="178"/>
        <v>70000</v>
      </c>
      <c r="E1279" s="1390">
        <f t="shared" si="179"/>
        <v>0</v>
      </c>
      <c r="F1279" s="1366">
        <f t="shared" si="177"/>
        <v>0</v>
      </c>
      <c r="G1279" s="1744">
        <v>70000</v>
      </c>
      <c r="H1279" s="1749"/>
      <c r="I1279" s="1369">
        <f t="shared" si="173"/>
        <v>0</v>
      </c>
      <c r="J1279" s="1561"/>
      <c r="K1279" s="1560"/>
      <c r="L1279" s="1369"/>
      <c r="M1279" s="1560"/>
      <c r="N1279" s="1560"/>
      <c r="O1279" s="1395"/>
      <c r="P1279" s="1560"/>
      <c r="Q1279" s="1560"/>
      <c r="R1279" s="1563"/>
    </row>
    <row r="1280" spans="1:18" s="1564" customFormat="1" ht="15.75" customHeight="1" hidden="1" thickBot="1" thickTop="1">
      <c r="A1280" s="1557"/>
      <c r="B1280" s="1752" t="s">
        <v>1365</v>
      </c>
      <c r="C1280" s="1744">
        <v>5000</v>
      </c>
      <c r="D1280" s="830">
        <f t="shared" si="178"/>
        <v>0</v>
      </c>
      <c r="E1280" s="1390">
        <f t="shared" si="179"/>
        <v>0</v>
      </c>
      <c r="F1280" s="1366" t="e">
        <f t="shared" si="177"/>
        <v>#DIV/0!</v>
      </c>
      <c r="G1280" s="1744">
        <f>5000-5000</f>
        <v>0</v>
      </c>
      <c r="H1280" s="1749"/>
      <c r="I1280" s="1369" t="e">
        <f aca="true" t="shared" si="180" ref="I1280:I1289">H1280/G1280*100</f>
        <v>#DIV/0!</v>
      </c>
      <c r="J1280" s="1561"/>
      <c r="K1280" s="1560"/>
      <c r="L1280" s="1369"/>
      <c r="M1280" s="1560"/>
      <c r="N1280" s="1560"/>
      <c r="O1280" s="1395"/>
      <c r="P1280" s="1560"/>
      <c r="Q1280" s="1560"/>
      <c r="R1280" s="1563"/>
    </row>
    <row r="1281" spans="1:18" s="1564" customFormat="1" ht="15.75" customHeight="1" hidden="1" thickTop="1">
      <c r="A1281" s="1557"/>
      <c r="B1281" s="1752" t="s">
        <v>1366</v>
      </c>
      <c r="C1281" s="1744">
        <v>10000</v>
      </c>
      <c r="D1281" s="830">
        <f t="shared" si="178"/>
        <v>0</v>
      </c>
      <c r="E1281" s="1390">
        <f t="shared" si="179"/>
        <v>0</v>
      </c>
      <c r="F1281" s="1366" t="e">
        <f t="shared" si="177"/>
        <v>#DIV/0!</v>
      </c>
      <c r="G1281" s="1744">
        <f>10000-10000</f>
        <v>0</v>
      </c>
      <c r="H1281" s="1749"/>
      <c r="I1281" s="1369" t="e">
        <f t="shared" si="180"/>
        <v>#DIV/0!</v>
      </c>
      <c r="J1281" s="1561"/>
      <c r="K1281" s="1560"/>
      <c r="L1281" s="1369"/>
      <c r="M1281" s="1560"/>
      <c r="N1281" s="1560"/>
      <c r="O1281" s="1395"/>
      <c r="P1281" s="1560"/>
      <c r="Q1281" s="1560"/>
      <c r="R1281" s="1563"/>
    </row>
    <row r="1282" spans="1:18" s="1564" customFormat="1" ht="15.75" customHeight="1" hidden="1">
      <c r="A1282" s="1557"/>
      <c r="B1282" s="1751" t="s">
        <v>1367</v>
      </c>
      <c r="C1282" s="1744">
        <v>10000</v>
      </c>
      <c r="D1282" s="830">
        <f t="shared" si="178"/>
        <v>10000</v>
      </c>
      <c r="E1282" s="1390">
        <f t="shared" si="179"/>
        <v>0</v>
      </c>
      <c r="F1282" s="1366">
        <f t="shared" si="177"/>
        <v>0</v>
      </c>
      <c r="G1282" s="1744">
        <v>10000</v>
      </c>
      <c r="H1282" s="1749"/>
      <c r="I1282" s="1369">
        <f t="shared" si="180"/>
        <v>0</v>
      </c>
      <c r="J1282" s="1561"/>
      <c r="K1282" s="1560"/>
      <c r="L1282" s="1369"/>
      <c r="M1282" s="1560"/>
      <c r="N1282" s="1560"/>
      <c r="O1282" s="1395"/>
      <c r="P1282" s="1560"/>
      <c r="Q1282" s="1560"/>
      <c r="R1282" s="1563"/>
    </row>
    <row r="1283" spans="1:18" s="1564" customFormat="1" ht="15.75" customHeight="1" hidden="1">
      <c r="A1283" s="1557"/>
      <c r="B1283" s="1753" t="s">
        <v>1368</v>
      </c>
      <c r="C1283" s="1744">
        <v>5000</v>
      </c>
      <c r="D1283" s="830">
        <f t="shared" si="178"/>
        <v>5000</v>
      </c>
      <c r="E1283" s="1390">
        <f t="shared" si="179"/>
        <v>0</v>
      </c>
      <c r="F1283" s="1366">
        <f t="shared" si="177"/>
        <v>0</v>
      </c>
      <c r="G1283" s="1744">
        <v>5000</v>
      </c>
      <c r="H1283" s="1749"/>
      <c r="I1283" s="1369">
        <f t="shared" si="180"/>
        <v>0</v>
      </c>
      <c r="J1283" s="1561"/>
      <c r="K1283" s="1560"/>
      <c r="L1283" s="1369"/>
      <c r="M1283" s="1560"/>
      <c r="N1283" s="1560"/>
      <c r="O1283" s="1395"/>
      <c r="P1283" s="1560"/>
      <c r="Q1283" s="1560"/>
      <c r="R1283" s="1563"/>
    </row>
    <row r="1284" spans="1:18" s="1564" customFormat="1" ht="15.75" customHeight="1" hidden="1">
      <c r="A1284" s="1557"/>
      <c r="B1284" s="1751" t="s">
        <v>1369</v>
      </c>
      <c r="C1284" s="1744">
        <v>40000</v>
      </c>
      <c r="D1284" s="830">
        <f t="shared" si="178"/>
        <v>65000</v>
      </c>
      <c r="E1284" s="1390">
        <f t="shared" si="179"/>
        <v>0</v>
      </c>
      <c r="F1284" s="1366">
        <f t="shared" si="177"/>
        <v>0</v>
      </c>
      <c r="G1284" s="1744">
        <f>40000+25000</f>
        <v>65000</v>
      </c>
      <c r="H1284" s="1749"/>
      <c r="I1284" s="1369">
        <f t="shared" si="180"/>
        <v>0</v>
      </c>
      <c r="J1284" s="1561"/>
      <c r="K1284" s="1560"/>
      <c r="L1284" s="1369"/>
      <c r="M1284" s="1560"/>
      <c r="N1284" s="1560"/>
      <c r="O1284" s="1395"/>
      <c r="P1284" s="1560"/>
      <c r="Q1284" s="1560"/>
      <c r="R1284" s="1563"/>
    </row>
    <row r="1285" spans="1:18" ht="48" hidden="1">
      <c r="A1285" s="1443">
        <v>6010</v>
      </c>
      <c r="B1285" s="1451" t="s">
        <v>1370</v>
      </c>
      <c r="C1285" s="1389">
        <v>0</v>
      </c>
      <c r="D1285" s="830">
        <f t="shared" si="178"/>
        <v>0</v>
      </c>
      <c r="E1285" s="1390">
        <f t="shared" si="179"/>
        <v>0</v>
      </c>
      <c r="F1285" s="1366" t="e">
        <f t="shared" si="177"/>
        <v>#DIV/0!</v>
      </c>
      <c r="G1285" s="1390">
        <v>0</v>
      </c>
      <c r="H1285" s="1445">
        <v>0</v>
      </c>
      <c r="I1285" s="1369" t="e">
        <f t="shared" si="180"/>
        <v>#DIV/0!</v>
      </c>
      <c r="J1285" s="1445"/>
      <c r="K1285" s="1390"/>
      <c r="L1285" s="1369"/>
      <c r="M1285" s="1390"/>
      <c r="N1285" s="1390"/>
      <c r="O1285" s="1395"/>
      <c r="P1285" s="1390"/>
      <c r="Q1285" s="1390"/>
      <c r="R1285" s="1454"/>
    </row>
    <row r="1286" spans="1:18" s="1471" customFormat="1" ht="12.75">
      <c r="A1286" s="1461"/>
      <c r="B1286" s="1462" t="s">
        <v>1289</v>
      </c>
      <c r="C1286" s="1463"/>
      <c r="D1286" s="1465">
        <f t="shared" si="178"/>
        <v>131522</v>
      </c>
      <c r="E1286" s="1465">
        <f t="shared" si="179"/>
        <v>0</v>
      </c>
      <c r="F1286" s="1729">
        <f t="shared" si="177"/>
        <v>0</v>
      </c>
      <c r="G1286" s="1466">
        <f>SUM(G1287:G1289)</f>
        <v>131522</v>
      </c>
      <c r="H1286" s="1466">
        <f>SUM(H1287:H1289)</f>
        <v>0</v>
      </c>
      <c r="I1286" s="1369">
        <f t="shared" si="180"/>
        <v>0</v>
      </c>
      <c r="J1286" s="1466"/>
      <c r="K1286" s="1465"/>
      <c r="L1286" s="1468"/>
      <c r="M1286" s="1466"/>
      <c r="N1286" s="1466"/>
      <c r="O1286" s="2945"/>
      <c r="P1286" s="1466"/>
      <c r="Q1286" s="1465"/>
      <c r="R1286" s="880"/>
    </row>
    <row r="1287" spans="1:18" ht="24">
      <c r="A1287" s="1443">
        <v>4218</v>
      </c>
      <c r="B1287" s="1451" t="s">
        <v>690</v>
      </c>
      <c r="C1287" s="1389"/>
      <c r="D1287" s="830">
        <f t="shared" si="178"/>
        <v>68998</v>
      </c>
      <c r="E1287" s="1390">
        <f t="shared" si="179"/>
        <v>0</v>
      </c>
      <c r="F1287" s="1366">
        <f t="shared" si="177"/>
        <v>0</v>
      </c>
      <c r="G1287" s="1445">
        <v>68998</v>
      </c>
      <c r="H1287" s="1445"/>
      <c r="I1287" s="1369">
        <f t="shared" si="180"/>
        <v>0</v>
      </c>
      <c r="J1287" s="1445"/>
      <c r="K1287" s="1390"/>
      <c r="L1287" s="1369"/>
      <c r="M1287" s="1445"/>
      <c r="N1287" s="1445"/>
      <c r="O1287" s="1582"/>
      <c r="P1287" s="1445"/>
      <c r="Q1287" s="1390"/>
      <c r="R1287" s="1454"/>
    </row>
    <row r="1288" spans="1:18" ht="12.75">
      <c r="A1288" s="1443">
        <v>4308</v>
      </c>
      <c r="B1288" s="1451" t="s">
        <v>698</v>
      </c>
      <c r="C1288" s="1389"/>
      <c r="D1288" s="830">
        <f t="shared" si="178"/>
        <v>20234</v>
      </c>
      <c r="E1288" s="1390">
        <f t="shared" si="179"/>
        <v>0</v>
      </c>
      <c r="F1288" s="1366">
        <f t="shared" si="177"/>
        <v>0</v>
      </c>
      <c r="G1288" s="1445">
        <v>20234</v>
      </c>
      <c r="H1288" s="1445"/>
      <c r="I1288" s="1369">
        <f t="shared" si="180"/>
        <v>0</v>
      </c>
      <c r="J1288" s="1445"/>
      <c r="K1288" s="1390"/>
      <c r="L1288" s="1369"/>
      <c r="M1288" s="1445"/>
      <c r="N1288" s="1445"/>
      <c r="O1288" s="1582"/>
      <c r="P1288" s="1445"/>
      <c r="Q1288" s="1390"/>
      <c r="R1288" s="1454"/>
    </row>
    <row r="1289" spans="1:18" ht="13.5" thickBot="1">
      <c r="A1289" s="1443">
        <v>4309</v>
      </c>
      <c r="B1289" s="1451" t="s">
        <v>698</v>
      </c>
      <c r="C1289" s="1389"/>
      <c r="D1289" s="830">
        <f t="shared" si="178"/>
        <v>42290</v>
      </c>
      <c r="E1289" s="1390">
        <f t="shared" si="179"/>
        <v>0</v>
      </c>
      <c r="F1289" s="1366">
        <f t="shared" si="177"/>
        <v>0</v>
      </c>
      <c r="G1289" s="1445">
        <v>42290</v>
      </c>
      <c r="H1289" s="1445"/>
      <c r="I1289" s="1369">
        <f t="shared" si="180"/>
        <v>0</v>
      </c>
      <c r="J1289" s="1445"/>
      <c r="K1289" s="1390"/>
      <c r="L1289" s="1369"/>
      <c r="M1289" s="1445"/>
      <c r="N1289" s="1445"/>
      <c r="O1289" s="1582"/>
      <c r="P1289" s="1445"/>
      <c r="Q1289" s="1390"/>
      <c r="R1289" s="1454"/>
    </row>
    <row r="1290" spans="1:18" s="1435" customFormat="1" ht="46.5" customHeight="1" thickBot="1" thickTop="1">
      <c r="A1290" s="1455">
        <v>921</v>
      </c>
      <c r="B1290" s="1456" t="s">
        <v>158</v>
      </c>
      <c r="C1290" s="1431">
        <f>C1321+C1293+C1304+C1313+C1350+C1362+C1377+C1383+C1291</f>
        <v>14660101</v>
      </c>
      <c r="D1290" s="1416">
        <f>D1321+D1293+D1304+D1313+D1350+D1362+D1377+D1383+D1291</f>
        <v>15791540</v>
      </c>
      <c r="E1290" s="1416">
        <f>E1321+E1293+E1304+E1313+E1350+E1362+E1377+E1383+E1291</f>
        <v>7301001</v>
      </c>
      <c r="F1290" s="1344">
        <f t="shared" si="177"/>
        <v>46.23362255992765</v>
      </c>
      <c r="G1290" s="1431">
        <f>G1321+G1293+G1304+G1313+G1350+G1362+G1377+G1383+G1291</f>
        <v>4413280</v>
      </c>
      <c r="H1290" s="1416">
        <f>H1321+H1293+H1304+H1313+H1350+H1362+H1377+H1383+H1291</f>
        <v>2253980</v>
      </c>
      <c r="I1290" s="1344">
        <f>H1290/G1290*100</f>
        <v>51.07267157307037</v>
      </c>
      <c r="J1290" s="1431">
        <f>J1313</f>
        <v>4000</v>
      </c>
      <c r="K1290" s="1416">
        <f>K1313</f>
        <v>0</v>
      </c>
      <c r="L1290" s="1433">
        <f>K1290/J1290*100</f>
        <v>0</v>
      </c>
      <c r="M1290" s="1431">
        <f>M1321+M1293+M1304+M1313+M1350+M1362+M1377+M1383</f>
        <v>11374260</v>
      </c>
      <c r="N1290" s="1432">
        <f>N1321+N1293+N1304+N1313+N1350+N1362+N1377+N1383</f>
        <v>5047021</v>
      </c>
      <c r="O1290" s="1754">
        <f>N1290/M1290*100</f>
        <v>44.3723020222854</v>
      </c>
      <c r="P1290" s="1431"/>
      <c r="Q1290" s="1416"/>
      <c r="R1290" s="1434"/>
    </row>
    <row r="1291" spans="1:18" s="1435" customFormat="1" ht="24.75" hidden="1" thickTop="1">
      <c r="A1291" s="1565">
        <v>92103</v>
      </c>
      <c r="B1291" s="1566" t="s">
        <v>1371</v>
      </c>
      <c r="C1291" s="1625"/>
      <c r="D1291" s="843">
        <f aca="true" t="shared" si="181" ref="D1291:E1306">G1291+J1291+P1291+M1291</f>
        <v>0</v>
      </c>
      <c r="E1291" s="1530">
        <f t="shared" si="181"/>
        <v>0</v>
      </c>
      <c r="F1291" s="1354" t="e">
        <f t="shared" si="177"/>
        <v>#DIV/0!</v>
      </c>
      <c r="G1291" s="1625">
        <f>G1292</f>
        <v>0</v>
      </c>
      <c r="H1291" s="1755">
        <f>H1292</f>
        <v>0</v>
      </c>
      <c r="I1291" s="1357" t="e">
        <f>H1291/G1291*100</f>
        <v>#DIV/0!</v>
      </c>
      <c r="J1291" s="1648"/>
      <c r="K1291" s="1530"/>
      <c r="L1291" s="1569"/>
      <c r="M1291" s="1648"/>
      <c r="N1291" s="1530"/>
      <c r="O1291" s="1688"/>
      <c r="P1291" s="1648"/>
      <c r="Q1291" s="1530"/>
      <c r="R1291" s="1650"/>
    </row>
    <row r="1292" spans="1:18" s="1286" customFormat="1" ht="36.75" hidden="1" thickTop="1">
      <c r="A1292" s="1512">
        <v>2550</v>
      </c>
      <c r="B1292" s="1473" t="s">
        <v>1372</v>
      </c>
      <c r="C1292" s="832"/>
      <c r="D1292" s="862">
        <f t="shared" si="181"/>
        <v>0</v>
      </c>
      <c r="E1292" s="862">
        <f t="shared" si="181"/>
        <v>0</v>
      </c>
      <c r="F1292" s="1419" t="e">
        <f t="shared" si="177"/>
        <v>#DIV/0!</v>
      </c>
      <c r="G1292" s="1583"/>
      <c r="H1292" s="830"/>
      <c r="I1292" s="1439" t="e">
        <f>H1292/G1292*100</f>
        <v>#DIV/0!</v>
      </c>
      <c r="J1292" s="1514"/>
      <c r="K1292" s="830"/>
      <c r="L1292" s="1446"/>
      <c r="M1292" s="1514"/>
      <c r="N1292" s="830"/>
      <c r="O1292" s="831"/>
      <c r="P1292" s="1514"/>
      <c r="Q1292" s="830"/>
      <c r="R1292" s="834"/>
    </row>
    <row r="1293" spans="1:18" ht="24" customHeight="1" thickTop="1">
      <c r="A1293" s="1436">
        <v>92105</v>
      </c>
      <c r="B1293" s="1529" t="s">
        <v>319</v>
      </c>
      <c r="C1293" s="1438">
        <f>SUM(C1294:C1303)</f>
        <v>522100</v>
      </c>
      <c r="D1293" s="845">
        <f t="shared" si="181"/>
        <v>282210</v>
      </c>
      <c r="E1293" s="1380">
        <f t="shared" si="181"/>
        <v>106127</v>
      </c>
      <c r="F1293" s="1381">
        <f t="shared" si="177"/>
        <v>37.60568371071188</v>
      </c>
      <c r="G1293" s="1380">
        <f>SUM(G1294:G1303)</f>
        <v>282210</v>
      </c>
      <c r="H1293" s="1380">
        <f>SUM(H1294:H1303)</f>
        <v>106127</v>
      </c>
      <c r="I1293" s="1475">
        <f>H1293/G1293*100</f>
        <v>37.60568371071188</v>
      </c>
      <c r="J1293" s="1440"/>
      <c r="K1293" s="1380"/>
      <c r="L1293" s="1441"/>
      <c r="M1293" s="1380"/>
      <c r="N1293" s="1380"/>
      <c r="O1293" s="1442"/>
      <c r="P1293" s="1380"/>
      <c r="Q1293" s="1380"/>
      <c r="R1293" s="1478"/>
    </row>
    <row r="1294" spans="1:18" ht="24" hidden="1">
      <c r="A1294" s="1422">
        <v>3020</v>
      </c>
      <c r="B1294" s="1547" t="s">
        <v>874</v>
      </c>
      <c r="C1294" s="1393"/>
      <c r="D1294" s="869">
        <f t="shared" si="181"/>
        <v>0</v>
      </c>
      <c r="E1294" s="1407">
        <f aca="true" t="shared" si="182" ref="E1294:E1303">SUM(H1294+K1294+N1294+Q1294)</f>
        <v>0</v>
      </c>
      <c r="F1294" s="1391"/>
      <c r="G1294" s="1393"/>
      <c r="H1294" s="1407"/>
      <c r="I1294" s="1410"/>
      <c r="J1294" s="1548"/>
      <c r="K1294" s="1407"/>
      <c r="L1294" s="1543"/>
      <c r="M1294" s="1407"/>
      <c r="N1294" s="1407"/>
      <c r="O1294" s="1549"/>
      <c r="P1294" s="1407"/>
      <c r="Q1294" s="1407"/>
      <c r="R1294" s="1550"/>
    </row>
    <row r="1295" spans="1:18" ht="36">
      <c r="A1295" s="1443">
        <v>3040</v>
      </c>
      <c r="B1295" s="1451" t="s">
        <v>906</v>
      </c>
      <c r="C1295" s="1389">
        <v>50800</v>
      </c>
      <c r="D1295" s="830">
        <f t="shared" si="181"/>
        <v>50800</v>
      </c>
      <c r="E1295" s="1390">
        <f t="shared" si="182"/>
        <v>14455</v>
      </c>
      <c r="F1295" s="1366">
        <f t="shared" si="177"/>
        <v>28.45472440944882</v>
      </c>
      <c r="G1295" s="1389">
        <v>50800</v>
      </c>
      <c r="H1295" s="1390">
        <v>14455</v>
      </c>
      <c r="I1295" s="1369">
        <f aca="true" t="shared" si="183" ref="I1295:I1303">H1295/G1295*100</f>
        <v>28.45472440944882</v>
      </c>
      <c r="J1295" s="1445"/>
      <c r="K1295" s="1390"/>
      <c r="L1295" s="1446"/>
      <c r="M1295" s="1390"/>
      <c r="N1295" s="1390"/>
      <c r="O1295" s="1447"/>
      <c r="P1295" s="1390"/>
      <c r="Q1295" s="1390"/>
      <c r="R1295" s="1454"/>
    </row>
    <row r="1296" spans="1:18" ht="26.25" customHeight="1">
      <c r="A1296" s="1443">
        <v>4210</v>
      </c>
      <c r="B1296" s="1451" t="s">
        <v>690</v>
      </c>
      <c r="C1296" s="1389">
        <v>16300</v>
      </c>
      <c r="D1296" s="830">
        <f t="shared" si="181"/>
        <v>21300</v>
      </c>
      <c r="E1296" s="1390">
        <f t="shared" si="182"/>
        <v>6710</v>
      </c>
      <c r="F1296" s="1366">
        <f t="shared" si="177"/>
        <v>31.502347417840376</v>
      </c>
      <c r="G1296" s="1389">
        <f>16300+5000</f>
        <v>21300</v>
      </c>
      <c r="H1296" s="1390">
        <v>6710</v>
      </c>
      <c r="I1296" s="1369">
        <f t="shared" si="183"/>
        <v>31.502347417840376</v>
      </c>
      <c r="J1296" s="1445"/>
      <c r="K1296" s="1390"/>
      <c r="L1296" s="1446"/>
      <c r="M1296" s="1390"/>
      <c r="N1296" s="1390"/>
      <c r="O1296" s="1447"/>
      <c r="P1296" s="1390"/>
      <c r="Q1296" s="1390"/>
      <c r="R1296" s="1454"/>
    </row>
    <row r="1297" spans="1:18" ht="27" customHeight="1" hidden="1">
      <c r="A1297" s="1443">
        <v>4300</v>
      </c>
      <c r="B1297" s="1451" t="s">
        <v>1373</v>
      </c>
      <c r="C1297" s="1389"/>
      <c r="D1297" s="830">
        <f t="shared" si="181"/>
        <v>0</v>
      </c>
      <c r="E1297" s="1390">
        <f t="shared" si="182"/>
        <v>0</v>
      </c>
      <c r="F1297" s="1366" t="e">
        <f t="shared" si="177"/>
        <v>#DIV/0!</v>
      </c>
      <c r="G1297" s="1389"/>
      <c r="H1297" s="1390"/>
      <c r="I1297" s="1369" t="e">
        <f t="shared" si="183"/>
        <v>#DIV/0!</v>
      </c>
      <c r="J1297" s="1445"/>
      <c r="K1297" s="1390"/>
      <c r="L1297" s="1446"/>
      <c r="M1297" s="1390"/>
      <c r="N1297" s="1390"/>
      <c r="O1297" s="1447"/>
      <c r="P1297" s="1390"/>
      <c r="Q1297" s="1390"/>
      <c r="R1297" s="1454"/>
    </row>
    <row r="1298" spans="1:18" ht="27" customHeight="1" hidden="1">
      <c r="A1298" s="1443">
        <v>4210</v>
      </c>
      <c r="B1298" s="1451" t="s">
        <v>60</v>
      </c>
      <c r="C1298" s="1389"/>
      <c r="D1298" s="830">
        <f t="shared" si="181"/>
        <v>0</v>
      </c>
      <c r="E1298" s="1390">
        <f t="shared" si="182"/>
        <v>0</v>
      </c>
      <c r="F1298" s="1366" t="e">
        <f t="shared" si="177"/>
        <v>#DIV/0!</v>
      </c>
      <c r="G1298" s="1389"/>
      <c r="H1298" s="1390"/>
      <c r="I1298" s="1369" t="e">
        <f t="shared" si="183"/>
        <v>#DIV/0!</v>
      </c>
      <c r="J1298" s="1445"/>
      <c r="K1298" s="1390"/>
      <c r="L1298" s="1446"/>
      <c r="M1298" s="1390"/>
      <c r="N1298" s="1390"/>
      <c r="O1298" s="1447"/>
      <c r="P1298" s="1390"/>
      <c r="Q1298" s="1390"/>
      <c r="R1298" s="1454"/>
    </row>
    <row r="1299" spans="1:18" ht="24" hidden="1">
      <c r="A1299" s="1443">
        <v>4170</v>
      </c>
      <c r="B1299" s="1451" t="s">
        <v>744</v>
      </c>
      <c r="C1299" s="1389"/>
      <c r="D1299" s="830">
        <f t="shared" si="181"/>
        <v>0</v>
      </c>
      <c r="E1299" s="1390">
        <f t="shared" si="182"/>
        <v>0</v>
      </c>
      <c r="F1299" s="1366" t="e">
        <f t="shared" si="177"/>
        <v>#DIV/0!</v>
      </c>
      <c r="G1299" s="1389"/>
      <c r="H1299" s="1390"/>
      <c r="I1299" s="1369" t="e">
        <f t="shared" si="183"/>
        <v>#DIV/0!</v>
      </c>
      <c r="J1299" s="1445"/>
      <c r="K1299" s="1390"/>
      <c r="L1299" s="1446"/>
      <c r="M1299" s="1390"/>
      <c r="N1299" s="1390"/>
      <c r="O1299" s="1447"/>
      <c r="P1299" s="1390"/>
      <c r="Q1299" s="1390"/>
      <c r="R1299" s="1454"/>
    </row>
    <row r="1300" spans="1:18" ht="24" hidden="1">
      <c r="A1300" s="1443">
        <v>4170</v>
      </c>
      <c r="B1300" s="1451" t="s">
        <v>1290</v>
      </c>
      <c r="C1300" s="1389"/>
      <c r="D1300" s="830">
        <f t="shared" si="181"/>
        <v>0</v>
      </c>
      <c r="E1300" s="1390">
        <f t="shared" si="182"/>
        <v>0</v>
      </c>
      <c r="F1300" s="1366" t="e">
        <f t="shared" si="177"/>
        <v>#DIV/0!</v>
      </c>
      <c r="G1300" s="1389"/>
      <c r="H1300" s="1390"/>
      <c r="I1300" s="1369" t="e">
        <f t="shared" si="183"/>
        <v>#DIV/0!</v>
      </c>
      <c r="J1300" s="1445"/>
      <c r="K1300" s="1390"/>
      <c r="L1300" s="1446"/>
      <c r="M1300" s="1390"/>
      <c r="N1300" s="1390"/>
      <c r="O1300" s="1447"/>
      <c r="P1300" s="1390"/>
      <c r="Q1300" s="1390"/>
      <c r="R1300" s="1454"/>
    </row>
    <row r="1301" spans="1:18" ht="12.75">
      <c r="A1301" s="1443">
        <v>4300</v>
      </c>
      <c r="B1301" s="1451" t="s">
        <v>698</v>
      </c>
      <c r="C1301" s="1389">
        <f>100000+250000</f>
        <v>350000</v>
      </c>
      <c r="D1301" s="830">
        <f t="shared" si="181"/>
        <v>73110</v>
      </c>
      <c r="E1301" s="1390">
        <f t="shared" si="182"/>
        <v>8462</v>
      </c>
      <c r="F1301" s="1366">
        <f t="shared" si="177"/>
        <v>11.574340035562852</v>
      </c>
      <c r="G1301" s="1389">
        <f>100000+250000-247000+67000-41890-67000+12000</f>
        <v>73110</v>
      </c>
      <c r="H1301" s="1390">
        <v>8462</v>
      </c>
      <c r="I1301" s="1369">
        <f t="shared" si="183"/>
        <v>11.574340035562852</v>
      </c>
      <c r="J1301" s="1445"/>
      <c r="K1301" s="1390"/>
      <c r="L1301" s="1446"/>
      <c r="M1301" s="1390"/>
      <c r="N1301" s="1390"/>
      <c r="O1301" s="1447"/>
      <c r="P1301" s="1390"/>
      <c r="Q1301" s="1390"/>
      <c r="R1301" s="1454"/>
    </row>
    <row r="1302" spans="1:18" ht="24" hidden="1">
      <c r="A1302" s="1443">
        <v>4300</v>
      </c>
      <c r="B1302" s="1451" t="s">
        <v>737</v>
      </c>
      <c r="C1302" s="1389"/>
      <c r="D1302" s="830">
        <f t="shared" si="181"/>
        <v>0</v>
      </c>
      <c r="E1302" s="1390">
        <f t="shared" si="182"/>
        <v>0</v>
      </c>
      <c r="F1302" s="1366" t="e">
        <f t="shared" si="177"/>
        <v>#DIV/0!</v>
      </c>
      <c r="G1302" s="1389"/>
      <c r="H1302" s="1390"/>
      <c r="I1302" s="1369" t="e">
        <f t="shared" si="183"/>
        <v>#DIV/0!</v>
      </c>
      <c r="J1302" s="1445"/>
      <c r="K1302" s="1390"/>
      <c r="L1302" s="1446"/>
      <c r="M1302" s="1390"/>
      <c r="N1302" s="1390"/>
      <c r="O1302" s="1447"/>
      <c r="P1302" s="1390"/>
      <c r="Q1302" s="1390"/>
      <c r="R1302" s="1454"/>
    </row>
    <row r="1303" spans="1:18" ht="60">
      <c r="A1303" s="1443">
        <v>2820</v>
      </c>
      <c r="B1303" s="1451" t="s">
        <v>1374</v>
      </c>
      <c r="C1303" s="1389">
        <v>105000</v>
      </c>
      <c r="D1303" s="830">
        <f t="shared" si="181"/>
        <v>137000</v>
      </c>
      <c r="E1303" s="1390">
        <f t="shared" si="182"/>
        <v>76500</v>
      </c>
      <c r="F1303" s="1366">
        <f t="shared" si="177"/>
        <v>55.839416058394164</v>
      </c>
      <c r="G1303" s="1389">
        <f>105000+30000+2000</f>
        <v>137000</v>
      </c>
      <c r="H1303" s="1487">
        <v>76500</v>
      </c>
      <c r="I1303" s="1369">
        <f t="shared" si="183"/>
        <v>55.839416058394164</v>
      </c>
      <c r="J1303" s="1445"/>
      <c r="K1303" s="1390"/>
      <c r="L1303" s="1446"/>
      <c r="M1303" s="1390"/>
      <c r="N1303" s="1390"/>
      <c r="O1303" s="1447"/>
      <c r="P1303" s="1390"/>
      <c r="Q1303" s="1390"/>
      <c r="R1303" s="1454"/>
    </row>
    <row r="1304" spans="1:18" s="1471" customFormat="1" ht="14.25" customHeight="1">
      <c r="A1304" s="1479">
        <v>92106</v>
      </c>
      <c r="B1304" s="1576" t="s">
        <v>1291</v>
      </c>
      <c r="C1304" s="823">
        <f>C1305+C1312</f>
        <v>2535000</v>
      </c>
      <c r="D1304" s="845">
        <f t="shared" si="181"/>
        <v>2745000</v>
      </c>
      <c r="E1304" s="845">
        <f>H1304+K1304+Q1304+N1304</f>
        <v>1394641</v>
      </c>
      <c r="F1304" s="1398">
        <f t="shared" si="177"/>
        <v>50.806593806921676</v>
      </c>
      <c r="G1304" s="845"/>
      <c r="H1304" s="845"/>
      <c r="I1304" s="1400"/>
      <c r="J1304" s="1510"/>
      <c r="K1304" s="845"/>
      <c r="L1304" s="1441"/>
      <c r="M1304" s="845">
        <f>SUM(M1305)+M1312</f>
        <v>2745000</v>
      </c>
      <c r="N1304" s="845">
        <f>SUM(N1305)+N1312</f>
        <v>1394641</v>
      </c>
      <c r="O1304" s="1483">
        <f aca="true" t="shared" si="184" ref="O1304:O1320">N1304/M1304*100</f>
        <v>50.806593806921676</v>
      </c>
      <c r="P1304" s="845"/>
      <c r="Q1304" s="845"/>
      <c r="R1304" s="826"/>
    </row>
    <row r="1305" spans="1:18" ht="36">
      <c r="A1305" s="1422">
        <v>2480</v>
      </c>
      <c r="B1305" s="1547" t="s">
        <v>1375</v>
      </c>
      <c r="C1305" s="1393">
        <f>C1306</f>
        <v>2335000</v>
      </c>
      <c r="D1305" s="869">
        <f t="shared" si="181"/>
        <v>2545000</v>
      </c>
      <c r="E1305" s="1407">
        <f aca="true" t="shared" si="185" ref="E1305:E1312">SUM(H1305+K1305+N1305+Q1305)</f>
        <v>1394641</v>
      </c>
      <c r="F1305" s="1391">
        <f t="shared" si="177"/>
        <v>54.79925343811395</v>
      </c>
      <c r="G1305" s="1407"/>
      <c r="H1305" s="1548"/>
      <c r="I1305" s="1410"/>
      <c r="J1305" s="1548"/>
      <c r="K1305" s="1407"/>
      <c r="L1305" s="1543"/>
      <c r="M1305" s="1393">
        <f>SUM(M1306:M1311)</f>
        <v>2545000</v>
      </c>
      <c r="N1305" s="1407">
        <f>SUM(N1306:N1311)</f>
        <v>1394641</v>
      </c>
      <c r="O1305" s="1374">
        <f t="shared" si="184"/>
        <v>54.79925343811395</v>
      </c>
      <c r="P1305" s="1407"/>
      <c r="Q1305" s="1407"/>
      <c r="R1305" s="1550"/>
    </row>
    <row r="1306" spans="1:18" s="1285" customFormat="1" ht="12.75">
      <c r="A1306" s="1499"/>
      <c r="B1306" s="1597" t="s">
        <v>1376</v>
      </c>
      <c r="C1306" s="1501">
        <v>2335000</v>
      </c>
      <c r="D1306" s="1502">
        <f t="shared" si="181"/>
        <v>2540000</v>
      </c>
      <c r="E1306" s="1502">
        <f t="shared" si="185"/>
        <v>1389641</v>
      </c>
      <c r="F1306" s="1366">
        <f t="shared" si="177"/>
        <v>54.710275590551184</v>
      </c>
      <c r="G1306" s="1502"/>
      <c r="H1306" s="1504"/>
      <c r="I1306" s="1369"/>
      <c r="J1306" s="1504"/>
      <c r="K1306" s="1502"/>
      <c r="L1306" s="1503"/>
      <c r="M1306" s="1501">
        <f>2335000+205000</f>
        <v>2540000</v>
      </c>
      <c r="N1306" s="1502">
        <v>1389641</v>
      </c>
      <c r="O1306" s="1573">
        <f t="shared" si="184"/>
        <v>54.710275590551184</v>
      </c>
      <c r="P1306" s="1502"/>
      <c r="Q1306" s="1502"/>
      <c r="R1306" s="1507"/>
    </row>
    <row r="1307" spans="1:18" s="1285" customFormat="1" ht="12.75" hidden="1">
      <c r="A1307" s="1499"/>
      <c r="B1307" s="1597" t="s">
        <v>65</v>
      </c>
      <c r="C1307" s="1501"/>
      <c r="D1307" s="1502">
        <f aca="true" t="shared" si="186" ref="D1307:D1334">G1307+J1307+P1307+M1307</f>
        <v>0</v>
      </c>
      <c r="E1307" s="1502">
        <f t="shared" si="185"/>
        <v>0</v>
      </c>
      <c r="F1307" s="1366" t="e">
        <f t="shared" si="177"/>
        <v>#DIV/0!</v>
      </c>
      <c r="G1307" s="1502"/>
      <c r="H1307" s="1504"/>
      <c r="I1307" s="1369"/>
      <c r="J1307" s="1504"/>
      <c r="K1307" s="1502"/>
      <c r="L1307" s="1503"/>
      <c r="M1307" s="1501"/>
      <c r="N1307" s="1502"/>
      <c r="O1307" s="1369" t="e">
        <f t="shared" si="184"/>
        <v>#DIV/0!</v>
      </c>
      <c r="P1307" s="1502"/>
      <c r="Q1307" s="1502"/>
      <c r="R1307" s="1507"/>
    </row>
    <row r="1308" spans="1:18" s="1285" customFormat="1" ht="24" hidden="1">
      <c r="A1308" s="1499"/>
      <c r="B1308" s="1597" t="s">
        <v>1377</v>
      </c>
      <c r="C1308" s="1501"/>
      <c r="D1308" s="1502">
        <f t="shared" si="186"/>
        <v>0</v>
      </c>
      <c r="E1308" s="1502">
        <f t="shared" si="185"/>
        <v>0</v>
      </c>
      <c r="F1308" s="1366" t="e">
        <f t="shared" si="177"/>
        <v>#DIV/0!</v>
      </c>
      <c r="G1308" s="1502"/>
      <c r="H1308" s="1504"/>
      <c r="I1308" s="1369"/>
      <c r="J1308" s="1504"/>
      <c r="K1308" s="1502"/>
      <c r="L1308" s="1503"/>
      <c r="M1308" s="1501"/>
      <c r="N1308" s="1502"/>
      <c r="O1308" s="1369" t="e">
        <f t="shared" si="184"/>
        <v>#DIV/0!</v>
      </c>
      <c r="P1308" s="1502"/>
      <c r="Q1308" s="1502"/>
      <c r="R1308" s="1507"/>
    </row>
    <row r="1309" spans="1:18" s="1285" customFormat="1" ht="12.75" hidden="1">
      <c r="A1309" s="1499"/>
      <c r="B1309" s="1597" t="s">
        <v>1292</v>
      </c>
      <c r="C1309" s="1501"/>
      <c r="D1309" s="1502">
        <f t="shared" si="186"/>
        <v>0</v>
      </c>
      <c r="E1309" s="1502">
        <f t="shared" si="185"/>
        <v>0</v>
      </c>
      <c r="F1309" s="1366" t="e">
        <f t="shared" si="177"/>
        <v>#DIV/0!</v>
      </c>
      <c r="G1309" s="1502"/>
      <c r="H1309" s="1504"/>
      <c r="I1309" s="1369"/>
      <c r="J1309" s="1504"/>
      <c r="K1309" s="1502"/>
      <c r="L1309" s="1503"/>
      <c r="M1309" s="1501"/>
      <c r="N1309" s="1502"/>
      <c r="O1309" s="1369" t="e">
        <f t="shared" si="184"/>
        <v>#DIV/0!</v>
      </c>
      <c r="P1309" s="1502"/>
      <c r="Q1309" s="1502"/>
      <c r="R1309" s="1507"/>
    </row>
    <row r="1310" spans="1:18" s="1285" customFormat="1" ht="12.75" hidden="1">
      <c r="A1310" s="1499"/>
      <c r="B1310" s="1597" t="s">
        <v>1293</v>
      </c>
      <c r="C1310" s="1501"/>
      <c r="D1310" s="1502">
        <f t="shared" si="186"/>
        <v>0</v>
      </c>
      <c r="E1310" s="1502">
        <f t="shared" si="185"/>
        <v>0</v>
      </c>
      <c r="F1310" s="1366" t="e">
        <f t="shared" si="177"/>
        <v>#DIV/0!</v>
      </c>
      <c r="G1310" s="1502"/>
      <c r="H1310" s="1504"/>
      <c r="I1310" s="1369"/>
      <c r="J1310" s="1504"/>
      <c r="K1310" s="1502"/>
      <c r="L1310" s="1503"/>
      <c r="M1310" s="1501"/>
      <c r="N1310" s="1502"/>
      <c r="O1310" s="1369" t="e">
        <f t="shared" si="184"/>
        <v>#DIV/0!</v>
      </c>
      <c r="P1310" s="1502"/>
      <c r="Q1310" s="1502"/>
      <c r="R1310" s="1507"/>
    </row>
    <row r="1311" spans="1:18" s="1285" customFormat="1" ht="24">
      <c r="A1311" s="1499"/>
      <c r="B1311" s="1597" t="s">
        <v>1294</v>
      </c>
      <c r="C1311" s="1501"/>
      <c r="D1311" s="1502">
        <f t="shared" si="186"/>
        <v>5000</v>
      </c>
      <c r="E1311" s="1502">
        <f t="shared" si="185"/>
        <v>5000</v>
      </c>
      <c r="F1311" s="1366">
        <f t="shared" si="177"/>
        <v>100</v>
      </c>
      <c r="G1311" s="1502"/>
      <c r="H1311" s="1504"/>
      <c r="I1311" s="1369"/>
      <c r="J1311" s="1504"/>
      <c r="K1311" s="1502"/>
      <c r="L1311" s="1503"/>
      <c r="M1311" s="1501">
        <v>5000</v>
      </c>
      <c r="N1311" s="1502">
        <v>5000</v>
      </c>
      <c r="O1311" s="1369">
        <f t="shared" si="184"/>
        <v>100</v>
      </c>
      <c r="P1311" s="1502"/>
      <c r="Q1311" s="1502"/>
      <c r="R1311" s="1507"/>
    </row>
    <row r="1312" spans="1:18" ht="24">
      <c r="A1312" s="1492">
        <v>6050</v>
      </c>
      <c r="B1312" s="1451" t="s">
        <v>767</v>
      </c>
      <c r="C1312" s="1494">
        <v>200000</v>
      </c>
      <c r="D1312" s="862">
        <f t="shared" si="186"/>
        <v>200000</v>
      </c>
      <c r="E1312" s="1487">
        <f t="shared" si="185"/>
        <v>0</v>
      </c>
      <c r="F1312" s="1419">
        <f t="shared" si="177"/>
        <v>0</v>
      </c>
      <c r="G1312" s="1487"/>
      <c r="H1312" s="1495"/>
      <c r="I1312" s="1439"/>
      <c r="J1312" s="1495"/>
      <c r="K1312" s="1487"/>
      <c r="L1312" s="1551"/>
      <c r="M1312" s="1494">
        <v>200000</v>
      </c>
      <c r="N1312" s="1487"/>
      <c r="O1312" s="1420">
        <f t="shared" si="184"/>
        <v>0</v>
      </c>
      <c r="P1312" s="1487"/>
      <c r="Q1312" s="1487"/>
      <c r="R1312" s="1539"/>
    </row>
    <row r="1313" spans="1:18" ht="22.5" customHeight="1">
      <c r="A1313" s="1436">
        <v>92108</v>
      </c>
      <c r="B1313" s="1529" t="s">
        <v>248</v>
      </c>
      <c r="C1313" s="1438">
        <f>SUM(C1314:C1314)</f>
        <v>2634000</v>
      </c>
      <c r="D1313" s="845">
        <f t="shared" si="186"/>
        <v>2677000</v>
      </c>
      <c r="E1313" s="1380">
        <f>H1313+K1313+Q1313+N1313</f>
        <v>1323498</v>
      </c>
      <c r="F1313" s="1381">
        <f t="shared" si="177"/>
        <v>49.439596563317146</v>
      </c>
      <c r="G1313" s="845"/>
      <c r="H1313" s="1510"/>
      <c r="I1313" s="1475"/>
      <c r="J1313" s="1510">
        <f>SUM(J1319)</f>
        <v>4000</v>
      </c>
      <c r="K1313" s="845">
        <f>K1319</f>
        <v>0</v>
      </c>
      <c r="L1313" s="1441">
        <f>K1313/J1313*100</f>
        <v>0</v>
      </c>
      <c r="M1313" s="1380">
        <f>SUM(M1314)+M1320</f>
        <v>2673000</v>
      </c>
      <c r="N1313" s="1380">
        <f>SUM(N1314)+N1320</f>
        <v>1323498</v>
      </c>
      <c r="O1313" s="1388">
        <f t="shared" si="184"/>
        <v>49.51358024691358</v>
      </c>
      <c r="P1313" s="1380"/>
      <c r="Q1313" s="1380"/>
      <c r="R1313" s="1478"/>
    </row>
    <row r="1314" spans="1:18" ht="36">
      <c r="A1314" s="1422">
        <v>2480</v>
      </c>
      <c r="B1314" s="1547" t="s">
        <v>1378</v>
      </c>
      <c r="C1314" s="1393">
        <f>SUM(C1315:C1318)</f>
        <v>2634000</v>
      </c>
      <c r="D1314" s="869">
        <f t="shared" si="186"/>
        <v>2652000</v>
      </c>
      <c r="E1314" s="1407">
        <f aca="true" t="shared" si="187" ref="E1314:E1320">SUM(H1314+K1314+N1314+Q1314)</f>
        <v>1323498</v>
      </c>
      <c r="F1314" s="1391">
        <f t="shared" si="177"/>
        <v>49.905656108597285</v>
      </c>
      <c r="G1314" s="1407"/>
      <c r="H1314" s="1542"/>
      <c r="I1314" s="1410"/>
      <c r="J1314" s="1548"/>
      <c r="K1314" s="1407"/>
      <c r="L1314" s="1543"/>
      <c r="M1314" s="1393">
        <f>SUM(M1315:M1318)</f>
        <v>2652000</v>
      </c>
      <c r="N1314" s="1407">
        <f>SUM(N1315:N1318)</f>
        <v>1323498</v>
      </c>
      <c r="O1314" s="1374">
        <f t="shared" si="184"/>
        <v>49.905656108597285</v>
      </c>
      <c r="P1314" s="1407"/>
      <c r="Q1314" s="1407"/>
      <c r="R1314" s="1550"/>
    </row>
    <row r="1315" spans="1:18" s="1285" customFormat="1" ht="12.75">
      <c r="A1315" s="1499"/>
      <c r="B1315" s="1597" t="s">
        <v>1376</v>
      </c>
      <c r="C1315" s="1501">
        <v>2545000</v>
      </c>
      <c r="D1315" s="1502">
        <f t="shared" si="186"/>
        <v>2563000</v>
      </c>
      <c r="E1315" s="1502">
        <f t="shared" si="187"/>
        <v>1272498</v>
      </c>
      <c r="F1315" s="1366">
        <f t="shared" si="177"/>
        <v>49.648770971517756</v>
      </c>
      <c r="G1315" s="1502"/>
      <c r="H1315" s="1504"/>
      <c r="I1315" s="1369"/>
      <c r="J1315" s="1504"/>
      <c r="K1315" s="1502"/>
      <c r="L1315" s="1503"/>
      <c r="M1315" s="1501">
        <f>2545000+18000</f>
        <v>2563000</v>
      </c>
      <c r="N1315" s="1502">
        <v>1272498</v>
      </c>
      <c r="O1315" s="1395">
        <f t="shared" si="184"/>
        <v>49.648770971517756</v>
      </c>
      <c r="P1315" s="1502"/>
      <c r="Q1315" s="1502"/>
      <c r="R1315" s="1507"/>
    </row>
    <row r="1316" spans="1:18" s="1285" customFormat="1" ht="12.75" hidden="1">
      <c r="A1316" s="1499"/>
      <c r="B1316" s="1597" t="s">
        <v>65</v>
      </c>
      <c r="C1316" s="1501"/>
      <c r="D1316" s="1502">
        <f t="shared" si="186"/>
        <v>0</v>
      </c>
      <c r="E1316" s="1502">
        <f t="shared" si="187"/>
        <v>0</v>
      </c>
      <c r="F1316" s="1366" t="e">
        <f t="shared" si="177"/>
        <v>#DIV/0!</v>
      </c>
      <c r="G1316" s="1502"/>
      <c r="H1316" s="1504"/>
      <c r="I1316" s="1369" t="e">
        <f>H1316/G1316*100</f>
        <v>#DIV/0!</v>
      </c>
      <c r="J1316" s="1504"/>
      <c r="K1316" s="1502"/>
      <c r="L1316" s="1503"/>
      <c r="M1316" s="1501"/>
      <c r="N1316" s="1502"/>
      <c r="O1316" s="1395"/>
      <c r="P1316" s="1502"/>
      <c r="Q1316" s="1502"/>
      <c r="R1316" s="1507"/>
    </row>
    <row r="1317" spans="1:18" s="1285" customFormat="1" ht="24">
      <c r="A1317" s="1499"/>
      <c r="B1317" s="1597" t="s">
        <v>1295</v>
      </c>
      <c r="C1317" s="1501">
        <v>51000</v>
      </c>
      <c r="D1317" s="1502">
        <f t="shared" si="186"/>
        <v>51000</v>
      </c>
      <c r="E1317" s="1502">
        <f t="shared" si="187"/>
        <v>51000</v>
      </c>
      <c r="F1317" s="1366">
        <f t="shared" si="177"/>
        <v>100</v>
      </c>
      <c r="G1317" s="1502"/>
      <c r="H1317" s="1504"/>
      <c r="I1317" s="1369"/>
      <c r="J1317" s="1504"/>
      <c r="K1317" s="1502"/>
      <c r="L1317" s="1503"/>
      <c r="M1317" s="1501">
        <v>51000</v>
      </c>
      <c r="N1317" s="1502">
        <v>51000</v>
      </c>
      <c r="O1317" s="1369">
        <f t="shared" si="184"/>
        <v>100</v>
      </c>
      <c r="P1317" s="1502"/>
      <c r="Q1317" s="1502"/>
      <c r="R1317" s="1507"/>
    </row>
    <row r="1318" spans="1:18" s="1285" customFormat="1" ht="24">
      <c r="A1318" s="1499"/>
      <c r="B1318" s="1597" t="s">
        <v>1379</v>
      </c>
      <c r="C1318" s="1501">
        <v>38000</v>
      </c>
      <c r="D1318" s="1502">
        <f t="shared" si="186"/>
        <v>38000</v>
      </c>
      <c r="E1318" s="1502">
        <f t="shared" si="187"/>
        <v>0</v>
      </c>
      <c r="F1318" s="1366">
        <f t="shared" si="177"/>
        <v>0</v>
      </c>
      <c r="G1318" s="1502"/>
      <c r="H1318" s="1504"/>
      <c r="I1318" s="1369"/>
      <c r="J1318" s="1504"/>
      <c r="K1318" s="1502"/>
      <c r="L1318" s="1503"/>
      <c r="M1318" s="1501">
        <v>38000</v>
      </c>
      <c r="N1318" s="1502"/>
      <c r="O1318" s="1369">
        <f t="shared" si="184"/>
        <v>0</v>
      </c>
      <c r="P1318" s="1502"/>
      <c r="Q1318" s="1502"/>
      <c r="R1318" s="1507"/>
    </row>
    <row r="1319" spans="1:18" ht="26.25" customHeight="1">
      <c r="A1319" s="1443">
        <v>4210</v>
      </c>
      <c r="B1319" s="1451" t="s">
        <v>690</v>
      </c>
      <c r="C1319" s="1389"/>
      <c r="D1319" s="830">
        <f t="shared" si="186"/>
        <v>4000</v>
      </c>
      <c r="E1319" s="1390">
        <f t="shared" si="187"/>
        <v>0</v>
      </c>
      <c r="F1319" s="1366">
        <f t="shared" si="177"/>
        <v>0</v>
      </c>
      <c r="G1319" s="1390"/>
      <c r="H1319" s="1514"/>
      <c r="I1319" s="1369"/>
      <c r="J1319" s="1445">
        <v>4000</v>
      </c>
      <c r="K1319" s="1390"/>
      <c r="L1319" s="1446">
        <f>K1319/J1319*100</f>
        <v>0</v>
      </c>
      <c r="M1319" s="1445"/>
      <c r="N1319" s="1390"/>
      <c r="O1319" s="1369"/>
      <c r="P1319" s="1390"/>
      <c r="Q1319" s="1390"/>
      <c r="R1319" s="1454"/>
    </row>
    <row r="1320" spans="1:18" ht="84">
      <c r="A1320" s="1443">
        <v>6220</v>
      </c>
      <c r="B1320" s="1451" t="s">
        <v>1393</v>
      </c>
      <c r="C1320" s="1494"/>
      <c r="D1320" s="830">
        <f t="shared" si="186"/>
        <v>21000</v>
      </c>
      <c r="E1320" s="1390">
        <f t="shared" si="187"/>
        <v>0</v>
      </c>
      <c r="F1320" s="1366">
        <f t="shared" si="177"/>
        <v>0</v>
      </c>
      <c r="G1320" s="1487"/>
      <c r="H1320" s="1516"/>
      <c r="I1320" s="1439"/>
      <c r="J1320" s="1495"/>
      <c r="K1320" s="1487"/>
      <c r="L1320" s="1551"/>
      <c r="M1320" s="1495">
        <v>21000</v>
      </c>
      <c r="N1320" s="1487"/>
      <c r="O1320" s="1369">
        <f t="shared" si="184"/>
        <v>0</v>
      </c>
      <c r="P1320" s="1487"/>
      <c r="Q1320" s="1487"/>
      <c r="R1320" s="1539"/>
    </row>
    <row r="1321" spans="1:18" ht="28.5" customHeight="1">
      <c r="A1321" s="1436">
        <v>92109</v>
      </c>
      <c r="B1321" s="1529" t="s">
        <v>322</v>
      </c>
      <c r="C1321" s="1438">
        <f>C1322</f>
        <v>2261000</v>
      </c>
      <c r="D1321" s="845">
        <f t="shared" si="186"/>
        <v>2785100</v>
      </c>
      <c r="E1321" s="1380">
        <f>H1321+K1321+Q1321+N1321</f>
        <v>1622290</v>
      </c>
      <c r="F1321" s="1381">
        <f t="shared" si="177"/>
        <v>58.24889591038024</v>
      </c>
      <c r="G1321" s="1380">
        <f>G1322</f>
        <v>2785100</v>
      </c>
      <c r="H1321" s="1380">
        <f>H1322</f>
        <v>1622290</v>
      </c>
      <c r="I1321" s="1475">
        <f>H1321/G1321*100</f>
        <v>58.24889591038024</v>
      </c>
      <c r="J1321" s="1440"/>
      <c r="K1321" s="1380"/>
      <c r="L1321" s="1441"/>
      <c r="M1321" s="1380"/>
      <c r="N1321" s="1380"/>
      <c r="O1321" s="1475"/>
      <c r="P1321" s="1380"/>
      <c r="Q1321" s="1380"/>
      <c r="R1321" s="1478"/>
    </row>
    <row r="1322" spans="1:18" s="1285" customFormat="1" ht="13.5">
      <c r="A1322" s="1756"/>
      <c r="B1322" s="1757" t="s">
        <v>1380</v>
      </c>
      <c r="C1322" s="1758">
        <f>SUM(C1323:C1336)+C1349+C1346+C1347</f>
        <v>2261000</v>
      </c>
      <c r="D1322" s="1759">
        <f t="shared" si="186"/>
        <v>2785100</v>
      </c>
      <c r="E1322" s="1759">
        <f>H1322+K1322+Q1322+N1322</f>
        <v>1622290</v>
      </c>
      <c r="F1322" s="1381">
        <f t="shared" si="177"/>
        <v>58.24889591038024</v>
      </c>
      <c r="G1322" s="1759">
        <f>SUM(G1323:G1336)+G1346+G1347</f>
        <v>2785100</v>
      </c>
      <c r="H1322" s="1759">
        <f>SUM(H1323:H1336)+H1346+H1347</f>
        <v>1622290</v>
      </c>
      <c r="I1322" s="1475">
        <f>H1322/G1322*100</f>
        <v>58.24889591038024</v>
      </c>
      <c r="J1322" s="1760"/>
      <c r="K1322" s="1759"/>
      <c r="L1322" s="1734"/>
      <c r="M1322" s="1759"/>
      <c r="N1322" s="1759"/>
      <c r="O1322" s="1475"/>
      <c r="P1322" s="1759"/>
      <c r="Q1322" s="1759"/>
      <c r="R1322" s="1761"/>
    </row>
    <row r="1323" spans="1:18" ht="40.5" customHeight="1" hidden="1">
      <c r="A1323" s="1443">
        <v>3020</v>
      </c>
      <c r="B1323" s="1451" t="s">
        <v>739</v>
      </c>
      <c r="C1323" s="1389"/>
      <c r="D1323" s="830">
        <f t="shared" si="186"/>
        <v>0</v>
      </c>
      <c r="E1323" s="1390">
        <f>SUM(H1323+K1323+N1323+Q1323)</f>
        <v>0</v>
      </c>
      <c r="F1323" s="1366"/>
      <c r="G1323" s="1524"/>
      <c r="H1323" s="1525"/>
      <c r="I1323" s="1369"/>
      <c r="J1323" s="1525"/>
      <c r="K1323" s="1524"/>
      <c r="L1323" s="1526"/>
      <c r="M1323" s="1389"/>
      <c r="N1323" s="1390"/>
      <c r="O1323" s="1369"/>
      <c r="P1323" s="1390"/>
      <c r="Q1323" s="1390"/>
      <c r="R1323" s="1454"/>
    </row>
    <row r="1324" spans="1:18" ht="24.75" customHeight="1" hidden="1">
      <c r="A1324" s="1443">
        <v>4010</v>
      </c>
      <c r="B1324" s="1451" t="s">
        <v>680</v>
      </c>
      <c r="C1324" s="1389"/>
      <c r="D1324" s="830">
        <f t="shared" si="186"/>
        <v>0</v>
      </c>
      <c r="E1324" s="1390">
        <f aca="true" t="shared" si="188" ref="E1324:E1330">SUM(H1324+K1324+N1324+Q1324)</f>
        <v>0</v>
      </c>
      <c r="F1324" s="1366"/>
      <c r="G1324" s="1524"/>
      <c r="H1324" s="1525"/>
      <c r="I1324" s="1369"/>
      <c r="J1324" s="1525"/>
      <c r="K1324" s="1524"/>
      <c r="L1324" s="1526"/>
      <c r="M1324" s="1389"/>
      <c r="N1324" s="1390"/>
      <c r="O1324" s="1369"/>
      <c r="P1324" s="1390"/>
      <c r="Q1324" s="1390"/>
      <c r="R1324" s="1454"/>
    </row>
    <row r="1325" spans="1:18" ht="27" customHeight="1" hidden="1">
      <c r="A1325" s="1443">
        <v>4040</v>
      </c>
      <c r="B1325" s="1451" t="s">
        <v>684</v>
      </c>
      <c r="C1325" s="1389"/>
      <c r="D1325" s="830">
        <f t="shared" si="186"/>
        <v>0</v>
      </c>
      <c r="E1325" s="1390">
        <f t="shared" si="188"/>
        <v>0</v>
      </c>
      <c r="F1325" s="1366"/>
      <c r="G1325" s="1524"/>
      <c r="H1325" s="1525"/>
      <c r="I1325" s="1369"/>
      <c r="J1325" s="1525"/>
      <c r="K1325" s="1524"/>
      <c r="L1325" s="1526"/>
      <c r="M1325" s="1389"/>
      <c r="N1325" s="1390"/>
      <c r="O1325" s="1369"/>
      <c r="P1325" s="1390"/>
      <c r="Q1325" s="1390"/>
      <c r="R1325" s="1454"/>
    </row>
    <row r="1326" spans="1:18" ht="27" customHeight="1" hidden="1">
      <c r="A1326" s="1443">
        <v>4110</v>
      </c>
      <c r="B1326" s="1451" t="s">
        <v>686</v>
      </c>
      <c r="C1326" s="1389"/>
      <c r="D1326" s="830">
        <f t="shared" si="186"/>
        <v>0</v>
      </c>
      <c r="E1326" s="1390">
        <f t="shared" si="188"/>
        <v>0</v>
      </c>
      <c r="F1326" s="1366"/>
      <c r="G1326" s="1524"/>
      <c r="H1326" s="1525"/>
      <c r="I1326" s="1369"/>
      <c r="J1326" s="1525"/>
      <c r="K1326" s="1524"/>
      <c r="L1326" s="1526"/>
      <c r="M1326" s="1389"/>
      <c r="N1326" s="1390"/>
      <c r="O1326" s="1369"/>
      <c r="P1326" s="1390"/>
      <c r="Q1326" s="1390"/>
      <c r="R1326" s="1454"/>
    </row>
    <row r="1327" spans="1:18" ht="19.5" customHeight="1" hidden="1">
      <c r="A1327" s="1443">
        <v>4120</v>
      </c>
      <c r="B1327" s="1451" t="s">
        <v>781</v>
      </c>
      <c r="C1327" s="1389"/>
      <c r="D1327" s="830">
        <f t="shared" si="186"/>
        <v>0</v>
      </c>
      <c r="E1327" s="1390">
        <f t="shared" si="188"/>
        <v>0</v>
      </c>
      <c r="F1327" s="1366"/>
      <c r="G1327" s="1524"/>
      <c r="H1327" s="1525"/>
      <c r="I1327" s="1369"/>
      <c r="J1327" s="1525"/>
      <c r="K1327" s="1524"/>
      <c r="L1327" s="1526"/>
      <c r="M1327" s="1389"/>
      <c r="N1327" s="1390"/>
      <c r="O1327" s="1369"/>
      <c r="P1327" s="1390"/>
      <c r="Q1327" s="1390"/>
      <c r="R1327" s="1454"/>
    </row>
    <row r="1328" spans="1:18" ht="25.5" customHeight="1" hidden="1">
      <c r="A1328" s="1443">
        <v>4210</v>
      </c>
      <c r="B1328" s="1451" t="s">
        <v>690</v>
      </c>
      <c r="C1328" s="1389"/>
      <c r="D1328" s="830">
        <f t="shared" si="186"/>
        <v>0</v>
      </c>
      <c r="E1328" s="1390">
        <f t="shared" si="188"/>
        <v>0</v>
      </c>
      <c r="F1328" s="1366"/>
      <c r="G1328" s="1524"/>
      <c r="H1328" s="1525"/>
      <c r="I1328" s="1369"/>
      <c r="J1328" s="1525"/>
      <c r="K1328" s="1524"/>
      <c r="L1328" s="1526"/>
      <c r="M1328" s="1389"/>
      <c r="N1328" s="1390"/>
      <c r="O1328" s="1369"/>
      <c r="P1328" s="1390"/>
      <c r="Q1328" s="1390"/>
      <c r="R1328" s="1454"/>
    </row>
    <row r="1329" spans="1:18" ht="38.25" customHeight="1" hidden="1">
      <c r="A1329" s="1443">
        <v>4240</v>
      </c>
      <c r="B1329" s="1451" t="s">
        <v>758</v>
      </c>
      <c r="C1329" s="1389"/>
      <c r="D1329" s="830">
        <f t="shared" si="186"/>
        <v>0</v>
      </c>
      <c r="E1329" s="1390">
        <f t="shared" si="188"/>
        <v>0</v>
      </c>
      <c r="F1329" s="1366"/>
      <c r="G1329" s="1524"/>
      <c r="H1329" s="1525"/>
      <c r="I1329" s="1369"/>
      <c r="J1329" s="1525"/>
      <c r="K1329" s="1524"/>
      <c r="L1329" s="1526"/>
      <c r="M1329" s="1389"/>
      <c r="N1329" s="1390"/>
      <c r="O1329" s="1369"/>
      <c r="P1329" s="1390"/>
      <c r="Q1329" s="1390"/>
      <c r="R1329" s="1454"/>
    </row>
    <row r="1330" spans="1:18" ht="15" customHeight="1" hidden="1">
      <c r="A1330" s="1443">
        <v>4260</v>
      </c>
      <c r="B1330" s="1451" t="s">
        <v>694</v>
      </c>
      <c r="C1330" s="1389"/>
      <c r="D1330" s="830">
        <f t="shared" si="186"/>
        <v>0</v>
      </c>
      <c r="E1330" s="1390">
        <f t="shared" si="188"/>
        <v>0</v>
      </c>
      <c r="F1330" s="1366"/>
      <c r="G1330" s="1524"/>
      <c r="H1330" s="1525"/>
      <c r="I1330" s="1369"/>
      <c r="J1330" s="1525"/>
      <c r="K1330" s="1524"/>
      <c r="L1330" s="1526"/>
      <c r="M1330" s="1389"/>
      <c r="N1330" s="1390"/>
      <c r="O1330" s="1369"/>
      <c r="P1330" s="1390"/>
      <c r="Q1330" s="1390"/>
      <c r="R1330" s="1454"/>
    </row>
    <row r="1331" spans="1:18" ht="21" customHeight="1" hidden="1">
      <c r="A1331" s="1443">
        <v>4300</v>
      </c>
      <c r="B1331" s="1451" t="s">
        <v>698</v>
      </c>
      <c r="C1331" s="1389"/>
      <c r="D1331" s="830">
        <f t="shared" si="186"/>
        <v>0</v>
      </c>
      <c r="E1331" s="1390">
        <f>SUM(H1331+K1331+N1331+Q1331)</f>
        <v>0</v>
      </c>
      <c r="F1331" s="1366"/>
      <c r="G1331" s="1524"/>
      <c r="H1331" s="1525"/>
      <c r="I1331" s="1369"/>
      <c r="J1331" s="1525"/>
      <c r="K1331" s="1524"/>
      <c r="L1331" s="1526"/>
      <c r="M1331" s="1389"/>
      <c r="N1331" s="1390"/>
      <c r="O1331" s="1369"/>
      <c r="P1331" s="1390"/>
      <c r="Q1331" s="1390"/>
      <c r="R1331" s="1454"/>
    </row>
    <row r="1332" spans="1:18" ht="15.75" customHeight="1" hidden="1">
      <c r="A1332" s="1443">
        <v>4410</v>
      </c>
      <c r="B1332" s="1451" t="s">
        <v>672</v>
      </c>
      <c r="C1332" s="1389"/>
      <c r="D1332" s="830">
        <f t="shared" si="186"/>
        <v>0</v>
      </c>
      <c r="E1332" s="1390">
        <f>SUM(H1332+K1332+N1332+Q1332)</f>
        <v>0</v>
      </c>
      <c r="F1332" s="1366"/>
      <c r="G1332" s="1524"/>
      <c r="H1332" s="1525"/>
      <c r="I1332" s="1369"/>
      <c r="J1332" s="1525"/>
      <c r="K1332" s="1524"/>
      <c r="L1332" s="1526"/>
      <c r="M1332" s="1389"/>
      <c r="N1332" s="1390"/>
      <c r="O1332" s="1369"/>
      <c r="P1332" s="1390"/>
      <c r="Q1332" s="1390"/>
      <c r="R1332" s="1454"/>
    </row>
    <row r="1333" spans="1:18" ht="15.75" customHeight="1" hidden="1">
      <c r="A1333" s="1443">
        <v>4430</v>
      </c>
      <c r="B1333" s="1451" t="s">
        <v>700</v>
      </c>
      <c r="C1333" s="1389"/>
      <c r="D1333" s="830">
        <f t="shared" si="186"/>
        <v>0</v>
      </c>
      <c r="E1333" s="1390">
        <f>SUM(H1333+K1333+N1333+Q1333)</f>
        <v>0</v>
      </c>
      <c r="F1333" s="1366"/>
      <c r="G1333" s="1524"/>
      <c r="H1333" s="1525"/>
      <c r="I1333" s="1369"/>
      <c r="J1333" s="1525"/>
      <c r="K1333" s="1524"/>
      <c r="L1333" s="1526"/>
      <c r="M1333" s="1389"/>
      <c r="N1333" s="1390"/>
      <c r="O1333" s="1369"/>
      <c r="P1333" s="1390"/>
      <c r="Q1333" s="1390"/>
      <c r="R1333" s="1454"/>
    </row>
    <row r="1334" spans="1:18" ht="18" customHeight="1" hidden="1">
      <c r="A1334" s="1443">
        <v>4440</v>
      </c>
      <c r="B1334" s="1451" t="s">
        <v>702</v>
      </c>
      <c r="C1334" s="1389"/>
      <c r="D1334" s="830">
        <f t="shared" si="186"/>
        <v>0</v>
      </c>
      <c r="E1334" s="1390">
        <f>SUM(H1334+K1334+N1334+Q1334)</f>
        <v>0</v>
      </c>
      <c r="F1334" s="1366"/>
      <c r="G1334" s="1524"/>
      <c r="H1334" s="1525"/>
      <c r="I1334" s="1369"/>
      <c r="J1334" s="1525"/>
      <c r="K1334" s="1524"/>
      <c r="L1334" s="1526"/>
      <c r="M1334" s="1389"/>
      <c r="N1334" s="1390"/>
      <c r="O1334" s="1369"/>
      <c r="P1334" s="1390"/>
      <c r="Q1334" s="1390"/>
      <c r="R1334" s="1454"/>
    </row>
    <row r="1335" spans="1:18" ht="19.5" customHeight="1" hidden="1">
      <c r="A1335" s="1443">
        <v>4480</v>
      </c>
      <c r="B1335" s="1451" t="s">
        <v>198</v>
      </c>
      <c r="C1335" s="1389"/>
      <c r="D1335" s="830"/>
      <c r="E1335" s="1390"/>
      <c r="F1335" s="1366"/>
      <c r="G1335" s="1523"/>
      <c r="H1335" s="1524"/>
      <c r="I1335" s="1369"/>
      <c r="J1335" s="1525"/>
      <c r="K1335" s="1524"/>
      <c r="L1335" s="1526"/>
      <c r="M1335" s="1389"/>
      <c r="N1335" s="1390"/>
      <c r="O1335" s="1369"/>
      <c r="P1335" s="1390"/>
      <c r="Q1335" s="1390"/>
      <c r="R1335" s="1454"/>
    </row>
    <row r="1336" spans="1:18" s="1564" customFormat="1" ht="36">
      <c r="A1336" s="1422">
        <v>2480</v>
      </c>
      <c r="B1336" s="1547" t="s">
        <v>1375</v>
      </c>
      <c r="C1336" s="1389">
        <f>SUM(C1337:C1338)</f>
        <v>1985000</v>
      </c>
      <c r="D1336" s="830">
        <f aca="true" t="shared" si="189" ref="D1336:E1351">G1336+J1336+P1336+M1336</f>
        <v>2339100</v>
      </c>
      <c r="E1336" s="1390">
        <f t="shared" si="189"/>
        <v>1597151</v>
      </c>
      <c r="F1336" s="1366">
        <f>E1336/D1336*100</f>
        <v>68.2805780000855</v>
      </c>
      <c r="G1336" s="1389">
        <f>SUM(G1337:G1345)</f>
        <v>2339100</v>
      </c>
      <c r="H1336" s="1390">
        <f>SUM(H1337:H1340)</f>
        <v>1597151</v>
      </c>
      <c r="I1336" s="1369">
        <f>H1336/G1336*100</f>
        <v>68.2805780000855</v>
      </c>
      <c r="J1336" s="1445"/>
      <c r="K1336" s="1390"/>
      <c r="L1336" s="1446"/>
      <c r="M1336" s="1390"/>
      <c r="N1336" s="1390"/>
      <c r="O1336" s="1446"/>
      <c r="P1336" s="1390"/>
      <c r="Q1336" s="1390"/>
      <c r="R1336" s="1454"/>
    </row>
    <row r="1337" spans="1:18" s="1285" customFormat="1" ht="12.75">
      <c r="A1337" s="1499"/>
      <c r="B1337" s="1597" t="s">
        <v>1376</v>
      </c>
      <c r="C1337" s="1501">
        <v>1475000</v>
      </c>
      <c r="D1337" s="1502">
        <f t="shared" si="189"/>
        <v>1475000</v>
      </c>
      <c r="E1337" s="1502">
        <f t="shared" si="189"/>
        <v>737496</v>
      </c>
      <c r="F1337" s="1366">
        <f aca="true" t="shared" si="190" ref="F1337:F1345">E1337/D1337*100</f>
        <v>49.99972881355932</v>
      </c>
      <c r="G1337" s="1501">
        <v>1475000</v>
      </c>
      <c r="H1337" s="1502">
        <f>614580+122916</f>
        <v>737496</v>
      </c>
      <c r="I1337" s="1369">
        <f aca="true" t="shared" si="191" ref="I1337:I1345">H1337/G1337*100</f>
        <v>49.99972881355932</v>
      </c>
      <c r="J1337" s="1504"/>
      <c r="K1337" s="1502"/>
      <c r="L1337" s="1503"/>
      <c r="M1337" s="1502"/>
      <c r="N1337" s="1502"/>
      <c r="O1337" s="1506"/>
      <c r="P1337" s="1502"/>
      <c r="Q1337" s="1502"/>
      <c r="R1337" s="1507"/>
    </row>
    <row r="1338" spans="1:18" s="1285" customFormat="1" ht="12.75">
      <c r="A1338" s="1499"/>
      <c r="B1338" s="1597" t="s">
        <v>1381</v>
      </c>
      <c r="C1338" s="1501">
        <v>510000</v>
      </c>
      <c r="D1338" s="1502">
        <f t="shared" si="189"/>
        <v>577000</v>
      </c>
      <c r="E1338" s="1502">
        <f t="shared" si="189"/>
        <v>572555</v>
      </c>
      <c r="F1338" s="1366">
        <f t="shared" si="190"/>
        <v>99.22963604852686</v>
      </c>
      <c r="G1338" s="1501">
        <f>510000+67000</f>
        <v>577000</v>
      </c>
      <c r="H1338" s="1502">
        <f>410471+95084+67000</f>
        <v>572555</v>
      </c>
      <c r="I1338" s="1369">
        <f t="shared" si="191"/>
        <v>99.22963604852686</v>
      </c>
      <c r="J1338" s="1504"/>
      <c r="K1338" s="1502"/>
      <c r="L1338" s="1503"/>
      <c r="M1338" s="1502"/>
      <c r="N1338" s="1502"/>
      <c r="O1338" s="1506"/>
      <c r="P1338" s="1502"/>
      <c r="Q1338" s="1502"/>
      <c r="R1338" s="1507"/>
    </row>
    <row r="1339" spans="1:18" s="1285" customFormat="1" ht="12.75" hidden="1">
      <c r="A1339" s="1499"/>
      <c r="B1339" s="1597" t="s">
        <v>65</v>
      </c>
      <c r="C1339" s="1501"/>
      <c r="D1339" s="1502">
        <f t="shared" si="189"/>
        <v>0</v>
      </c>
      <c r="E1339" s="1502">
        <f t="shared" si="189"/>
        <v>0</v>
      </c>
      <c r="F1339" s="1366" t="e">
        <f t="shared" si="190"/>
        <v>#DIV/0!</v>
      </c>
      <c r="G1339" s="1501"/>
      <c r="H1339" s="1502"/>
      <c r="I1339" s="1369"/>
      <c r="J1339" s="1504"/>
      <c r="K1339" s="1502"/>
      <c r="L1339" s="1503"/>
      <c r="M1339" s="1502"/>
      <c r="N1339" s="1502"/>
      <c r="O1339" s="1503" t="e">
        <f>N1339/M1339*100</f>
        <v>#DIV/0!</v>
      </c>
      <c r="P1339" s="1502"/>
      <c r="Q1339" s="1502"/>
      <c r="R1339" s="1507"/>
    </row>
    <row r="1340" spans="1:18" s="1285" customFormat="1" ht="12.75">
      <c r="A1340" s="1499"/>
      <c r="B1340" s="1597" t="s">
        <v>1296</v>
      </c>
      <c r="C1340" s="1501"/>
      <c r="D1340" s="1502">
        <f t="shared" si="189"/>
        <v>287100</v>
      </c>
      <c r="E1340" s="1502">
        <f t="shared" si="189"/>
        <v>287100</v>
      </c>
      <c r="F1340" s="1366">
        <f t="shared" si="190"/>
        <v>100</v>
      </c>
      <c r="G1340" s="1501">
        <f>219100+68000</f>
        <v>287100</v>
      </c>
      <c r="H1340" s="1502">
        <f>264600+22500</f>
        <v>287100</v>
      </c>
      <c r="I1340" s="1369">
        <f t="shared" si="191"/>
        <v>100</v>
      </c>
      <c r="J1340" s="1504"/>
      <c r="K1340" s="1502"/>
      <c r="L1340" s="1503"/>
      <c r="M1340" s="1502"/>
      <c r="N1340" s="1502"/>
      <c r="O1340" s="1506"/>
      <c r="P1340" s="1502"/>
      <c r="Q1340" s="1502"/>
      <c r="R1340" s="1507"/>
    </row>
    <row r="1341" spans="1:18" s="1285" customFormat="1" ht="36" hidden="1">
      <c r="A1341" s="1499"/>
      <c r="B1341" s="1597" t="s">
        <v>1382</v>
      </c>
      <c r="C1341" s="1501"/>
      <c r="D1341" s="1502">
        <f t="shared" si="189"/>
        <v>0</v>
      </c>
      <c r="E1341" s="1502">
        <f t="shared" si="189"/>
        <v>0</v>
      </c>
      <c r="F1341" s="1366" t="e">
        <f t="shared" si="190"/>
        <v>#DIV/0!</v>
      </c>
      <c r="G1341" s="1501"/>
      <c r="H1341" s="1502"/>
      <c r="I1341" s="1369" t="e">
        <f t="shared" si="191"/>
        <v>#DIV/0!</v>
      </c>
      <c r="J1341" s="1504"/>
      <c r="K1341" s="1502"/>
      <c r="L1341" s="1503"/>
      <c r="M1341" s="1502"/>
      <c r="N1341" s="1502"/>
      <c r="O1341" s="1506"/>
      <c r="P1341" s="1502"/>
      <c r="Q1341" s="1502"/>
      <c r="R1341" s="1507"/>
    </row>
    <row r="1342" spans="1:18" s="1285" customFormat="1" ht="12.75" hidden="1">
      <c r="A1342" s="1499"/>
      <c r="B1342" s="1597" t="s">
        <v>1297</v>
      </c>
      <c r="C1342" s="1501"/>
      <c r="D1342" s="1502">
        <f t="shared" si="189"/>
        <v>0</v>
      </c>
      <c r="E1342" s="1502">
        <f t="shared" si="189"/>
        <v>0</v>
      </c>
      <c r="F1342" s="1366" t="e">
        <f t="shared" si="190"/>
        <v>#DIV/0!</v>
      </c>
      <c r="G1342" s="1501"/>
      <c r="H1342" s="1502"/>
      <c r="I1342" s="1369" t="e">
        <f t="shared" si="191"/>
        <v>#DIV/0!</v>
      </c>
      <c r="J1342" s="1504"/>
      <c r="K1342" s="1502"/>
      <c r="L1342" s="1503"/>
      <c r="M1342" s="1502"/>
      <c r="N1342" s="1502"/>
      <c r="O1342" s="1506"/>
      <c r="P1342" s="1502"/>
      <c r="Q1342" s="1502"/>
      <c r="R1342" s="1507"/>
    </row>
    <row r="1343" spans="1:18" s="1285" customFormat="1" ht="12.75" hidden="1">
      <c r="A1343" s="1499"/>
      <c r="B1343" s="1597" t="s">
        <v>1383</v>
      </c>
      <c r="C1343" s="1501"/>
      <c r="D1343" s="1502">
        <f t="shared" si="189"/>
        <v>0</v>
      </c>
      <c r="E1343" s="1502">
        <f t="shared" si="189"/>
        <v>0</v>
      </c>
      <c r="F1343" s="1366" t="e">
        <f t="shared" si="190"/>
        <v>#DIV/0!</v>
      </c>
      <c r="G1343" s="1501"/>
      <c r="H1343" s="1502"/>
      <c r="I1343" s="1369" t="e">
        <f t="shared" si="191"/>
        <v>#DIV/0!</v>
      </c>
      <c r="J1343" s="1504"/>
      <c r="K1343" s="1502"/>
      <c r="L1343" s="1503"/>
      <c r="M1343" s="1502"/>
      <c r="N1343" s="1502"/>
      <c r="O1343" s="1506"/>
      <c r="P1343" s="1502"/>
      <c r="Q1343" s="1502"/>
      <c r="R1343" s="1507"/>
    </row>
    <row r="1344" spans="1:18" s="1285" customFormat="1" ht="12.75" hidden="1">
      <c r="A1344" s="1499"/>
      <c r="B1344" s="1597" t="s">
        <v>1298</v>
      </c>
      <c r="C1344" s="1501"/>
      <c r="D1344" s="1502">
        <f t="shared" si="189"/>
        <v>0</v>
      </c>
      <c r="E1344" s="1502">
        <f t="shared" si="189"/>
        <v>0</v>
      </c>
      <c r="F1344" s="1366" t="e">
        <f t="shared" si="190"/>
        <v>#DIV/0!</v>
      </c>
      <c r="G1344" s="1501"/>
      <c r="H1344" s="1502"/>
      <c r="I1344" s="1369" t="e">
        <f t="shared" si="191"/>
        <v>#DIV/0!</v>
      </c>
      <c r="J1344" s="1504"/>
      <c r="K1344" s="1502"/>
      <c r="L1344" s="1503"/>
      <c r="M1344" s="1502"/>
      <c r="N1344" s="1502"/>
      <c r="O1344" s="1506"/>
      <c r="P1344" s="1502"/>
      <c r="Q1344" s="1502"/>
      <c r="R1344" s="1507"/>
    </row>
    <row r="1345" spans="1:18" s="1285" customFormat="1" ht="24" hidden="1">
      <c r="A1345" s="1499"/>
      <c r="B1345" s="1597" t="s">
        <v>1384</v>
      </c>
      <c r="C1345" s="1501"/>
      <c r="D1345" s="1502">
        <f t="shared" si="189"/>
        <v>0</v>
      </c>
      <c r="E1345" s="1502">
        <f t="shared" si="189"/>
        <v>0</v>
      </c>
      <c r="F1345" s="1366" t="e">
        <f t="shared" si="190"/>
        <v>#DIV/0!</v>
      </c>
      <c r="G1345" s="1501"/>
      <c r="H1345" s="1502"/>
      <c r="I1345" s="1369" t="e">
        <f t="shared" si="191"/>
        <v>#DIV/0!</v>
      </c>
      <c r="J1345" s="1504"/>
      <c r="K1345" s="1502"/>
      <c r="L1345" s="1503"/>
      <c r="M1345" s="1502"/>
      <c r="N1345" s="1502"/>
      <c r="O1345" s="1506"/>
      <c r="P1345" s="1502"/>
      <c r="Q1345" s="1502"/>
      <c r="R1345" s="1507"/>
    </row>
    <row r="1346" spans="1:18" s="1564" customFormat="1" ht="36">
      <c r="A1346" s="1443">
        <v>6050</v>
      </c>
      <c r="B1346" s="1451" t="s">
        <v>1299</v>
      </c>
      <c r="C1346" s="1389">
        <v>100000</v>
      </c>
      <c r="D1346" s="830">
        <f t="shared" si="189"/>
        <v>100000</v>
      </c>
      <c r="E1346" s="1390">
        <f t="shared" si="189"/>
        <v>0</v>
      </c>
      <c r="F1346" s="1366">
        <f>E1346/D1346*100</f>
        <v>0</v>
      </c>
      <c r="G1346" s="1389">
        <v>100000</v>
      </c>
      <c r="H1346" s="1390"/>
      <c r="I1346" s="1369">
        <f>H1346/G1346*100</f>
        <v>0</v>
      </c>
      <c r="J1346" s="1445"/>
      <c r="K1346" s="1390"/>
      <c r="L1346" s="1446"/>
      <c r="M1346" s="1390"/>
      <c r="N1346" s="1390"/>
      <c r="O1346" s="1447"/>
      <c r="P1346" s="1390"/>
      <c r="Q1346" s="1390"/>
      <c r="R1346" s="1454"/>
    </row>
    <row r="1347" spans="1:18" ht="84">
      <c r="A1347" s="1443">
        <v>6220</v>
      </c>
      <c r="B1347" s="1451" t="s">
        <v>1300</v>
      </c>
      <c r="C1347" s="1389">
        <v>176000</v>
      </c>
      <c r="D1347" s="830">
        <f t="shared" si="189"/>
        <v>346000</v>
      </c>
      <c r="E1347" s="1390">
        <f>SUM(H1347+K1347+N1347+Q1347)</f>
        <v>25139</v>
      </c>
      <c r="F1347" s="1366">
        <f>E1347/D1347*100</f>
        <v>7.265606936416185</v>
      </c>
      <c r="G1347" s="1389">
        <f>176000+170000</f>
        <v>346000</v>
      </c>
      <c r="H1347" s="1390">
        <v>25139</v>
      </c>
      <c r="I1347" s="1369">
        <f>H1347/G1347*100</f>
        <v>7.265606936416185</v>
      </c>
      <c r="J1347" s="1445"/>
      <c r="K1347" s="1390"/>
      <c r="L1347" s="1446"/>
      <c r="M1347" s="1390"/>
      <c r="N1347" s="1390"/>
      <c r="O1347" s="1447"/>
      <c r="P1347" s="1390"/>
      <c r="Q1347" s="1390"/>
      <c r="R1347" s="1454"/>
    </row>
    <row r="1348" spans="1:18" s="1285" customFormat="1" ht="25.5" customHeight="1" hidden="1">
      <c r="A1348" s="1499"/>
      <c r="B1348" s="1597" t="s">
        <v>1385</v>
      </c>
      <c r="C1348" s="1598"/>
      <c r="D1348" s="1600">
        <f t="shared" si="189"/>
        <v>0</v>
      </c>
      <c r="E1348" s="1600">
        <f>SUM(H1348+K1348+N1348+Q1348)</f>
        <v>0</v>
      </c>
      <c r="F1348" s="1366" t="e">
        <f>E1348/D1348*100</f>
        <v>#DIV/0!</v>
      </c>
      <c r="G1348" s="1598"/>
      <c r="H1348" s="1600"/>
      <c r="I1348" s="1369" t="e">
        <f>H1348/G1348*100</f>
        <v>#DIV/0!</v>
      </c>
      <c r="J1348" s="1601"/>
      <c r="K1348" s="1600"/>
      <c r="L1348" s="1503"/>
      <c r="M1348" s="1600"/>
      <c r="N1348" s="1600"/>
      <c r="O1348" s="1503"/>
      <c r="P1348" s="1600"/>
      <c r="Q1348" s="1600"/>
      <c r="R1348" s="1602"/>
    </row>
    <row r="1349" spans="1:18" s="1286" customFormat="1" ht="41.25" customHeight="1" hidden="1">
      <c r="A1349" s="1545">
        <v>6050</v>
      </c>
      <c r="B1349" s="1627" t="s">
        <v>1386</v>
      </c>
      <c r="C1349" s="1762"/>
      <c r="D1349" s="1763">
        <f t="shared" si="189"/>
        <v>0</v>
      </c>
      <c r="E1349" s="1763">
        <f>SUM(H1349+K1349+N1349+Q1349)</f>
        <v>0</v>
      </c>
      <c r="F1349" s="1764"/>
      <c r="G1349" s="861"/>
      <c r="H1349" s="862"/>
      <c r="I1349" s="1497"/>
      <c r="J1349" s="1516"/>
      <c r="K1349" s="862"/>
      <c r="L1349" s="1551"/>
      <c r="M1349" s="1762"/>
      <c r="N1349" s="862"/>
      <c r="O1349" s="1420"/>
      <c r="P1349" s="862"/>
      <c r="Q1349" s="862"/>
      <c r="R1349" s="1519"/>
    </row>
    <row r="1350" spans="1:18" ht="18" customHeight="1">
      <c r="A1350" s="1436">
        <v>92116</v>
      </c>
      <c r="B1350" s="1529" t="s">
        <v>324</v>
      </c>
      <c r="C1350" s="1438">
        <f>SUM(C1351)</f>
        <v>3127000</v>
      </c>
      <c r="D1350" s="845">
        <f t="shared" si="189"/>
        <v>3563190</v>
      </c>
      <c r="E1350" s="1380">
        <f>H1350+K1350+Q1350+N1350</f>
        <v>1593998</v>
      </c>
      <c r="F1350" s="1381">
        <f aca="true" t="shared" si="192" ref="F1350:F1405">E1350/D1350*100</f>
        <v>44.73513901868831</v>
      </c>
      <c r="G1350" s="1438">
        <f>G1351+G1361</f>
        <v>1115000</v>
      </c>
      <c r="H1350" s="1380">
        <f>H1351+H1361</f>
        <v>517500</v>
      </c>
      <c r="I1350" s="1475">
        <f>H1350/G1350*100</f>
        <v>46.41255605381166</v>
      </c>
      <c r="J1350" s="1440"/>
      <c r="K1350" s="1380"/>
      <c r="L1350" s="1441"/>
      <c r="M1350" s="1380">
        <f>SUM(M1351)+M1361</f>
        <v>2448190</v>
      </c>
      <c r="N1350" s="1380">
        <f>SUM(N1351)+N1361</f>
        <v>1076498</v>
      </c>
      <c r="O1350" s="1388">
        <f aca="true" t="shared" si="193" ref="O1350:O1376">N1350/M1350*100</f>
        <v>43.97117870753495</v>
      </c>
      <c r="P1350" s="1380"/>
      <c r="Q1350" s="1380"/>
      <c r="R1350" s="1478"/>
    </row>
    <row r="1351" spans="1:18" s="1435" customFormat="1" ht="36">
      <c r="A1351" s="1422">
        <v>2480</v>
      </c>
      <c r="B1351" s="1547" t="s">
        <v>1375</v>
      </c>
      <c r="C1351" s="1393">
        <f>SUM(C1352:C1360)</f>
        <v>3127000</v>
      </c>
      <c r="D1351" s="869">
        <f t="shared" si="189"/>
        <v>3383190</v>
      </c>
      <c r="E1351" s="1407">
        <f>SUM(H1351+K1351+N1351+Q1351)</f>
        <v>1593998</v>
      </c>
      <c r="F1351" s="1391">
        <f t="shared" si="192"/>
        <v>47.11523739429355</v>
      </c>
      <c r="G1351" s="1393">
        <f>SUM(G1352:G1354)</f>
        <v>1035000</v>
      </c>
      <c r="H1351" s="1407">
        <f>SUM(H1352:H1354)</f>
        <v>517500</v>
      </c>
      <c r="I1351" s="1410">
        <f>H1351/G1351*100</f>
        <v>50</v>
      </c>
      <c r="J1351" s="1548"/>
      <c r="K1351" s="1407"/>
      <c r="L1351" s="1543"/>
      <c r="M1351" s="1407">
        <f>SUM(M1352:M1360)</f>
        <v>2348190</v>
      </c>
      <c r="N1351" s="1407">
        <f>SUM(N1352:N1360)</f>
        <v>1076498</v>
      </c>
      <c r="O1351" s="1374">
        <f t="shared" si="193"/>
        <v>45.84373496182166</v>
      </c>
      <c r="P1351" s="1407"/>
      <c r="Q1351" s="1407"/>
      <c r="R1351" s="1550"/>
    </row>
    <row r="1352" spans="1:18" s="1672" customFormat="1" ht="12.75">
      <c r="A1352" s="1499"/>
      <c r="B1352" s="1597" t="s">
        <v>1376</v>
      </c>
      <c r="C1352" s="1501">
        <f>1035000+2077000</f>
        <v>3112000</v>
      </c>
      <c r="D1352" s="1502">
        <f aca="true" t="shared" si="194" ref="D1352:D1407">G1352+J1352+P1352+M1352</f>
        <v>3232000</v>
      </c>
      <c r="E1352" s="1502">
        <f aca="true" t="shared" si="195" ref="E1352:E1360">SUM(H1352+K1352+N1352+Q1352)</f>
        <v>1573998</v>
      </c>
      <c r="F1352" s="1366">
        <f t="shared" si="192"/>
        <v>48.700433168316835</v>
      </c>
      <c r="G1352" s="1765">
        <v>1035000</v>
      </c>
      <c r="H1352" s="1502">
        <v>517500</v>
      </c>
      <c r="I1352" s="1369">
        <f>H1352/G1352*100</f>
        <v>50</v>
      </c>
      <c r="J1352" s="1504"/>
      <c r="K1352" s="1502"/>
      <c r="L1352" s="1503"/>
      <c r="M1352" s="1502">
        <f>2077000+120000</f>
        <v>2197000</v>
      </c>
      <c r="N1352" s="1502">
        <v>1056498</v>
      </c>
      <c r="O1352" s="1395">
        <f t="shared" si="193"/>
        <v>48.08821119708694</v>
      </c>
      <c r="P1352" s="1502"/>
      <c r="Q1352" s="1502"/>
      <c r="R1352" s="1507"/>
    </row>
    <row r="1353" spans="1:18" s="1672" customFormat="1" ht="12.75">
      <c r="A1353" s="1499"/>
      <c r="B1353" s="1597" t="s">
        <v>65</v>
      </c>
      <c r="C1353" s="1501"/>
      <c r="D1353" s="1502">
        <f t="shared" si="194"/>
        <v>20000</v>
      </c>
      <c r="E1353" s="1502">
        <f t="shared" si="195"/>
        <v>20000</v>
      </c>
      <c r="F1353" s="1366">
        <f t="shared" si="192"/>
        <v>100</v>
      </c>
      <c r="G1353" s="1765"/>
      <c r="H1353" s="1502"/>
      <c r="I1353" s="1369"/>
      <c r="J1353" s="1504"/>
      <c r="K1353" s="1502"/>
      <c r="L1353" s="1503"/>
      <c r="M1353" s="1502">
        <v>20000</v>
      </c>
      <c r="N1353" s="1502">
        <v>20000</v>
      </c>
      <c r="O1353" s="1369">
        <f t="shared" si="193"/>
        <v>100</v>
      </c>
      <c r="P1353" s="1502"/>
      <c r="Q1353" s="1502"/>
      <c r="R1353" s="1507"/>
    </row>
    <row r="1354" spans="1:18" s="1672" customFormat="1" ht="12.75">
      <c r="A1354" s="1499"/>
      <c r="B1354" s="1597" t="s">
        <v>1301</v>
      </c>
      <c r="C1354" s="1501"/>
      <c r="D1354" s="1502">
        <f t="shared" si="194"/>
        <v>2000</v>
      </c>
      <c r="E1354" s="1502">
        <f t="shared" si="195"/>
        <v>0</v>
      </c>
      <c r="F1354" s="1366">
        <f t="shared" si="192"/>
        <v>0</v>
      </c>
      <c r="G1354" s="1765"/>
      <c r="H1354" s="1502"/>
      <c r="I1354" s="1369"/>
      <c r="J1354" s="1504"/>
      <c r="K1354" s="1502"/>
      <c r="L1354" s="1503"/>
      <c r="M1354" s="1502">
        <v>2000</v>
      </c>
      <c r="N1354" s="1502"/>
      <c r="O1354" s="1369">
        <f t="shared" si="193"/>
        <v>0</v>
      </c>
      <c r="P1354" s="1502"/>
      <c r="Q1354" s="1502"/>
      <c r="R1354" s="1507"/>
    </row>
    <row r="1355" spans="1:18" s="1672" customFormat="1" ht="12.75">
      <c r="A1355" s="1499"/>
      <c r="B1355" s="1597" t="s">
        <v>1302</v>
      </c>
      <c r="C1355" s="1501"/>
      <c r="D1355" s="1502">
        <f t="shared" si="194"/>
        <v>34890</v>
      </c>
      <c r="E1355" s="1502">
        <f t="shared" si="195"/>
        <v>0</v>
      </c>
      <c r="F1355" s="1366">
        <f t="shared" si="192"/>
        <v>0</v>
      </c>
      <c r="G1355" s="1765"/>
      <c r="H1355" s="1502"/>
      <c r="I1355" s="1369"/>
      <c r="J1355" s="1504"/>
      <c r="K1355" s="1502"/>
      <c r="L1355" s="1503"/>
      <c r="M1355" s="1502">
        <v>34890</v>
      </c>
      <c r="N1355" s="1502"/>
      <c r="O1355" s="1369">
        <f t="shared" si="193"/>
        <v>0</v>
      </c>
      <c r="P1355" s="1502"/>
      <c r="Q1355" s="1502"/>
      <c r="R1355" s="1507"/>
    </row>
    <row r="1356" spans="1:18" s="1672" customFormat="1" ht="24">
      <c r="A1356" s="1499"/>
      <c r="B1356" s="1597" t="s">
        <v>1303</v>
      </c>
      <c r="C1356" s="1501"/>
      <c r="D1356" s="1502">
        <f t="shared" si="194"/>
        <v>60000</v>
      </c>
      <c r="E1356" s="1502">
        <f>SUM(H1356+K1356+N1356+Q1356)</f>
        <v>0</v>
      </c>
      <c r="F1356" s="1366">
        <f>E1356/D1356*100</f>
        <v>0</v>
      </c>
      <c r="G1356" s="1765"/>
      <c r="H1356" s="1502"/>
      <c r="I1356" s="1369"/>
      <c r="J1356" s="1504"/>
      <c r="K1356" s="1502"/>
      <c r="L1356" s="1503"/>
      <c r="M1356" s="1502">
        <v>60000</v>
      </c>
      <c r="N1356" s="1502"/>
      <c r="O1356" s="1369">
        <f t="shared" si="193"/>
        <v>0</v>
      </c>
      <c r="P1356" s="1502"/>
      <c r="Q1356" s="1502"/>
      <c r="R1356" s="1507"/>
    </row>
    <row r="1357" spans="1:18" s="1672" customFormat="1" ht="12.75">
      <c r="A1357" s="1499"/>
      <c r="B1357" s="1597" t="s">
        <v>1304</v>
      </c>
      <c r="C1357" s="1501"/>
      <c r="D1357" s="1502">
        <f t="shared" si="194"/>
        <v>3400</v>
      </c>
      <c r="E1357" s="1502">
        <f>SUM(H1357+K1357+N1357+Q1357)</f>
        <v>0</v>
      </c>
      <c r="F1357" s="1366"/>
      <c r="G1357" s="1765"/>
      <c r="H1357" s="1502"/>
      <c r="I1357" s="1369"/>
      <c r="J1357" s="1504"/>
      <c r="K1357" s="1502"/>
      <c r="L1357" s="1503"/>
      <c r="M1357" s="1502">
        <v>3400</v>
      </c>
      <c r="N1357" s="1502"/>
      <c r="O1357" s="1369">
        <f t="shared" si="193"/>
        <v>0</v>
      </c>
      <c r="P1357" s="1502"/>
      <c r="Q1357" s="1502"/>
      <c r="R1357" s="1507"/>
    </row>
    <row r="1358" spans="1:18" s="1672" customFormat="1" ht="12.75">
      <c r="A1358" s="1499"/>
      <c r="B1358" s="1597" t="s">
        <v>1387</v>
      </c>
      <c r="C1358" s="1501">
        <v>15000</v>
      </c>
      <c r="D1358" s="1502">
        <f t="shared" si="194"/>
        <v>15000</v>
      </c>
      <c r="E1358" s="1502">
        <f t="shared" si="195"/>
        <v>0</v>
      </c>
      <c r="F1358" s="1366">
        <f t="shared" si="192"/>
        <v>0</v>
      </c>
      <c r="G1358" s="1765"/>
      <c r="H1358" s="1502"/>
      <c r="I1358" s="1369"/>
      <c r="J1358" s="1504"/>
      <c r="K1358" s="1502"/>
      <c r="L1358" s="1503"/>
      <c r="M1358" s="1502">
        <v>15000</v>
      </c>
      <c r="N1358" s="1502"/>
      <c r="O1358" s="1369">
        <f t="shared" si="193"/>
        <v>0</v>
      </c>
      <c r="P1358" s="1502"/>
      <c r="Q1358" s="1502"/>
      <c r="R1358" s="1507"/>
    </row>
    <row r="1359" spans="1:18" s="1672" customFormat="1" ht="24">
      <c r="A1359" s="1499"/>
      <c r="B1359" s="1597" t="s">
        <v>1305</v>
      </c>
      <c r="C1359" s="1501"/>
      <c r="D1359" s="1502">
        <f t="shared" si="194"/>
        <v>900</v>
      </c>
      <c r="E1359" s="1502">
        <f t="shared" si="195"/>
        <v>0</v>
      </c>
      <c r="F1359" s="1366">
        <f t="shared" si="192"/>
        <v>0</v>
      </c>
      <c r="G1359" s="1765"/>
      <c r="H1359" s="1502"/>
      <c r="I1359" s="1369"/>
      <c r="J1359" s="1504"/>
      <c r="K1359" s="1502"/>
      <c r="L1359" s="1503"/>
      <c r="M1359" s="1502">
        <v>900</v>
      </c>
      <c r="N1359" s="1502"/>
      <c r="O1359" s="1369">
        <f t="shared" si="193"/>
        <v>0</v>
      </c>
      <c r="P1359" s="1502"/>
      <c r="Q1359" s="1502"/>
      <c r="R1359" s="1507"/>
    </row>
    <row r="1360" spans="1:18" s="1672" customFormat="1" ht="24">
      <c r="A1360" s="1499"/>
      <c r="B1360" s="1597" t="s">
        <v>1388</v>
      </c>
      <c r="C1360" s="1501"/>
      <c r="D1360" s="1502">
        <f t="shared" si="194"/>
        <v>15000</v>
      </c>
      <c r="E1360" s="1502">
        <f t="shared" si="195"/>
        <v>0</v>
      </c>
      <c r="F1360" s="1366">
        <f t="shared" si="192"/>
        <v>0</v>
      </c>
      <c r="G1360" s="1765"/>
      <c r="H1360" s="1502"/>
      <c r="I1360" s="1369"/>
      <c r="J1360" s="1504"/>
      <c r="K1360" s="1502"/>
      <c r="L1360" s="1503"/>
      <c r="M1360" s="1502">
        <v>15000</v>
      </c>
      <c r="N1360" s="1502"/>
      <c r="O1360" s="1395">
        <f t="shared" si="193"/>
        <v>0</v>
      </c>
      <c r="P1360" s="1502"/>
      <c r="Q1360" s="1502"/>
      <c r="R1360" s="1507"/>
    </row>
    <row r="1361" spans="1:18" s="1435" customFormat="1" ht="132">
      <c r="A1361" s="1492">
        <v>6220</v>
      </c>
      <c r="B1361" s="1451" t="s">
        <v>1306</v>
      </c>
      <c r="C1361" s="1494"/>
      <c r="D1361" s="862">
        <f t="shared" si="194"/>
        <v>180000</v>
      </c>
      <c r="E1361" s="1487">
        <f>SUM(H1361+K1361+N1361+Q1361)</f>
        <v>0</v>
      </c>
      <c r="F1361" s="1419">
        <f t="shared" si="192"/>
        <v>0</v>
      </c>
      <c r="G1361" s="1766">
        <v>80000</v>
      </c>
      <c r="H1361" s="1487"/>
      <c r="I1361" s="1369">
        <f>H1361/G1361*100</f>
        <v>0</v>
      </c>
      <c r="J1361" s="1495"/>
      <c r="K1361" s="1487"/>
      <c r="L1361" s="1551"/>
      <c r="M1361" s="1487">
        <v>100000</v>
      </c>
      <c r="N1361" s="1487"/>
      <c r="O1361" s="1420">
        <f t="shared" si="193"/>
        <v>0</v>
      </c>
      <c r="P1361" s="1487"/>
      <c r="Q1361" s="1487"/>
      <c r="R1361" s="1539"/>
    </row>
    <row r="1362" spans="1:18" s="1435" customFormat="1" ht="18.75" customHeight="1">
      <c r="A1362" s="1436">
        <v>92118</v>
      </c>
      <c r="B1362" s="1529" t="s">
        <v>325</v>
      </c>
      <c r="C1362" s="1438">
        <f>SUM(C1363)+C1371+C1374+C1376+C1375</f>
        <v>3351031</v>
      </c>
      <c r="D1362" s="845">
        <f t="shared" si="194"/>
        <v>3508070</v>
      </c>
      <c r="E1362" s="1380">
        <f>H1362+K1362+Q1362+N1362</f>
        <v>1252384</v>
      </c>
      <c r="F1362" s="1381">
        <f t="shared" si="192"/>
        <v>35.70008580216472</v>
      </c>
      <c r="G1362" s="1675"/>
      <c r="H1362" s="1380"/>
      <c r="I1362" s="1475"/>
      <c r="J1362" s="1440"/>
      <c r="K1362" s="1380"/>
      <c r="L1362" s="1441"/>
      <c r="M1362" s="1380">
        <f>SUM(M1363)+M1371+M1374+M1376+M1375</f>
        <v>3508070</v>
      </c>
      <c r="N1362" s="1380">
        <f>SUM(N1363)+N1371+N1374+N1376+N1375</f>
        <v>1252384</v>
      </c>
      <c r="O1362" s="1388">
        <f t="shared" si="193"/>
        <v>35.70008580216472</v>
      </c>
      <c r="P1362" s="1380"/>
      <c r="Q1362" s="1380"/>
      <c r="R1362" s="1478"/>
    </row>
    <row r="1363" spans="1:18" s="1435" customFormat="1" ht="36">
      <c r="A1363" s="1422">
        <v>2480</v>
      </c>
      <c r="B1363" s="1547" t="s">
        <v>1375</v>
      </c>
      <c r="C1363" s="1393">
        <f>SUM(C1364:C1370)</f>
        <v>1457000</v>
      </c>
      <c r="D1363" s="869">
        <f t="shared" si="194"/>
        <v>1517000</v>
      </c>
      <c r="E1363" s="1407">
        <f>SUM(H1363+K1363+N1363+Q1363)</f>
        <v>728496</v>
      </c>
      <c r="F1363" s="1391">
        <f t="shared" si="192"/>
        <v>48.022148978246534</v>
      </c>
      <c r="G1363" s="1389"/>
      <c r="H1363" s="830"/>
      <c r="I1363" s="1410"/>
      <c r="J1363" s="1445"/>
      <c r="K1363" s="1390"/>
      <c r="L1363" s="1446"/>
      <c r="M1363" s="1393">
        <f>SUM(M1364:M1370)</f>
        <v>1517000</v>
      </c>
      <c r="N1363" s="1390">
        <f>SUM(N1364:N1370)</f>
        <v>728496</v>
      </c>
      <c r="O1363" s="1395">
        <f t="shared" si="193"/>
        <v>48.022148978246534</v>
      </c>
      <c r="P1363" s="1390"/>
      <c r="Q1363" s="1390"/>
      <c r="R1363" s="1454"/>
    </row>
    <row r="1364" spans="1:18" s="1672" customFormat="1" ht="12.75">
      <c r="A1364" s="1499"/>
      <c r="B1364" s="1597" t="s">
        <v>1376</v>
      </c>
      <c r="C1364" s="1501">
        <v>1427000</v>
      </c>
      <c r="D1364" s="1502">
        <f t="shared" si="194"/>
        <v>1487000</v>
      </c>
      <c r="E1364" s="1502">
        <f aca="true" t="shared" si="196" ref="E1364:E1373">SUM(H1364+K1364+N1364+Q1364)</f>
        <v>728496</v>
      </c>
      <c r="F1364" s="1366">
        <f t="shared" si="192"/>
        <v>48.99098856758574</v>
      </c>
      <c r="G1364" s="1501"/>
      <c r="H1364" s="1502"/>
      <c r="I1364" s="1369"/>
      <c r="J1364" s="1504"/>
      <c r="K1364" s="1502"/>
      <c r="L1364" s="1503"/>
      <c r="M1364" s="1501">
        <f>1427000+60000</f>
        <v>1487000</v>
      </c>
      <c r="N1364" s="1502">
        <v>728496</v>
      </c>
      <c r="O1364" s="1573">
        <f t="shared" si="193"/>
        <v>48.99098856758574</v>
      </c>
      <c r="P1364" s="1502"/>
      <c r="Q1364" s="1502"/>
      <c r="R1364" s="1507"/>
    </row>
    <row r="1365" spans="1:18" s="1672" customFormat="1" ht="12.75" hidden="1">
      <c r="A1365" s="1499"/>
      <c r="B1365" s="1597" t="s">
        <v>65</v>
      </c>
      <c r="C1365" s="1501"/>
      <c r="D1365" s="1502">
        <f t="shared" si="194"/>
        <v>0</v>
      </c>
      <c r="E1365" s="1502">
        <f t="shared" si="196"/>
        <v>0</v>
      </c>
      <c r="F1365" s="1366" t="e">
        <f t="shared" si="192"/>
        <v>#DIV/0!</v>
      </c>
      <c r="G1365" s="1501"/>
      <c r="H1365" s="1502"/>
      <c r="I1365" s="1369"/>
      <c r="J1365" s="1504"/>
      <c r="K1365" s="1502"/>
      <c r="L1365" s="1503"/>
      <c r="M1365" s="1501"/>
      <c r="N1365" s="1502"/>
      <c r="O1365" s="1369" t="e">
        <f t="shared" si="193"/>
        <v>#DIV/0!</v>
      </c>
      <c r="P1365" s="1502"/>
      <c r="Q1365" s="1502"/>
      <c r="R1365" s="1507"/>
    </row>
    <row r="1366" spans="1:18" s="1672" customFormat="1" ht="24" hidden="1">
      <c r="A1366" s="1499"/>
      <c r="B1366" s="1597" t="s">
        <v>1389</v>
      </c>
      <c r="C1366" s="1501"/>
      <c r="D1366" s="1502">
        <f t="shared" si="194"/>
        <v>0</v>
      </c>
      <c r="E1366" s="1502">
        <f t="shared" si="196"/>
        <v>0</v>
      </c>
      <c r="F1366" s="1366" t="e">
        <f t="shared" si="192"/>
        <v>#DIV/0!</v>
      </c>
      <c r="G1366" s="1501"/>
      <c r="H1366" s="1502"/>
      <c r="I1366" s="1369"/>
      <c r="J1366" s="1504"/>
      <c r="K1366" s="1502"/>
      <c r="L1366" s="1503"/>
      <c r="M1366" s="1501"/>
      <c r="N1366" s="1502"/>
      <c r="O1366" s="1369" t="e">
        <f t="shared" si="193"/>
        <v>#DIV/0!</v>
      </c>
      <c r="P1366" s="1502"/>
      <c r="Q1366" s="1502"/>
      <c r="R1366" s="1507"/>
    </row>
    <row r="1367" spans="1:18" s="1672" customFormat="1" ht="36" hidden="1">
      <c r="A1367" s="1499"/>
      <c r="B1367" s="1597" t="s">
        <v>1390</v>
      </c>
      <c r="C1367" s="1501"/>
      <c r="D1367" s="1502">
        <f t="shared" si="194"/>
        <v>0</v>
      </c>
      <c r="E1367" s="1502">
        <f t="shared" si="196"/>
        <v>0</v>
      </c>
      <c r="F1367" s="1366" t="e">
        <f t="shared" si="192"/>
        <v>#DIV/0!</v>
      </c>
      <c r="G1367" s="1501"/>
      <c r="H1367" s="1502"/>
      <c r="I1367" s="1369"/>
      <c r="J1367" s="1504"/>
      <c r="K1367" s="1502"/>
      <c r="L1367" s="1503"/>
      <c r="M1367" s="1501"/>
      <c r="N1367" s="1502"/>
      <c r="O1367" s="1573" t="e">
        <f t="shared" si="193"/>
        <v>#DIV/0!</v>
      </c>
      <c r="P1367" s="1502"/>
      <c r="Q1367" s="1502"/>
      <c r="R1367" s="1507"/>
    </row>
    <row r="1368" spans="1:18" s="1672" customFormat="1" ht="12.75" hidden="1">
      <c r="A1368" s="1499"/>
      <c r="B1368" s="1597" t="s">
        <v>1391</v>
      </c>
      <c r="C1368" s="1501"/>
      <c r="D1368" s="1502">
        <f t="shared" si="194"/>
        <v>0</v>
      </c>
      <c r="E1368" s="1502">
        <f t="shared" si="196"/>
        <v>0</v>
      </c>
      <c r="F1368" s="1366" t="e">
        <f t="shared" si="192"/>
        <v>#DIV/0!</v>
      </c>
      <c r="G1368" s="1501"/>
      <c r="H1368" s="1502"/>
      <c r="I1368" s="1369"/>
      <c r="J1368" s="1504"/>
      <c r="K1368" s="1502"/>
      <c r="L1368" s="1503"/>
      <c r="M1368" s="1501"/>
      <c r="N1368" s="1502"/>
      <c r="O1368" s="1369" t="e">
        <f t="shared" si="193"/>
        <v>#DIV/0!</v>
      </c>
      <c r="P1368" s="1502"/>
      <c r="Q1368" s="1502"/>
      <c r="R1368" s="1507"/>
    </row>
    <row r="1369" spans="1:18" s="1672" customFormat="1" ht="24">
      <c r="A1369" s="1499"/>
      <c r="B1369" s="1597" t="s">
        <v>1392</v>
      </c>
      <c r="C1369" s="1501">
        <v>15000</v>
      </c>
      <c r="D1369" s="1502">
        <f t="shared" si="194"/>
        <v>15000</v>
      </c>
      <c r="E1369" s="1502">
        <f t="shared" si="196"/>
        <v>0</v>
      </c>
      <c r="F1369" s="1366">
        <f t="shared" si="192"/>
        <v>0</v>
      </c>
      <c r="G1369" s="1501"/>
      <c r="H1369" s="1502"/>
      <c r="I1369" s="1369"/>
      <c r="J1369" s="1504"/>
      <c r="K1369" s="1502"/>
      <c r="L1369" s="1503"/>
      <c r="M1369" s="1501">
        <v>15000</v>
      </c>
      <c r="N1369" s="1502"/>
      <c r="O1369" s="1573">
        <f t="shared" si="193"/>
        <v>0</v>
      </c>
      <c r="P1369" s="1502"/>
      <c r="Q1369" s="1502"/>
      <c r="R1369" s="1507"/>
    </row>
    <row r="1370" spans="1:18" s="1672" customFormat="1" ht="36">
      <c r="A1370" s="1499"/>
      <c r="B1370" s="1597" t="s">
        <v>1307</v>
      </c>
      <c r="C1370" s="1501">
        <v>15000</v>
      </c>
      <c r="D1370" s="1502">
        <f t="shared" si="194"/>
        <v>15000</v>
      </c>
      <c r="E1370" s="1502">
        <f t="shared" si="196"/>
        <v>0</v>
      </c>
      <c r="F1370" s="1366">
        <f t="shared" si="192"/>
        <v>0</v>
      </c>
      <c r="G1370" s="1501"/>
      <c r="H1370" s="1502"/>
      <c r="I1370" s="1369"/>
      <c r="J1370" s="1504"/>
      <c r="K1370" s="1502"/>
      <c r="L1370" s="1503"/>
      <c r="M1370" s="1501">
        <v>15000</v>
      </c>
      <c r="N1370" s="1502"/>
      <c r="O1370" s="1573">
        <f t="shared" si="193"/>
        <v>0</v>
      </c>
      <c r="P1370" s="1502"/>
      <c r="Q1370" s="1502"/>
      <c r="R1370" s="1507"/>
    </row>
    <row r="1371" spans="1:18" s="1435" customFormat="1" ht="84">
      <c r="A1371" s="1443">
        <v>6220</v>
      </c>
      <c r="B1371" s="1451" t="s">
        <v>1393</v>
      </c>
      <c r="C1371" s="1389">
        <f>SUM(C1372:C1373)</f>
        <v>400000</v>
      </c>
      <c r="D1371" s="830">
        <f t="shared" si="194"/>
        <v>410000</v>
      </c>
      <c r="E1371" s="1390">
        <f t="shared" si="196"/>
        <v>10000</v>
      </c>
      <c r="F1371" s="1366">
        <f t="shared" si="192"/>
        <v>2.4390243902439024</v>
      </c>
      <c r="G1371" s="1389"/>
      <c r="H1371" s="830"/>
      <c r="I1371" s="1369"/>
      <c r="J1371" s="1445"/>
      <c r="K1371" s="1390"/>
      <c r="L1371" s="1446"/>
      <c r="M1371" s="1445">
        <f>SUM(M1372:M1373)</f>
        <v>410000</v>
      </c>
      <c r="N1371" s="1390">
        <f>SUM(N1372:N1373)</f>
        <v>10000</v>
      </c>
      <c r="O1371" s="1395">
        <f t="shared" si="193"/>
        <v>2.4390243902439024</v>
      </c>
      <c r="P1371" s="1390"/>
      <c r="Q1371" s="1390"/>
      <c r="R1371" s="1454"/>
    </row>
    <row r="1372" spans="1:18" s="1672" customFormat="1" ht="24">
      <c r="A1372" s="1499"/>
      <c r="B1372" s="1597" t="s">
        <v>1308</v>
      </c>
      <c r="C1372" s="1501">
        <v>400000</v>
      </c>
      <c r="D1372" s="1502">
        <f t="shared" si="194"/>
        <v>400000</v>
      </c>
      <c r="E1372" s="1502">
        <f t="shared" si="196"/>
        <v>0</v>
      </c>
      <c r="F1372" s="1366">
        <f t="shared" si="192"/>
        <v>0</v>
      </c>
      <c r="G1372" s="1501"/>
      <c r="H1372" s="1502"/>
      <c r="I1372" s="1369"/>
      <c r="J1372" s="1504"/>
      <c r="K1372" s="1502"/>
      <c r="L1372" s="1503"/>
      <c r="M1372" s="1504">
        <v>400000</v>
      </c>
      <c r="N1372" s="1502"/>
      <c r="O1372" s="1573">
        <f>N1372/M1372*100</f>
        <v>0</v>
      </c>
      <c r="P1372" s="1502"/>
      <c r="Q1372" s="1502"/>
      <c r="R1372" s="1507"/>
    </row>
    <row r="1373" spans="1:18" s="1672" customFormat="1" ht="12.75">
      <c r="A1373" s="1499"/>
      <c r="B1373" s="1597" t="s">
        <v>1309</v>
      </c>
      <c r="C1373" s="1501"/>
      <c r="D1373" s="1502">
        <f t="shared" si="194"/>
        <v>10000</v>
      </c>
      <c r="E1373" s="1502">
        <f t="shared" si="196"/>
        <v>10000</v>
      </c>
      <c r="F1373" s="1366">
        <f t="shared" si="192"/>
        <v>100</v>
      </c>
      <c r="G1373" s="1501"/>
      <c r="H1373" s="1502"/>
      <c r="I1373" s="1369"/>
      <c r="J1373" s="1504"/>
      <c r="K1373" s="1502"/>
      <c r="L1373" s="1503"/>
      <c r="M1373" s="1504">
        <v>10000</v>
      </c>
      <c r="N1373" s="1502">
        <v>10000</v>
      </c>
      <c r="O1373" s="1369">
        <f>N1373/M1373*100</f>
        <v>100</v>
      </c>
      <c r="P1373" s="1502"/>
      <c r="Q1373" s="1502"/>
      <c r="R1373" s="1507"/>
    </row>
    <row r="1374" spans="1:18" s="1435" customFormat="1" ht="24">
      <c r="A1374" s="1443">
        <v>6050</v>
      </c>
      <c r="B1374" s="1451" t="s">
        <v>767</v>
      </c>
      <c r="C1374" s="1389"/>
      <c r="D1374" s="830">
        <f t="shared" si="194"/>
        <v>186610</v>
      </c>
      <c r="E1374" s="830">
        <f>H1374+K1374+Q1374+N1374</f>
        <v>0</v>
      </c>
      <c r="F1374" s="1366">
        <f t="shared" si="192"/>
        <v>0</v>
      </c>
      <c r="G1374" s="1389"/>
      <c r="H1374" s="830"/>
      <c r="I1374" s="1369"/>
      <c r="J1374" s="1445"/>
      <c r="K1374" s="1390"/>
      <c r="L1374" s="1446"/>
      <c r="M1374" s="1389">
        <f>100000+86610</f>
        <v>186610</v>
      </c>
      <c r="N1374" s="1390"/>
      <c r="O1374" s="1395">
        <f t="shared" si="193"/>
        <v>0</v>
      </c>
      <c r="P1374" s="1390"/>
      <c r="Q1374" s="1390"/>
      <c r="R1374" s="1454"/>
    </row>
    <row r="1375" spans="1:18" s="1435" customFormat="1" ht="24">
      <c r="A1375" s="1443">
        <v>6058</v>
      </c>
      <c r="B1375" s="1451" t="s">
        <v>767</v>
      </c>
      <c r="C1375" s="1389">
        <v>1126640</v>
      </c>
      <c r="D1375" s="830">
        <f t="shared" si="194"/>
        <v>1045845</v>
      </c>
      <c r="E1375" s="830">
        <f>H1375+K1375+Q1375+N1375</f>
        <v>385393</v>
      </c>
      <c r="F1375" s="1366">
        <f t="shared" si="192"/>
        <v>36.849915618471194</v>
      </c>
      <c r="G1375" s="1389"/>
      <c r="H1375" s="830"/>
      <c r="I1375" s="1369"/>
      <c r="J1375" s="1445"/>
      <c r="K1375" s="1390"/>
      <c r="L1375" s="1446"/>
      <c r="M1375" s="1389">
        <f>1126640-80795</f>
        <v>1045845</v>
      </c>
      <c r="N1375" s="1390">
        <v>385393</v>
      </c>
      <c r="O1375" s="1395">
        <f t="shared" si="193"/>
        <v>36.849915618471194</v>
      </c>
      <c r="P1375" s="1390"/>
      <c r="Q1375" s="1390"/>
      <c r="R1375" s="1454"/>
    </row>
    <row r="1376" spans="1:18" s="1435" customFormat="1" ht="24">
      <c r="A1376" s="1443">
        <v>6059</v>
      </c>
      <c r="B1376" s="1451" t="s">
        <v>767</v>
      </c>
      <c r="C1376" s="1389">
        <v>367391</v>
      </c>
      <c r="D1376" s="830">
        <f t="shared" si="194"/>
        <v>348615</v>
      </c>
      <c r="E1376" s="1390">
        <f>SUM(H1376+K1376+N1376+Q1376)</f>
        <v>128495</v>
      </c>
      <c r="F1376" s="1366">
        <f>E1376/D1376*100</f>
        <v>36.858712333089514</v>
      </c>
      <c r="G1376" s="1389"/>
      <c r="H1376" s="830"/>
      <c r="I1376" s="1439"/>
      <c r="J1376" s="1445"/>
      <c r="K1376" s="1390"/>
      <c r="L1376" s="1446"/>
      <c r="M1376" s="1389">
        <f>367391+135834-68000-86610</f>
        <v>348615</v>
      </c>
      <c r="N1376" s="1390">
        <v>128495</v>
      </c>
      <c r="O1376" s="1395">
        <f t="shared" si="193"/>
        <v>36.858712333089514</v>
      </c>
      <c r="P1376" s="1390"/>
      <c r="Q1376" s="1390"/>
      <c r="R1376" s="1454"/>
    </row>
    <row r="1377" spans="1:18" ht="24.75" customHeight="1">
      <c r="A1377" s="1436">
        <v>92120</v>
      </c>
      <c r="B1377" s="1529" t="s">
        <v>1310</v>
      </c>
      <c r="C1377" s="1438">
        <f>SUM(C1380:C1382)</f>
        <v>200000</v>
      </c>
      <c r="D1377" s="845">
        <f t="shared" si="194"/>
        <v>200000</v>
      </c>
      <c r="E1377" s="1380">
        <f>H1377+K1377+Q1377+N1377</f>
        <v>0</v>
      </c>
      <c r="F1377" s="1381">
        <f t="shared" si="192"/>
        <v>0</v>
      </c>
      <c r="G1377" s="1438">
        <f>SUM(G1378:G1382)</f>
        <v>200000</v>
      </c>
      <c r="H1377" s="1380">
        <f>SUM(H1378:H1382)</f>
        <v>0</v>
      </c>
      <c r="I1377" s="1475">
        <f aca="true" t="shared" si="197" ref="I1377:I1384">H1377/G1377*100</f>
        <v>0</v>
      </c>
      <c r="J1377" s="1440"/>
      <c r="K1377" s="1380"/>
      <c r="L1377" s="1441"/>
      <c r="M1377" s="1380"/>
      <c r="N1377" s="1380"/>
      <c r="O1377" s="1442"/>
      <c r="P1377" s="1380"/>
      <c r="Q1377" s="1380"/>
      <c r="R1377" s="1478"/>
    </row>
    <row r="1378" spans="1:18" s="1286" customFormat="1" ht="60" hidden="1">
      <c r="A1378" s="1540">
        <v>2820</v>
      </c>
      <c r="B1378" s="1541" t="s">
        <v>36</v>
      </c>
      <c r="C1378" s="864"/>
      <c r="D1378" s="830">
        <f t="shared" si="194"/>
        <v>0</v>
      </c>
      <c r="E1378" s="1390">
        <f aca="true" t="shared" si="198" ref="E1378:E1383">SUM(H1378+K1378+N1378+Q1378)</f>
        <v>0</v>
      </c>
      <c r="F1378" s="1366" t="e">
        <f t="shared" si="192"/>
        <v>#DIV/0!</v>
      </c>
      <c r="G1378" s="864"/>
      <c r="H1378" s="869"/>
      <c r="I1378" s="1369" t="e">
        <f t="shared" si="197"/>
        <v>#DIV/0!</v>
      </c>
      <c r="J1378" s="1542"/>
      <c r="K1378" s="869"/>
      <c r="L1378" s="1543"/>
      <c r="M1378" s="869"/>
      <c r="N1378" s="869"/>
      <c r="O1378" s="1544"/>
      <c r="P1378" s="869"/>
      <c r="Q1378" s="869"/>
      <c r="R1378" s="884"/>
    </row>
    <row r="1379" spans="1:18" s="1286" customFormat="1" ht="24" hidden="1">
      <c r="A1379" s="1512">
        <v>4170</v>
      </c>
      <c r="B1379" s="1574" t="s">
        <v>744</v>
      </c>
      <c r="C1379" s="832"/>
      <c r="D1379" s="830">
        <f t="shared" si="194"/>
        <v>0</v>
      </c>
      <c r="E1379" s="1390">
        <f t="shared" si="198"/>
        <v>0</v>
      </c>
      <c r="F1379" s="1366" t="e">
        <f t="shared" si="192"/>
        <v>#DIV/0!</v>
      </c>
      <c r="G1379" s="832"/>
      <c r="H1379" s="830"/>
      <c r="I1379" s="1369" t="e">
        <f t="shared" si="197"/>
        <v>#DIV/0!</v>
      </c>
      <c r="J1379" s="1514"/>
      <c r="K1379" s="830"/>
      <c r="L1379" s="1446"/>
      <c r="M1379" s="830"/>
      <c r="N1379" s="830"/>
      <c r="O1379" s="1515"/>
      <c r="P1379" s="830"/>
      <c r="Q1379" s="830"/>
      <c r="R1379" s="834"/>
    </row>
    <row r="1380" spans="1:18" s="1435" customFormat="1" ht="25.5" customHeight="1">
      <c r="A1380" s="1443">
        <v>4270</v>
      </c>
      <c r="B1380" s="1451" t="s">
        <v>1394</v>
      </c>
      <c r="C1380" s="1389">
        <v>200000</v>
      </c>
      <c r="D1380" s="830">
        <f t="shared" si="194"/>
        <v>200000</v>
      </c>
      <c r="E1380" s="1390">
        <f t="shared" si="198"/>
        <v>0</v>
      </c>
      <c r="F1380" s="1366">
        <f t="shared" si="192"/>
        <v>0</v>
      </c>
      <c r="G1380" s="1389">
        <v>200000</v>
      </c>
      <c r="H1380" s="1390"/>
      <c r="I1380" s="1369">
        <f t="shared" si="197"/>
        <v>0</v>
      </c>
      <c r="J1380" s="1445"/>
      <c r="K1380" s="1390"/>
      <c r="L1380" s="1446"/>
      <c r="M1380" s="1390"/>
      <c r="N1380" s="1390"/>
      <c r="O1380" s="1447"/>
      <c r="P1380" s="1390"/>
      <c r="Q1380" s="1390"/>
      <c r="R1380" s="1454"/>
    </row>
    <row r="1381" spans="1:18" s="1435" customFormat="1" ht="12.75" hidden="1">
      <c r="A1381" s="1443">
        <v>4300</v>
      </c>
      <c r="B1381" s="1451" t="s">
        <v>698</v>
      </c>
      <c r="C1381" s="1389"/>
      <c r="D1381" s="830">
        <f t="shared" si="194"/>
        <v>0</v>
      </c>
      <c r="E1381" s="1390">
        <f t="shared" si="198"/>
        <v>0</v>
      </c>
      <c r="F1381" s="1366" t="e">
        <f t="shared" si="192"/>
        <v>#DIV/0!</v>
      </c>
      <c r="G1381" s="1389"/>
      <c r="H1381" s="1390"/>
      <c r="I1381" s="1369" t="e">
        <f t="shared" si="197"/>
        <v>#DIV/0!</v>
      </c>
      <c r="J1381" s="1578"/>
      <c r="K1381" s="1390"/>
      <c r="L1381" s="1446"/>
      <c r="M1381" s="1390"/>
      <c r="N1381" s="1390"/>
      <c r="O1381" s="1447"/>
      <c r="P1381" s="1390"/>
      <c r="Q1381" s="1390"/>
      <c r="R1381" s="1454"/>
    </row>
    <row r="1382" spans="1:18" s="1435" customFormat="1" ht="36" hidden="1">
      <c r="A1382" s="1492">
        <v>6060</v>
      </c>
      <c r="B1382" s="1493" t="s">
        <v>841</v>
      </c>
      <c r="C1382" s="1494"/>
      <c r="D1382" s="862">
        <f t="shared" si="194"/>
        <v>0</v>
      </c>
      <c r="E1382" s="1487">
        <f t="shared" si="198"/>
        <v>0</v>
      </c>
      <c r="F1382" s="1419" t="e">
        <f t="shared" si="192"/>
        <v>#DIV/0!</v>
      </c>
      <c r="G1382" s="1494"/>
      <c r="H1382" s="1487"/>
      <c r="I1382" s="1439" t="e">
        <f t="shared" si="197"/>
        <v>#DIV/0!</v>
      </c>
      <c r="J1382" s="1611"/>
      <c r="K1382" s="1487"/>
      <c r="L1382" s="1551"/>
      <c r="M1382" s="1487"/>
      <c r="N1382" s="1487"/>
      <c r="O1382" s="1498"/>
      <c r="P1382" s="1487"/>
      <c r="Q1382" s="1487"/>
      <c r="R1382" s="1539"/>
    </row>
    <row r="1383" spans="1:18" s="1471" customFormat="1" ht="17.25" customHeight="1">
      <c r="A1383" s="1479">
        <v>92195</v>
      </c>
      <c r="B1383" s="1576" t="s">
        <v>299</v>
      </c>
      <c r="C1383" s="823">
        <f>SUM(C1384:C1390)</f>
        <v>29970</v>
      </c>
      <c r="D1383" s="845">
        <f t="shared" si="194"/>
        <v>30970</v>
      </c>
      <c r="E1383" s="845">
        <f t="shared" si="198"/>
        <v>8063</v>
      </c>
      <c r="F1383" s="1381">
        <f t="shared" si="192"/>
        <v>26.03487245721666</v>
      </c>
      <c r="G1383" s="823">
        <f>SUM(G1384:G1390)</f>
        <v>30970</v>
      </c>
      <c r="H1383" s="845">
        <f>SUM(H1384:H1390)</f>
        <v>8063</v>
      </c>
      <c r="I1383" s="1475">
        <f t="shared" si="197"/>
        <v>26.03487245721666</v>
      </c>
      <c r="J1383" s="1577"/>
      <c r="K1383" s="845"/>
      <c r="L1383" s="1441"/>
      <c r="M1383" s="845"/>
      <c r="N1383" s="845"/>
      <c r="O1383" s="1511"/>
      <c r="P1383" s="845"/>
      <c r="Q1383" s="845"/>
      <c r="R1383" s="826"/>
    </row>
    <row r="1384" spans="1:18" s="1286" customFormat="1" ht="61.5" customHeight="1" hidden="1">
      <c r="A1384" s="1512">
        <v>2820</v>
      </c>
      <c r="B1384" s="1574" t="s">
        <v>314</v>
      </c>
      <c r="C1384" s="832"/>
      <c r="D1384" s="830">
        <f t="shared" si="194"/>
        <v>0</v>
      </c>
      <c r="E1384" s="830">
        <f>H1384+K1384+Q1384+N1384</f>
        <v>0</v>
      </c>
      <c r="F1384" s="1366" t="e">
        <f t="shared" si="192"/>
        <v>#DIV/0!</v>
      </c>
      <c r="G1384" s="832"/>
      <c r="H1384" s="830"/>
      <c r="I1384" s="1369" t="e">
        <f t="shared" si="197"/>
        <v>#DIV/0!</v>
      </c>
      <c r="J1384" s="1583"/>
      <c r="K1384" s="830"/>
      <c r="L1384" s="1446"/>
      <c r="M1384" s="830"/>
      <c r="N1384" s="830"/>
      <c r="O1384" s="1515"/>
      <c r="P1384" s="830"/>
      <c r="Q1384" s="830"/>
      <c r="R1384" s="834"/>
    </row>
    <row r="1385" spans="1:18" s="1286" customFormat="1" ht="72" hidden="1">
      <c r="A1385" s="1512">
        <v>2550</v>
      </c>
      <c r="B1385" s="1574" t="s">
        <v>51</v>
      </c>
      <c r="C1385" s="832"/>
      <c r="D1385" s="830">
        <f t="shared" si="194"/>
        <v>0</v>
      </c>
      <c r="E1385" s="1390">
        <f aca="true" t="shared" si="199" ref="E1385:E1390">SUM(H1385+K1385+N1385+Q1385)</f>
        <v>0</v>
      </c>
      <c r="F1385" s="1366"/>
      <c r="G1385" s="832"/>
      <c r="H1385" s="830"/>
      <c r="I1385" s="1369"/>
      <c r="J1385" s="1583"/>
      <c r="K1385" s="830"/>
      <c r="L1385" s="1446"/>
      <c r="M1385" s="830"/>
      <c r="N1385" s="830"/>
      <c r="O1385" s="1515"/>
      <c r="P1385" s="830"/>
      <c r="Q1385" s="830"/>
      <c r="R1385" s="834"/>
    </row>
    <row r="1386" spans="1:18" s="1435" customFormat="1" ht="36" hidden="1">
      <c r="A1386" s="1443">
        <v>3040</v>
      </c>
      <c r="B1386" s="1451" t="s">
        <v>1311</v>
      </c>
      <c r="C1386" s="1389"/>
      <c r="D1386" s="830">
        <f t="shared" si="194"/>
        <v>0</v>
      </c>
      <c r="E1386" s="1390">
        <f t="shared" si="199"/>
        <v>0</v>
      </c>
      <c r="F1386" s="1366" t="e">
        <f t="shared" si="192"/>
        <v>#DIV/0!</v>
      </c>
      <c r="G1386" s="1389">
        <f>1500-1500</f>
        <v>0</v>
      </c>
      <c r="H1386" s="1390"/>
      <c r="I1386" s="1369" t="e">
        <f aca="true" t="shared" si="200" ref="I1386:I1405">H1386/G1386*100</f>
        <v>#DIV/0!</v>
      </c>
      <c r="J1386" s="1578"/>
      <c r="K1386" s="1390"/>
      <c r="L1386" s="1446"/>
      <c r="M1386" s="1390"/>
      <c r="N1386" s="1390"/>
      <c r="O1386" s="1447"/>
      <c r="P1386" s="1390"/>
      <c r="Q1386" s="1390"/>
      <c r="R1386" s="1454"/>
    </row>
    <row r="1387" spans="1:18" s="1435" customFormat="1" ht="28.5" customHeight="1">
      <c r="A1387" s="1443">
        <v>4210</v>
      </c>
      <c r="B1387" s="1451" t="s">
        <v>52</v>
      </c>
      <c r="C1387" s="1389">
        <v>22170</v>
      </c>
      <c r="D1387" s="830">
        <f t="shared" si="194"/>
        <v>22870</v>
      </c>
      <c r="E1387" s="1390">
        <f t="shared" si="199"/>
        <v>6511</v>
      </c>
      <c r="F1387" s="1366">
        <f t="shared" si="192"/>
        <v>28.469610843900305</v>
      </c>
      <c r="G1387" s="1389">
        <f>22170+1000-300</f>
        <v>22870</v>
      </c>
      <c r="H1387" s="1390">
        <v>6511</v>
      </c>
      <c r="I1387" s="1369">
        <f t="shared" si="200"/>
        <v>28.469610843900305</v>
      </c>
      <c r="J1387" s="1578"/>
      <c r="K1387" s="1390"/>
      <c r="L1387" s="1446"/>
      <c r="M1387" s="1390"/>
      <c r="N1387" s="1390"/>
      <c r="O1387" s="1447"/>
      <c r="P1387" s="1390"/>
      <c r="Q1387" s="1390"/>
      <c r="R1387" s="1454"/>
    </row>
    <row r="1388" spans="1:18" s="1435" customFormat="1" ht="24" hidden="1">
      <c r="A1388" s="1443">
        <v>4300</v>
      </c>
      <c r="B1388" s="1451" t="s">
        <v>1312</v>
      </c>
      <c r="C1388" s="1389"/>
      <c r="D1388" s="830">
        <f t="shared" si="194"/>
        <v>0</v>
      </c>
      <c r="E1388" s="1390">
        <f t="shared" si="199"/>
        <v>0</v>
      </c>
      <c r="F1388" s="1366" t="e">
        <f t="shared" si="192"/>
        <v>#DIV/0!</v>
      </c>
      <c r="G1388" s="1389"/>
      <c r="H1388" s="1390"/>
      <c r="I1388" s="1369" t="e">
        <f t="shared" si="200"/>
        <v>#DIV/0!</v>
      </c>
      <c r="J1388" s="1578"/>
      <c r="K1388" s="1390"/>
      <c r="L1388" s="1446"/>
      <c r="M1388" s="1390"/>
      <c r="N1388" s="1390"/>
      <c r="O1388" s="1447"/>
      <c r="P1388" s="1390"/>
      <c r="Q1388" s="1390"/>
      <c r="R1388" s="1454"/>
    </row>
    <row r="1389" spans="1:18" s="1435" customFormat="1" ht="24">
      <c r="A1389" s="1443">
        <v>4300</v>
      </c>
      <c r="B1389" s="1451" t="s">
        <v>37</v>
      </c>
      <c r="C1389" s="1389">
        <v>7700</v>
      </c>
      <c r="D1389" s="830">
        <f t="shared" si="194"/>
        <v>8000</v>
      </c>
      <c r="E1389" s="1390">
        <f t="shared" si="199"/>
        <v>1480</v>
      </c>
      <c r="F1389" s="1366">
        <f t="shared" si="192"/>
        <v>18.5</v>
      </c>
      <c r="G1389" s="1389">
        <f>7700+300</f>
        <v>8000</v>
      </c>
      <c r="H1389" s="1390">
        <v>1480</v>
      </c>
      <c r="I1389" s="1369">
        <f t="shared" si="200"/>
        <v>18.5</v>
      </c>
      <c r="J1389" s="1578"/>
      <c r="K1389" s="1390"/>
      <c r="L1389" s="1446"/>
      <c r="M1389" s="1390"/>
      <c r="N1389" s="1390"/>
      <c r="O1389" s="1447"/>
      <c r="P1389" s="1390"/>
      <c r="Q1389" s="1390"/>
      <c r="R1389" s="1454"/>
    </row>
    <row r="1390" spans="1:18" s="1435" customFormat="1" ht="27" customHeight="1" thickBot="1">
      <c r="A1390" s="1443">
        <v>4430</v>
      </c>
      <c r="B1390" s="1451" t="s">
        <v>53</v>
      </c>
      <c r="C1390" s="1389">
        <v>100</v>
      </c>
      <c r="D1390" s="830">
        <f t="shared" si="194"/>
        <v>100</v>
      </c>
      <c r="E1390" s="1390">
        <f t="shared" si="199"/>
        <v>72</v>
      </c>
      <c r="F1390" s="1366">
        <f t="shared" si="192"/>
        <v>72</v>
      </c>
      <c r="G1390" s="1389">
        <v>100</v>
      </c>
      <c r="H1390" s="1390">
        <v>72</v>
      </c>
      <c r="I1390" s="1369">
        <f t="shared" si="200"/>
        <v>72</v>
      </c>
      <c r="J1390" s="1578"/>
      <c r="K1390" s="1390"/>
      <c r="L1390" s="1446"/>
      <c r="M1390" s="1390"/>
      <c r="N1390" s="1390"/>
      <c r="O1390" s="1447"/>
      <c r="P1390" s="1390"/>
      <c r="Q1390" s="1390"/>
      <c r="R1390" s="1454"/>
    </row>
    <row r="1391" spans="1:18" s="817" customFormat="1" ht="39" customHeight="1" thickBot="1" thickTop="1">
      <c r="A1391" s="810">
        <v>926</v>
      </c>
      <c r="B1391" s="811" t="s">
        <v>162</v>
      </c>
      <c r="C1391" s="812">
        <f>SUM(C1392+C1409+C1406)</f>
        <v>11096220</v>
      </c>
      <c r="D1391" s="813">
        <f t="shared" si="194"/>
        <v>13012415</v>
      </c>
      <c r="E1391" s="813">
        <f>H1391+K1391+Q1391+N1391</f>
        <v>2670925</v>
      </c>
      <c r="F1391" s="1700">
        <f t="shared" si="192"/>
        <v>20.525974617317384</v>
      </c>
      <c r="G1391" s="812">
        <f>SUM(G1392+G1409+G1406)</f>
        <v>13012415</v>
      </c>
      <c r="H1391" s="813">
        <f>SUM(H1392+H1409+H1406)</f>
        <v>2670925</v>
      </c>
      <c r="I1391" s="1701">
        <f t="shared" si="200"/>
        <v>20.525974617317384</v>
      </c>
      <c r="J1391" s="1767"/>
      <c r="K1391" s="813"/>
      <c r="L1391" s="1619"/>
      <c r="M1391" s="813"/>
      <c r="N1391" s="813"/>
      <c r="O1391" s="1647"/>
      <c r="P1391" s="813"/>
      <c r="Q1391" s="813"/>
      <c r="R1391" s="1768"/>
    </row>
    <row r="1392" spans="1:18" ht="21.75" customHeight="1" thickTop="1">
      <c r="A1392" s="1436">
        <v>92601</v>
      </c>
      <c r="B1392" s="1529" t="s">
        <v>54</v>
      </c>
      <c r="C1392" s="1438">
        <f>SUM(C1393:C1398)</f>
        <v>7500000</v>
      </c>
      <c r="D1392" s="843">
        <f t="shared" si="194"/>
        <v>9293795</v>
      </c>
      <c r="E1392" s="1530">
        <f>H1392+K1392+Q1392+N1392</f>
        <v>406404</v>
      </c>
      <c r="F1392" s="1419">
        <f t="shared" si="192"/>
        <v>4.372853070247407</v>
      </c>
      <c r="G1392" s="1438">
        <f>SUM(G1393:G1398)+G1402</f>
        <v>9293795</v>
      </c>
      <c r="H1392" s="1380">
        <f>SUM(H1393:H1398)+H1402</f>
        <v>406404</v>
      </c>
      <c r="I1392" s="1475">
        <f t="shared" si="200"/>
        <v>4.372853070247407</v>
      </c>
      <c r="J1392" s="1440"/>
      <c r="K1392" s="1380"/>
      <c r="L1392" s="1441"/>
      <c r="M1392" s="1380"/>
      <c r="N1392" s="1380"/>
      <c r="O1392" s="1442"/>
      <c r="P1392" s="1380"/>
      <c r="Q1392" s="1380"/>
      <c r="R1392" s="1478"/>
    </row>
    <row r="1393" spans="1:18" ht="61.5" customHeight="1" hidden="1">
      <c r="A1393" s="1422">
        <v>2820</v>
      </c>
      <c r="B1393" s="1547" t="s">
        <v>36</v>
      </c>
      <c r="C1393" s="1389"/>
      <c r="D1393" s="830">
        <f t="shared" si="194"/>
        <v>0</v>
      </c>
      <c r="E1393" s="1390">
        <f>H1393+K1393+Q1393+N1393</f>
        <v>0</v>
      </c>
      <c r="F1393" s="1366" t="e">
        <f t="shared" si="192"/>
        <v>#DIV/0!</v>
      </c>
      <c r="G1393" s="1389"/>
      <c r="H1393" s="1407"/>
      <c r="I1393" s="1369" t="e">
        <f t="shared" si="200"/>
        <v>#DIV/0!</v>
      </c>
      <c r="J1393" s="1548"/>
      <c r="K1393" s="1407"/>
      <c r="L1393" s="1543"/>
      <c r="M1393" s="1407"/>
      <c r="N1393" s="1407"/>
      <c r="O1393" s="1549"/>
      <c r="P1393" s="1407"/>
      <c r="Q1393" s="1407"/>
      <c r="R1393" s="1550"/>
    </row>
    <row r="1394" spans="1:18" ht="20.25" customHeight="1" hidden="1">
      <c r="A1394" s="1443">
        <v>4300</v>
      </c>
      <c r="B1394" s="1451" t="s">
        <v>698</v>
      </c>
      <c r="C1394" s="1389"/>
      <c r="D1394" s="830">
        <f t="shared" si="194"/>
        <v>0</v>
      </c>
      <c r="E1394" s="1390">
        <f>H1394+K1394+Q1394+N1394</f>
        <v>0</v>
      </c>
      <c r="F1394" s="1366" t="e">
        <f t="shared" si="192"/>
        <v>#DIV/0!</v>
      </c>
      <c r="G1394" s="1389"/>
      <c r="H1394" s="1390"/>
      <c r="I1394" s="1369" t="e">
        <f t="shared" si="200"/>
        <v>#DIV/0!</v>
      </c>
      <c r="J1394" s="1445"/>
      <c r="K1394" s="1390"/>
      <c r="L1394" s="1446"/>
      <c r="M1394" s="1390"/>
      <c r="N1394" s="1390"/>
      <c r="O1394" s="1447"/>
      <c r="P1394" s="1390"/>
      <c r="Q1394" s="1390"/>
      <c r="R1394" s="1454"/>
    </row>
    <row r="1395" spans="1:18" ht="48" hidden="1">
      <c r="A1395" s="1443">
        <v>4270</v>
      </c>
      <c r="B1395" s="1451" t="s">
        <v>55</v>
      </c>
      <c r="C1395" s="1389"/>
      <c r="D1395" s="830">
        <f t="shared" si="194"/>
        <v>0</v>
      </c>
      <c r="E1395" s="1390">
        <f aca="true" t="shared" si="201" ref="E1395:E1401">SUM(H1395+K1395+N1395+Q1395)</f>
        <v>0</v>
      </c>
      <c r="F1395" s="1366" t="e">
        <f t="shared" si="192"/>
        <v>#DIV/0!</v>
      </c>
      <c r="G1395" s="1389"/>
      <c r="H1395" s="830"/>
      <c r="I1395" s="1369" t="e">
        <f t="shared" si="200"/>
        <v>#DIV/0!</v>
      </c>
      <c r="J1395" s="1445"/>
      <c r="K1395" s="1390"/>
      <c r="L1395" s="1446"/>
      <c r="M1395" s="1390"/>
      <c r="N1395" s="1390"/>
      <c r="O1395" s="1447"/>
      <c r="P1395" s="1390"/>
      <c r="Q1395" s="1390"/>
      <c r="R1395" s="1454"/>
    </row>
    <row r="1396" spans="1:18" ht="48" hidden="1">
      <c r="A1396" s="1443">
        <v>6010</v>
      </c>
      <c r="B1396" s="1451" t="s">
        <v>56</v>
      </c>
      <c r="C1396" s="1389"/>
      <c r="D1396" s="830">
        <f t="shared" si="194"/>
        <v>0</v>
      </c>
      <c r="E1396" s="1390">
        <f t="shared" si="201"/>
        <v>0</v>
      </c>
      <c r="F1396" s="1366" t="e">
        <f t="shared" si="192"/>
        <v>#DIV/0!</v>
      </c>
      <c r="G1396" s="1389"/>
      <c r="H1396" s="830"/>
      <c r="I1396" s="1369" t="e">
        <f t="shared" si="200"/>
        <v>#DIV/0!</v>
      </c>
      <c r="J1396" s="1445"/>
      <c r="K1396" s="1390"/>
      <c r="L1396" s="1446"/>
      <c r="M1396" s="1390"/>
      <c r="N1396" s="1390"/>
      <c r="O1396" s="1447"/>
      <c r="P1396" s="1390"/>
      <c r="Q1396" s="1390"/>
      <c r="R1396" s="1454"/>
    </row>
    <row r="1397" spans="1:18" ht="48">
      <c r="A1397" s="1443">
        <v>6010</v>
      </c>
      <c r="B1397" s="1451" t="s">
        <v>1313</v>
      </c>
      <c r="C1397" s="1389"/>
      <c r="D1397" s="830">
        <f t="shared" si="194"/>
        <v>24000</v>
      </c>
      <c r="E1397" s="1390">
        <f t="shared" si="201"/>
        <v>24000</v>
      </c>
      <c r="F1397" s="1366">
        <f t="shared" si="192"/>
        <v>100</v>
      </c>
      <c r="G1397" s="1389">
        <v>24000</v>
      </c>
      <c r="H1397" s="830">
        <v>24000</v>
      </c>
      <c r="I1397" s="1369">
        <f t="shared" si="200"/>
        <v>100</v>
      </c>
      <c r="J1397" s="1445"/>
      <c r="K1397" s="1390"/>
      <c r="L1397" s="1446"/>
      <c r="M1397" s="1390"/>
      <c r="N1397" s="1390"/>
      <c r="O1397" s="1447"/>
      <c r="P1397" s="1390"/>
      <c r="Q1397" s="1390"/>
      <c r="R1397" s="1454"/>
    </row>
    <row r="1398" spans="1:18" ht="27.75" customHeight="1">
      <c r="A1398" s="1443">
        <v>6050</v>
      </c>
      <c r="B1398" s="1451" t="s">
        <v>767</v>
      </c>
      <c r="C1398" s="1389">
        <f>SUM(C1399:C1401)</f>
        <v>7500000</v>
      </c>
      <c r="D1398" s="830">
        <f t="shared" si="194"/>
        <v>6150000</v>
      </c>
      <c r="E1398" s="1390">
        <f t="shared" si="201"/>
        <v>381927</v>
      </c>
      <c r="F1398" s="1366">
        <f t="shared" si="192"/>
        <v>6.2101951219512195</v>
      </c>
      <c r="G1398" s="1389">
        <f>SUM(G1399:G1401)</f>
        <v>6150000</v>
      </c>
      <c r="H1398" s="1390">
        <f>SUM(H1399:H1401)</f>
        <v>381927</v>
      </c>
      <c r="I1398" s="1369">
        <f t="shared" si="200"/>
        <v>6.2101951219512195</v>
      </c>
      <c r="J1398" s="1445"/>
      <c r="K1398" s="1390"/>
      <c r="L1398" s="1446"/>
      <c r="M1398" s="1390"/>
      <c r="N1398" s="1390"/>
      <c r="O1398" s="1447"/>
      <c r="P1398" s="1390"/>
      <c r="Q1398" s="1390"/>
      <c r="R1398" s="1454"/>
    </row>
    <row r="1399" spans="1:18" s="1285" customFormat="1" ht="13.5" customHeight="1">
      <c r="A1399" s="1499"/>
      <c r="B1399" s="1597" t="s">
        <v>57</v>
      </c>
      <c r="C1399" s="1598">
        <v>3500000</v>
      </c>
      <c r="D1399" s="1599">
        <f t="shared" si="194"/>
        <v>4050000</v>
      </c>
      <c r="E1399" s="1599">
        <f t="shared" si="201"/>
        <v>381927</v>
      </c>
      <c r="F1399" s="1366">
        <f t="shared" si="192"/>
        <v>9.430296296296296</v>
      </c>
      <c r="G1399" s="1598">
        <f>3500000+550000</f>
        <v>4050000</v>
      </c>
      <c r="H1399" s="1600">
        <v>381927</v>
      </c>
      <c r="I1399" s="1369">
        <f t="shared" si="200"/>
        <v>9.430296296296296</v>
      </c>
      <c r="J1399" s="1601"/>
      <c r="K1399" s="1600"/>
      <c r="L1399" s="1503"/>
      <c r="M1399" s="1600"/>
      <c r="N1399" s="1600"/>
      <c r="O1399" s="1503"/>
      <c r="P1399" s="1600"/>
      <c r="Q1399" s="1600"/>
      <c r="R1399" s="1602"/>
    </row>
    <row r="1400" spans="1:18" s="1285" customFormat="1" ht="24">
      <c r="A1400" s="1499"/>
      <c r="B1400" s="1597" t="s">
        <v>1314</v>
      </c>
      <c r="C1400" s="1598"/>
      <c r="D1400" s="1599">
        <f t="shared" si="194"/>
        <v>100000</v>
      </c>
      <c r="E1400" s="1599">
        <f t="shared" si="201"/>
        <v>0</v>
      </c>
      <c r="F1400" s="1366">
        <f t="shared" si="192"/>
        <v>0</v>
      </c>
      <c r="G1400" s="1598">
        <v>100000</v>
      </c>
      <c r="H1400" s="1600"/>
      <c r="I1400" s="1369">
        <f t="shared" si="200"/>
        <v>0</v>
      </c>
      <c r="J1400" s="1601"/>
      <c r="K1400" s="1600"/>
      <c r="L1400" s="1503"/>
      <c r="M1400" s="1600"/>
      <c r="N1400" s="1600"/>
      <c r="O1400" s="1503"/>
      <c r="P1400" s="1600"/>
      <c r="Q1400" s="1600"/>
      <c r="R1400" s="1602"/>
    </row>
    <row r="1401" spans="1:18" s="1285" customFormat="1" ht="24">
      <c r="A1401" s="1499"/>
      <c r="B1401" s="1597" t="s">
        <v>1315</v>
      </c>
      <c r="C1401" s="1598">
        <v>4000000</v>
      </c>
      <c r="D1401" s="1599">
        <f t="shared" si="194"/>
        <v>2000000</v>
      </c>
      <c r="E1401" s="1599">
        <f t="shared" si="201"/>
        <v>0</v>
      </c>
      <c r="F1401" s="1366">
        <f t="shared" si="192"/>
        <v>0</v>
      </c>
      <c r="G1401" s="1598">
        <f>4000000-24000-1976000</f>
        <v>2000000</v>
      </c>
      <c r="H1401" s="1600"/>
      <c r="I1401" s="1369">
        <f t="shared" si="200"/>
        <v>0</v>
      </c>
      <c r="J1401" s="1601"/>
      <c r="K1401" s="1600"/>
      <c r="L1401" s="1503"/>
      <c r="M1401" s="1600"/>
      <c r="N1401" s="1600"/>
      <c r="O1401" s="1503"/>
      <c r="P1401" s="1600"/>
      <c r="Q1401" s="1600"/>
      <c r="R1401" s="1602"/>
    </row>
    <row r="1402" spans="1:18" s="1471" customFormat="1" ht="36">
      <c r="A1402" s="1461"/>
      <c r="B1402" s="1462" t="s">
        <v>1316</v>
      </c>
      <c r="C1402" s="1463"/>
      <c r="D1402" s="1465">
        <f t="shared" si="194"/>
        <v>3119795</v>
      </c>
      <c r="E1402" s="1465">
        <f>H1402+K1402+Q1402+N1402</f>
        <v>477</v>
      </c>
      <c r="F1402" s="1366">
        <f t="shared" si="192"/>
        <v>0.015289466134794113</v>
      </c>
      <c r="G1402" s="1463">
        <f>SUM(G1403:G1405)</f>
        <v>3119795</v>
      </c>
      <c r="H1402" s="1465">
        <f>SUM(H1403:H1405)</f>
        <v>477</v>
      </c>
      <c r="I1402" s="1732">
        <f t="shared" si="200"/>
        <v>0.015289466134794113</v>
      </c>
      <c r="J1402" s="1466"/>
      <c r="K1402" s="1465"/>
      <c r="L1402" s="1526"/>
      <c r="M1402" s="1465"/>
      <c r="N1402" s="1465"/>
      <c r="O1402" s="1470"/>
      <c r="P1402" s="1465"/>
      <c r="Q1402" s="1465"/>
      <c r="R1402" s="880"/>
    </row>
    <row r="1403" spans="1:18" s="1471" customFormat="1" ht="24">
      <c r="A1403" s="1443">
        <v>6050</v>
      </c>
      <c r="B1403" s="1451" t="s">
        <v>767</v>
      </c>
      <c r="C1403" s="1463"/>
      <c r="D1403" s="830">
        <f>G1403+J1403+P1403+M1403</f>
        <v>50000</v>
      </c>
      <c r="E1403" s="830">
        <f>H1403+K1403+Q1403+N1403</f>
        <v>477</v>
      </c>
      <c r="F1403" s="1366">
        <f>E1403/D1403*100</f>
        <v>0.954</v>
      </c>
      <c r="G1403" s="832">
        <v>50000</v>
      </c>
      <c r="H1403" s="830">
        <v>477</v>
      </c>
      <c r="I1403" s="1369">
        <f t="shared" si="200"/>
        <v>0.954</v>
      </c>
      <c r="J1403" s="1466"/>
      <c r="K1403" s="1465"/>
      <c r="L1403" s="1526"/>
      <c r="M1403" s="1465"/>
      <c r="N1403" s="1465"/>
      <c r="O1403" s="1470"/>
      <c r="P1403" s="1465"/>
      <c r="Q1403" s="1465"/>
      <c r="R1403" s="880"/>
    </row>
    <row r="1404" spans="1:18" ht="24">
      <c r="A1404" s="1443">
        <v>6058</v>
      </c>
      <c r="B1404" s="1451" t="s">
        <v>767</v>
      </c>
      <c r="C1404" s="1389"/>
      <c r="D1404" s="830">
        <f t="shared" si="194"/>
        <v>992964</v>
      </c>
      <c r="E1404" s="830">
        <f>H1404+K1404+Q1404+N1404</f>
        <v>0</v>
      </c>
      <c r="F1404" s="1366">
        <f t="shared" si="192"/>
        <v>0</v>
      </c>
      <c r="G1404" s="1389">
        <v>992964</v>
      </c>
      <c r="H1404" s="1390"/>
      <c r="I1404" s="1369">
        <f t="shared" si="200"/>
        <v>0</v>
      </c>
      <c r="J1404" s="1445"/>
      <c r="K1404" s="1390"/>
      <c r="L1404" s="1446"/>
      <c r="M1404" s="1390"/>
      <c r="N1404" s="1390"/>
      <c r="O1404" s="1447"/>
      <c r="P1404" s="1390"/>
      <c r="Q1404" s="1390"/>
      <c r="R1404" s="1454"/>
    </row>
    <row r="1405" spans="1:18" ht="24">
      <c r="A1405" s="1443">
        <v>6059</v>
      </c>
      <c r="B1405" s="1451" t="s">
        <v>767</v>
      </c>
      <c r="C1405" s="1389"/>
      <c r="D1405" s="830">
        <f t="shared" si="194"/>
        <v>2076831</v>
      </c>
      <c r="E1405" s="830">
        <f>H1405+K1405+Q1405+N1405</f>
        <v>0</v>
      </c>
      <c r="F1405" s="1366">
        <f t="shared" si="192"/>
        <v>0</v>
      </c>
      <c r="G1405" s="1389">
        <f>2146831-20000-50000</f>
        <v>2076831</v>
      </c>
      <c r="H1405" s="1390"/>
      <c r="I1405" s="1369">
        <f t="shared" si="200"/>
        <v>0</v>
      </c>
      <c r="J1405" s="1445"/>
      <c r="K1405" s="1390"/>
      <c r="L1405" s="1446"/>
      <c r="M1405" s="1390"/>
      <c r="N1405" s="1390"/>
      <c r="O1405" s="1447"/>
      <c r="P1405" s="1390"/>
      <c r="Q1405" s="1390"/>
      <c r="R1405" s="1454"/>
    </row>
    <row r="1406" spans="1:18" s="1435" customFormat="1" ht="36">
      <c r="A1406" s="1436">
        <v>92605</v>
      </c>
      <c r="B1406" s="1529" t="s">
        <v>326</v>
      </c>
      <c r="C1406" s="1438">
        <f>SUM(C1407:C1407)</f>
        <v>3500000</v>
      </c>
      <c r="D1406" s="845">
        <f t="shared" si="194"/>
        <v>3620000</v>
      </c>
      <c r="E1406" s="1380">
        <f>H1406+K1406+Q1406+N1406</f>
        <v>2237820</v>
      </c>
      <c r="F1406" s="1381">
        <f>E1406/D1406*100</f>
        <v>61.81823204419889</v>
      </c>
      <c r="G1406" s="1438">
        <f>SUM(G1407:G1407)</f>
        <v>3620000</v>
      </c>
      <c r="H1406" s="1380">
        <f>SUM(H1407:H1408)</f>
        <v>2237820</v>
      </c>
      <c r="I1406" s="1475">
        <f>H1406/G1406*100</f>
        <v>61.81823204419889</v>
      </c>
      <c r="J1406" s="1440"/>
      <c r="K1406" s="1380"/>
      <c r="L1406" s="1441"/>
      <c r="M1406" s="1380"/>
      <c r="N1406" s="1380"/>
      <c r="O1406" s="1442"/>
      <c r="P1406" s="1380"/>
      <c r="Q1406" s="1380"/>
      <c r="R1406" s="1478"/>
    </row>
    <row r="1407" spans="1:18" ht="63.75" customHeight="1">
      <c r="A1407" s="1443">
        <v>2820</v>
      </c>
      <c r="B1407" s="1451" t="s">
        <v>314</v>
      </c>
      <c r="C1407" s="1389">
        <v>3500000</v>
      </c>
      <c r="D1407" s="830">
        <f t="shared" si="194"/>
        <v>3620000</v>
      </c>
      <c r="E1407" s="1390">
        <f aca="true" t="shared" si="202" ref="E1407:E1419">SUM(H1407+K1407+N1407+Q1407)</f>
        <v>2237820</v>
      </c>
      <c r="F1407" s="1366">
        <f>E1407/D1407*100</f>
        <v>61.81823204419889</v>
      </c>
      <c r="G1407" s="1389">
        <f>3500000+100000+20000</f>
        <v>3620000</v>
      </c>
      <c r="H1407" s="1390">
        <v>2237820</v>
      </c>
      <c r="I1407" s="1410">
        <f>H1407/G1407*100</f>
        <v>61.81823204419889</v>
      </c>
      <c r="J1407" s="1445"/>
      <c r="K1407" s="1390"/>
      <c r="L1407" s="1446"/>
      <c r="M1407" s="1390"/>
      <c r="N1407" s="1390"/>
      <c r="O1407" s="1447"/>
      <c r="P1407" s="1390"/>
      <c r="Q1407" s="1390"/>
      <c r="R1407" s="1454"/>
    </row>
    <row r="1408" spans="1:18" ht="27.75" customHeight="1" hidden="1">
      <c r="A1408" s="1443">
        <v>4210</v>
      </c>
      <c r="B1408" s="1451" t="s">
        <v>690</v>
      </c>
      <c r="C1408" s="1389"/>
      <c r="D1408" s="830"/>
      <c r="E1408" s="1390">
        <f t="shared" si="202"/>
        <v>0</v>
      </c>
      <c r="F1408" s="1366"/>
      <c r="G1408" s="1389"/>
      <c r="H1408" s="1390"/>
      <c r="I1408" s="1439"/>
      <c r="J1408" s="1445"/>
      <c r="K1408" s="1390"/>
      <c r="L1408" s="1446"/>
      <c r="M1408" s="1390"/>
      <c r="N1408" s="1390"/>
      <c r="O1408" s="1447"/>
      <c r="P1408" s="1390"/>
      <c r="Q1408" s="1390"/>
      <c r="R1408" s="1454"/>
    </row>
    <row r="1409" spans="1:18" ht="15.75" customHeight="1">
      <c r="A1409" s="1436">
        <v>92695</v>
      </c>
      <c r="B1409" s="1529" t="s">
        <v>58</v>
      </c>
      <c r="C1409" s="1438">
        <f>SUM(C1411:C1419)</f>
        <v>96220</v>
      </c>
      <c r="D1409" s="845">
        <f>G1409+J1409+P1409+M1409</f>
        <v>98620</v>
      </c>
      <c r="E1409" s="1380">
        <f>H1409+K1409+Q1409+N1409</f>
        <v>26701</v>
      </c>
      <c r="F1409" s="1381">
        <f>E1409/D1409*100</f>
        <v>27.074629892516732</v>
      </c>
      <c r="G1409" s="1438">
        <f>SUM(G1410:G1419)</f>
        <v>98620</v>
      </c>
      <c r="H1409" s="1380">
        <f>SUM(H1410:H1419)</f>
        <v>26701</v>
      </c>
      <c r="I1409" s="1475">
        <f>H1409/G1409*100</f>
        <v>27.074629892516732</v>
      </c>
      <c r="J1409" s="1440"/>
      <c r="K1409" s="1380"/>
      <c r="L1409" s="1441"/>
      <c r="M1409" s="1380"/>
      <c r="N1409" s="1380"/>
      <c r="O1409" s="1442"/>
      <c r="P1409" s="1380"/>
      <c r="Q1409" s="1380"/>
      <c r="R1409" s="1478"/>
    </row>
    <row r="1410" spans="1:18" s="1286" customFormat="1" ht="29.25" customHeight="1" hidden="1">
      <c r="A1410" s="1512">
        <v>3240</v>
      </c>
      <c r="B1410" s="1451" t="s">
        <v>59</v>
      </c>
      <c r="C1410" s="832"/>
      <c r="D1410" s="869"/>
      <c r="E1410" s="869"/>
      <c r="F1410" s="1366"/>
      <c r="G1410" s="832"/>
      <c r="H1410" s="830"/>
      <c r="I1410" s="1369"/>
      <c r="J1410" s="1514"/>
      <c r="K1410" s="830"/>
      <c r="L1410" s="1446"/>
      <c r="M1410" s="830"/>
      <c r="N1410" s="830"/>
      <c r="O1410" s="1515"/>
      <c r="P1410" s="830"/>
      <c r="Q1410" s="830"/>
      <c r="R1410" s="834"/>
    </row>
    <row r="1411" spans="1:18" ht="27.75" customHeight="1" hidden="1">
      <c r="A1411" s="1443">
        <v>3020</v>
      </c>
      <c r="B1411" s="1451" t="s">
        <v>874</v>
      </c>
      <c r="C1411" s="1389"/>
      <c r="D1411" s="830">
        <f aca="true" t="shared" si="203" ref="D1411:D1419">G1411+J1411+P1411+M1411</f>
        <v>0</v>
      </c>
      <c r="E1411" s="1390">
        <f t="shared" si="202"/>
        <v>0</v>
      </c>
      <c r="F1411" s="1366"/>
      <c r="G1411" s="1389"/>
      <c r="H1411" s="1390"/>
      <c r="I1411" s="1369"/>
      <c r="J1411" s="1445"/>
      <c r="K1411" s="1390"/>
      <c r="L1411" s="1446"/>
      <c r="M1411" s="1390"/>
      <c r="N1411" s="1390"/>
      <c r="O1411" s="1447"/>
      <c r="P1411" s="1390"/>
      <c r="Q1411" s="1390"/>
      <c r="R1411" s="1454"/>
    </row>
    <row r="1412" spans="1:18" ht="39.75" customHeight="1">
      <c r="A1412" s="1443">
        <v>3040</v>
      </c>
      <c r="B1412" s="1451" t="s">
        <v>906</v>
      </c>
      <c r="C1412" s="1389">
        <v>35000</v>
      </c>
      <c r="D1412" s="830">
        <f t="shared" si="203"/>
        <v>35000</v>
      </c>
      <c r="E1412" s="1390">
        <f t="shared" si="202"/>
        <v>0</v>
      </c>
      <c r="F1412" s="1366">
        <f aca="true" t="shared" si="204" ref="F1412:F1425">E1412/D1412*100</f>
        <v>0</v>
      </c>
      <c r="G1412" s="1389">
        <v>35000</v>
      </c>
      <c r="H1412" s="1390"/>
      <c r="I1412" s="1369">
        <f aca="true" t="shared" si="205" ref="I1412:I1418">H1412/G1412*100</f>
        <v>0</v>
      </c>
      <c r="J1412" s="1445"/>
      <c r="K1412" s="1390"/>
      <c r="L1412" s="1446"/>
      <c r="M1412" s="1390"/>
      <c r="N1412" s="1390"/>
      <c r="O1412" s="1447"/>
      <c r="P1412" s="1390"/>
      <c r="Q1412" s="1390"/>
      <c r="R1412" s="1454"/>
    </row>
    <row r="1413" spans="1:18" ht="27" customHeight="1">
      <c r="A1413" s="1443">
        <v>4210</v>
      </c>
      <c r="B1413" s="1451" t="s">
        <v>830</v>
      </c>
      <c r="C1413" s="1389">
        <v>25000</v>
      </c>
      <c r="D1413" s="830">
        <f t="shared" si="203"/>
        <v>32880</v>
      </c>
      <c r="E1413" s="1390">
        <f t="shared" si="202"/>
        <v>15110</v>
      </c>
      <c r="F1413" s="1366">
        <f t="shared" si="204"/>
        <v>45.954987834549875</v>
      </c>
      <c r="G1413" s="1389">
        <f>25000+4880+3000</f>
        <v>32880</v>
      </c>
      <c r="H1413" s="1390">
        <v>15110</v>
      </c>
      <c r="I1413" s="1369">
        <f t="shared" si="205"/>
        <v>45.954987834549875</v>
      </c>
      <c r="J1413" s="1445"/>
      <c r="K1413" s="1390"/>
      <c r="L1413" s="1446"/>
      <c r="M1413" s="1390"/>
      <c r="N1413" s="1390"/>
      <c r="O1413" s="1447"/>
      <c r="P1413" s="1390"/>
      <c r="Q1413" s="1390"/>
      <c r="R1413" s="1454"/>
    </row>
    <row r="1414" spans="1:18" ht="28.5" customHeight="1">
      <c r="A1414" s="1443">
        <v>4210</v>
      </c>
      <c r="B1414" s="1451" t="s">
        <v>61</v>
      </c>
      <c r="C1414" s="1389">
        <v>16220</v>
      </c>
      <c r="D1414" s="830">
        <f t="shared" si="203"/>
        <v>15420</v>
      </c>
      <c r="E1414" s="1390">
        <f t="shared" si="202"/>
        <v>6175</v>
      </c>
      <c r="F1414" s="1366">
        <f t="shared" si="204"/>
        <v>40.045395590142675</v>
      </c>
      <c r="G1414" s="1389">
        <f>16220-1200+600-200</f>
        <v>15420</v>
      </c>
      <c r="H1414" s="1390">
        <v>6175</v>
      </c>
      <c r="I1414" s="1369">
        <f t="shared" si="205"/>
        <v>40.045395590142675</v>
      </c>
      <c r="J1414" s="1445"/>
      <c r="K1414" s="1390"/>
      <c r="L1414" s="1446"/>
      <c r="M1414" s="1390"/>
      <c r="N1414" s="1390"/>
      <c r="O1414" s="1447"/>
      <c r="P1414" s="1390"/>
      <c r="Q1414" s="1390"/>
      <c r="R1414" s="1454"/>
    </row>
    <row r="1415" spans="1:18" ht="28.5" customHeight="1" hidden="1">
      <c r="A1415" s="1443">
        <v>4270</v>
      </c>
      <c r="B1415" s="1451" t="s">
        <v>1317</v>
      </c>
      <c r="C1415" s="1389"/>
      <c r="D1415" s="830">
        <f>G1415+J1415+P1415+M1415</f>
        <v>0</v>
      </c>
      <c r="E1415" s="1390">
        <f>SUM(H1415+K1415+N1415+Q1415)</f>
        <v>0</v>
      </c>
      <c r="F1415" s="1366" t="e">
        <f>E1415/D1415*100</f>
        <v>#DIV/0!</v>
      </c>
      <c r="G1415" s="1389">
        <f>18000-18000</f>
        <v>0</v>
      </c>
      <c r="H1415" s="1390"/>
      <c r="I1415" s="1369" t="e">
        <f t="shared" si="205"/>
        <v>#DIV/0!</v>
      </c>
      <c r="J1415" s="1445"/>
      <c r="K1415" s="1390"/>
      <c r="L1415" s="1446"/>
      <c r="M1415" s="1390"/>
      <c r="N1415" s="1390"/>
      <c r="O1415" s="1447"/>
      <c r="P1415" s="1390"/>
      <c r="Q1415" s="1390"/>
      <c r="R1415" s="1454"/>
    </row>
    <row r="1416" spans="1:18" ht="31.5" customHeight="1">
      <c r="A1416" s="1443">
        <v>4280</v>
      </c>
      <c r="B1416" s="1451" t="s">
        <v>62</v>
      </c>
      <c r="C1416" s="1389">
        <v>5000</v>
      </c>
      <c r="D1416" s="830">
        <f t="shared" si="203"/>
        <v>120</v>
      </c>
      <c r="E1416" s="1390">
        <f t="shared" si="202"/>
        <v>120</v>
      </c>
      <c r="F1416" s="1366">
        <f t="shared" si="204"/>
        <v>100</v>
      </c>
      <c r="G1416" s="1389">
        <f>5000-4880</f>
        <v>120</v>
      </c>
      <c r="H1416" s="1390">
        <v>120</v>
      </c>
      <c r="I1416" s="1369">
        <f t="shared" si="205"/>
        <v>100</v>
      </c>
      <c r="J1416" s="1445"/>
      <c r="K1416" s="1390"/>
      <c r="L1416" s="1446"/>
      <c r="M1416" s="1390"/>
      <c r="N1416" s="1390"/>
      <c r="O1416" s="1447"/>
      <c r="P1416" s="1390"/>
      <c r="Q1416" s="1390"/>
      <c r="R1416" s="1454"/>
    </row>
    <row r="1417" spans="1:18" ht="24" customHeight="1">
      <c r="A1417" s="1443">
        <v>4430</v>
      </c>
      <c r="B1417" s="1451" t="s">
        <v>63</v>
      </c>
      <c r="C1417" s="1389">
        <v>100</v>
      </c>
      <c r="D1417" s="830">
        <f t="shared" si="203"/>
        <v>300</v>
      </c>
      <c r="E1417" s="1390">
        <f t="shared" si="202"/>
        <v>96</v>
      </c>
      <c r="F1417" s="1366">
        <f t="shared" si="204"/>
        <v>32</v>
      </c>
      <c r="G1417" s="1389">
        <f>100+200</f>
        <v>300</v>
      </c>
      <c r="H1417" s="1390">
        <v>96</v>
      </c>
      <c r="I1417" s="1369">
        <f t="shared" si="205"/>
        <v>32</v>
      </c>
      <c r="J1417" s="1445"/>
      <c r="K1417" s="1390"/>
      <c r="L1417" s="1446"/>
      <c r="M1417" s="1390"/>
      <c r="N1417" s="1390"/>
      <c r="O1417" s="1447"/>
      <c r="P1417" s="1390"/>
      <c r="Q1417" s="1390"/>
      <c r="R1417" s="1454"/>
    </row>
    <row r="1418" spans="1:18" ht="16.5" customHeight="1">
      <c r="A1418" s="1443">
        <v>4300</v>
      </c>
      <c r="B1418" s="1451" t="s">
        <v>698</v>
      </c>
      <c r="C1418" s="1389">
        <v>10500</v>
      </c>
      <c r="D1418" s="830">
        <f t="shared" si="203"/>
        <v>10500</v>
      </c>
      <c r="E1418" s="1390">
        <f t="shared" si="202"/>
        <v>4500</v>
      </c>
      <c r="F1418" s="1366">
        <f t="shared" si="204"/>
        <v>42.857142857142854</v>
      </c>
      <c r="G1418" s="1389">
        <v>10500</v>
      </c>
      <c r="H1418" s="1390">
        <v>4500</v>
      </c>
      <c r="I1418" s="1369">
        <f t="shared" si="205"/>
        <v>42.857142857142854</v>
      </c>
      <c r="J1418" s="1445"/>
      <c r="K1418" s="1390"/>
      <c r="L1418" s="1446"/>
      <c r="M1418" s="1390"/>
      <c r="N1418" s="1390"/>
      <c r="O1418" s="1447"/>
      <c r="P1418" s="1390"/>
      <c r="Q1418" s="1390"/>
      <c r="R1418" s="1454"/>
    </row>
    <row r="1419" spans="1:18" ht="24" customHeight="1" thickBot="1">
      <c r="A1419" s="1443">
        <v>4300</v>
      </c>
      <c r="B1419" s="1451" t="s">
        <v>64</v>
      </c>
      <c r="C1419" s="1389">
        <v>4400</v>
      </c>
      <c r="D1419" s="830">
        <f t="shared" si="203"/>
        <v>4400</v>
      </c>
      <c r="E1419" s="1390">
        <f t="shared" si="202"/>
        <v>700</v>
      </c>
      <c r="F1419" s="1366">
        <f t="shared" si="204"/>
        <v>15.909090909090908</v>
      </c>
      <c r="G1419" s="1389">
        <f>4400+600-600</f>
        <v>4400</v>
      </c>
      <c r="H1419" s="1449">
        <v>700</v>
      </c>
      <c r="I1419" s="1369">
        <f>H1419/G1419*100</f>
        <v>15.909090909090908</v>
      </c>
      <c r="J1419" s="1484"/>
      <c r="K1419" s="1390"/>
      <c r="L1419" s="1446"/>
      <c r="M1419" s="1449"/>
      <c r="N1419" s="1449"/>
      <c r="O1419" s="1636"/>
      <c r="P1419" s="1449"/>
      <c r="Q1419" s="1449"/>
      <c r="R1419" s="1450"/>
    </row>
    <row r="1420" spans="1:18" s="835" customFormat="1" ht="15" customHeight="1" thickTop="1">
      <c r="A1420" s="1769"/>
      <c r="B1420" s="1770" t="s">
        <v>102</v>
      </c>
      <c r="C1420" s="838">
        <f>C9+C32+C41+C35+C181+C1216+C148+C466+C760+C1290+C771+C826+C1391+C125+C209+C360+C395+C454+C458+C1059+C442+C1038+C389</f>
        <v>307369996</v>
      </c>
      <c r="D1420" s="843">
        <f>G1420+J1420+P1420+M1420</f>
        <v>323466100</v>
      </c>
      <c r="E1420" s="843">
        <f>E9+E32+E41+E35+E181+E1216+E148+E466+E760+E1290+E771+E826+E1391+E125+E209+E360+E395+E454+E458+E1059+E442+E1038+E389</f>
        <v>132106713</v>
      </c>
      <c r="F1420" s="1567">
        <f t="shared" si="204"/>
        <v>40.840976225947635</v>
      </c>
      <c r="G1420" s="838">
        <f>G9+G32+G41+G35+G181+G1216+G148+G466+G760+G1290+G771+G826+G1391+G125+G209+G360+G395+G454+G458+G1059+G1038+G442+G389</f>
        <v>187529922</v>
      </c>
      <c r="H1420" s="843">
        <f>H9+H32+H41+H35+H181+H1216+H148+H466+H760+H1290+H771+H826+H1391+H125+H209+H360+H395+H454+H458+H1059+H442+H1038+H389</f>
        <v>75101684</v>
      </c>
      <c r="I1420" s="1620">
        <f>H1420/G1420*100</f>
        <v>40.047840472092766</v>
      </c>
      <c r="J1420" s="879">
        <f>J9+J32+J41+J35+J181+J1216+J148+J466+J760+J1290+J771+J826+J1391+J125+J209+J360+J395+J454+J458+J1059+J1038+J442+J389</f>
        <v>32359275</v>
      </c>
      <c r="K1420" s="843">
        <f>K9+K32+K41+K35+K181+K1216+K148+K466+K760+K1290+K771+K826+K1391+K125+K209+K360+K395+K454+K458+K1059+K1038+K442+K389</f>
        <v>9992704</v>
      </c>
      <c r="L1420" s="1620">
        <f>K1420/J1420*100</f>
        <v>30.880494077818494</v>
      </c>
      <c r="M1420" s="838">
        <f>M9+M32+M41+M35+M181+M1216+M148+M466+M760+M1290+M771+M826+M1391+M125+M209+M360+M395+M454+M458+M1059+M1038+M442+M389</f>
        <v>97533760</v>
      </c>
      <c r="N1420" s="1771">
        <f>N9+N32+N41+N35+N181+N1216+N148+N466+N760+N1290+N771+N826+N1391+N125+N209+N360+N395+N454+N458+N1059+N442+N1038+N389</f>
        <v>44052420</v>
      </c>
      <c r="O1420" s="825">
        <f>N1420/M1420*100</f>
        <v>45.166330099444544</v>
      </c>
      <c r="P1420" s="1568">
        <f>P9+P32+P41+P35+P181+P1216+P148+P466+P760+P1290+P771+P826+P1391+P125+P209+P360+P395+P454+P458+P1059+P1038+P442+P389</f>
        <v>6043143</v>
      </c>
      <c r="Q1420" s="843">
        <f>Q9+Q32+Q41+Q35+Q181+Q1216+Q148+Q466+Q760+Q1290+Q771+Q826+Q1391+Q125+Q209+Q360+Q395+Q454+Q458+Q1059+Q1038+Q442+Q389</f>
        <v>2959905</v>
      </c>
      <c r="R1420" s="1570">
        <f>Q1420/P1420*100</f>
        <v>48.97956245615899</v>
      </c>
    </row>
    <row r="1421" spans="1:18" s="872" customFormat="1" ht="15" customHeight="1">
      <c r="A1421" s="1772"/>
      <c r="B1421" s="1773" t="s">
        <v>1318</v>
      </c>
      <c r="C1421" s="1587">
        <f>177458137+96726334+8500</f>
        <v>274192971</v>
      </c>
      <c r="D1421" s="1588">
        <f>G1421+M1421</f>
        <v>285063682</v>
      </c>
      <c r="E1421" s="1588">
        <f>H1421+N1421</f>
        <v>119154104</v>
      </c>
      <c r="F1421" s="1366">
        <f t="shared" si="204"/>
        <v>41.79911771433584</v>
      </c>
      <c r="G1421" s="1587">
        <f>G1420</f>
        <v>187529922</v>
      </c>
      <c r="H1421" s="1588">
        <f>H1420</f>
        <v>75101684</v>
      </c>
      <c r="I1421" s="1369">
        <f>H1421/G1421*100</f>
        <v>40.047840472092766</v>
      </c>
      <c r="J1421" s="1774"/>
      <c r="K1421" s="1588"/>
      <c r="L1421" s="1775"/>
      <c r="M1421" s="1587">
        <f>M1420</f>
        <v>97533760</v>
      </c>
      <c r="N1421" s="1588">
        <f>N1420</f>
        <v>44052420</v>
      </c>
      <c r="O1421" s="1369">
        <f>N1421/M1421*100</f>
        <v>45.166330099444544</v>
      </c>
      <c r="P1421" s="1589"/>
      <c r="Q1421" s="1588"/>
      <c r="R1421" s="1733"/>
    </row>
    <row r="1422" spans="1:18" s="872" customFormat="1" ht="12.75">
      <c r="A1422" s="2963"/>
      <c r="B1422" s="2964" t="s">
        <v>1319</v>
      </c>
      <c r="C1422" s="1501"/>
      <c r="D1422" s="1502"/>
      <c r="E1422" s="1502"/>
      <c r="F1422" s="1366"/>
      <c r="G1422" s="1501"/>
      <c r="H1422" s="1502"/>
      <c r="I1422" s="1682"/>
      <c r="J1422" s="1765"/>
      <c r="K1422" s="1502"/>
      <c r="L1422" s="1682"/>
      <c r="M1422" s="1501"/>
      <c r="N1422" s="1502"/>
      <c r="O1422" s="1366"/>
      <c r="P1422" s="1504"/>
      <c r="Q1422" s="1502"/>
      <c r="R1422" s="1573"/>
    </row>
    <row r="1423" spans="1:18" s="1285" customFormat="1" ht="36">
      <c r="A1423" s="2965"/>
      <c r="B1423" s="2966" t="s">
        <v>1320</v>
      </c>
      <c r="C1423" s="1598">
        <v>8500</v>
      </c>
      <c r="D1423" s="1600">
        <f>G1423+M1423</f>
        <v>8500</v>
      </c>
      <c r="E1423" s="1600">
        <f>H1423+N1423</f>
        <v>6406</v>
      </c>
      <c r="F1423" s="1366">
        <f t="shared" si="204"/>
        <v>75.36470588235295</v>
      </c>
      <c r="G1423" s="1598"/>
      <c r="H1423" s="1600"/>
      <c r="I1423" s="1682"/>
      <c r="J1423" s="2967"/>
      <c r="K1423" s="1600"/>
      <c r="L1423" s="1682"/>
      <c r="M1423" s="1598">
        <v>8500</v>
      </c>
      <c r="N1423" s="1600">
        <v>6406</v>
      </c>
      <c r="O1423" s="1366">
        <f>N1423/M1423*100</f>
        <v>75.36470588235295</v>
      </c>
      <c r="P1423" s="1601"/>
      <c r="Q1423" s="1600"/>
      <c r="R1423" s="1369"/>
    </row>
    <row r="1424" spans="1:18" s="1285" customFormat="1" ht="36.75" customHeight="1">
      <c r="A1424" s="2965"/>
      <c r="B1424" s="2966" t="s">
        <v>1321</v>
      </c>
      <c r="C1424" s="1598"/>
      <c r="D1424" s="1600">
        <f>G1424+M1424</f>
        <v>1849032</v>
      </c>
      <c r="E1424" s="1600">
        <f>H1424+N1424</f>
        <v>868848</v>
      </c>
      <c r="F1424" s="1366">
        <f>E1424/D1424*100</f>
        <v>46.98934361330686</v>
      </c>
      <c r="G1424" s="1598"/>
      <c r="H1424" s="1600"/>
      <c r="I1424" s="1682"/>
      <c r="J1424" s="2967"/>
      <c r="K1424" s="1600"/>
      <c r="L1424" s="1682"/>
      <c r="M1424" s="1598">
        <f>M219+M828+M905</f>
        <v>1849032</v>
      </c>
      <c r="N1424" s="1600">
        <f>N219+N828+N905</f>
        <v>868848</v>
      </c>
      <c r="O1424" s="1366">
        <f>N1424/M1424*100</f>
        <v>46.98934361330686</v>
      </c>
      <c r="P1424" s="1601"/>
      <c r="Q1424" s="1600"/>
      <c r="R1424" s="1369"/>
    </row>
    <row r="1425" spans="1:18" s="872" customFormat="1" ht="15" customHeight="1" thickBot="1">
      <c r="A1425" s="2968"/>
      <c r="B1425" s="2969" t="s">
        <v>115</v>
      </c>
      <c r="C1425" s="2970">
        <f>27290425+5886600</f>
        <v>33177025</v>
      </c>
      <c r="D1425" s="1776">
        <f>J1425+P1425</f>
        <v>38402418</v>
      </c>
      <c r="E1425" s="1776">
        <f>K1425+Q1425</f>
        <v>12952609</v>
      </c>
      <c r="F1425" s="2931">
        <f t="shared" si="204"/>
        <v>33.72862875457477</v>
      </c>
      <c r="G1425" s="2970"/>
      <c r="H1425" s="1776"/>
      <c r="I1425" s="2971"/>
      <c r="J1425" s="2970">
        <f>J1420</f>
        <v>32359275</v>
      </c>
      <c r="K1425" s="1776">
        <f>K1420</f>
        <v>9992704</v>
      </c>
      <c r="L1425" s="2948"/>
      <c r="M1425" s="2970"/>
      <c r="N1425" s="2972"/>
      <c r="O1425" s="852"/>
      <c r="P1425" s="2973">
        <f>P1420</f>
        <v>6043143</v>
      </c>
      <c r="Q1425" s="1776">
        <f>Q1420</f>
        <v>2959905</v>
      </c>
      <c r="R1425" s="2974"/>
    </row>
    <row r="1426" spans="13:14" ht="13.5" thickTop="1">
      <c r="M1426" s="1283"/>
      <c r="N1426" s="1283"/>
    </row>
  </sheetData>
  <printOptions horizontalCentered="1"/>
  <pageMargins left="0" right="0" top="0.7874015748031497" bottom="0.3937007874015748" header="0.5118110236220472" footer="0.5118110236220472"/>
  <pageSetup firstPageNumber="89" useFirstPageNumber="1" horizontalDpi="600" verticalDpi="600" orientation="landscape" paperSize="9" scale="85" r:id="rId1"/>
  <headerFooter alignWithMargins="0">
    <oddHeader>&amp;C&amp;"Times New Roman,Normalny"&amp;P</oddHeader>
  </headerFooter>
</worksheet>
</file>

<file path=xl/worksheets/sheet3.xml><?xml version="1.0" encoding="utf-8"?>
<worksheet xmlns="http://schemas.openxmlformats.org/spreadsheetml/2006/main" xmlns:r="http://schemas.openxmlformats.org/officeDocument/2006/relationships">
  <dimension ref="A1:G61"/>
  <sheetViews>
    <sheetView workbookViewId="0" topLeftCell="A2">
      <selection activeCell="C8" sqref="C8"/>
    </sheetView>
  </sheetViews>
  <sheetFormatPr defaultColWidth="9.00390625" defaultRowHeight="12.75"/>
  <cols>
    <col min="1" max="1" width="3.375" style="1868" customWidth="1"/>
    <col min="2" max="2" width="37.00390625" style="1868" customWidth="1"/>
    <col min="3" max="3" width="13.125" style="1868" customWidth="1"/>
    <col min="4" max="4" width="13.25390625" style="2038" customWidth="1"/>
    <col min="5" max="5" width="13.00390625" style="2038" customWidth="1"/>
    <col min="6" max="6" width="8.875" style="2038" customWidth="1"/>
    <col min="7" max="7" width="6.625" style="1868" customWidth="1"/>
    <col min="8" max="16384" width="9.125" style="1868" customWidth="1"/>
  </cols>
  <sheetData>
    <row r="1" spans="1:7" ht="0.75" customHeight="1" hidden="1">
      <c r="A1" s="1866"/>
      <c r="B1" s="1866"/>
      <c r="C1" s="1866"/>
      <c r="D1" s="1867"/>
      <c r="E1" s="1867"/>
      <c r="F1" s="1867"/>
      <c r="G1" s="1866"/>
    </row>
    <row r="2" spans="1:7" ht="81" customHeight="1">
      <c r="A2" s="2984" t="s">
        <v>434</v>
      </c>
      <c r="B2" s="2984"/>
      <c r="C2" s="2984"/>
      <c r="D2" s="2984"/>
      <c r="E2" s="2984"/>
      <c r="F2" s="2984"/>
      <c r="G2" s="2984"/>
    </row>
    <row r="3" spans="1:7" ht="12.75" customHeight="1">
      <c r="A3" s="1869"/>
      <c r="B3" s="1869"/>
      <c r="C3" s="1870"/>
      <c r="D3" s="1871"/>
      <c r="E3" s="1871"/>
      <c r="F3" s="2985" t="s">
        <v>435</v>
      </c>
      <c r="G3" s="2985"/>
    </row>
    <row r="4" spans="1:7" ht="19.5" customHeight="1" thickBot="1">
      <c r="A4" s="1872"/>
      <c r="B4" s="1872"/>
      <c r="C4" s="1873"/>
      <c r="D4" s="1874"/>
      <c r="E4" s="1874"/>
      <c r="F4" s="1875"/>
      <c r="G4" s="1876" t="s">
        <v>68</v>
      </c>
    </row>
    <row r="5" spans="1:7" s="1879" customFormat="1" ht="21.75" customHeight="1" thickBot="1" thickTop="1">
      <c r="A5" s="1877"/>
      <c r="B5" s="1878"/>
      <c r="C5" s="2986" t="s">
        <v>436</v>
      </c>
      <c r="D5" s="2988" t="s">
        <v>403</v>
      </c>
      <c r="E5" s="2989"/>
      <c r="F5" s="2989"/>
      <c r="G5" s="2990"/>
    </row>
    <row r="6" spans="1:7" s="1886" customFormat="1" ht="38.25" customHeight="1" thickBot="1" thickTop="1">
      <c r="A6" s="1880" t="s">
        <v>330</v>
      </c>
      <c r="B6" s="1881" t="s">
        <v>290</v>
      </c>
      <c r="C6" s="2987"/>
      <c r="D6" s="1882" t="s">
        <v>437</v>
      </c>
      <c r="E6" s="1883" t="s">
        <v>438</v>
      </c>
      <c r="F6" s="1884" t="s">
        <v>439</v>
      </c>
      <c r="G6" s="1885" t="s">
        <v>440</v>
      </c>
    </row>
    <row r="7" spans="1:7" s="1894" customFormat="1" ht="9" customHeight="1" thickBot="1" thickTop="1">
      <c r="A7" s="1887">
        <v>1</v>
      </c>
      <c r="B7" s="1888">
        <v>2</v>
      </c>
      <c r="C7" s="1889">
        <v>3</v>
      </c>
      <c r="D7" s="1890">
        <v>4</v>
      </c>
      <c r="E7" s="1891">
        <v>5</v>
      </c>
      <c r="F7" s="1892">
        <v>6</v>
      </c>
      <c r="G7" s="1893">
        <v>7</v>
      </c>
    </row>
    <row r="8" spans="1:7" s="1901" customFormat="1" ht="23.25" customHeight="1" thickBot="1" thickTop="1">
      <c r="A8" s="1895" t="s">
        <v>195</v>
      </c>
      <c r="B8" s="1896" t="s">
        <v>441</v>
      </c>
      <c r="C8" s="1897">
        <f>C9+C15+C22+C27+C33+C36</f>
        <v>62695473</v>
      </c>
      <c r="D8" s="1898">
        <f>D9+D15+D22+D27+D33+D36</f>
        <v>140543714</v>
      </c>
      <c r="E8" s="1898">
        <f>E9+E15+E22+E27+E33+E36</f>
        <v>73334547</v>
      </c>
      <c r="F8" s="1899">
        <f>E8/C8*100</f>
        <v>116.96944530588358</v>
      </c>
      <c r="G8" s="1900">
        <f aca="true" t="shared" si="0" ref="G8:G35">E8/D8*100</f>
        <v>52.17917252421549</v>
      </c>
    </row>
    <row r="9" spans="1:7" s="1901" customFormat="1" ht="18" customHeight="1" thickBot="1" thickTop="1">
      <c r="A9" s="1902" t="s">
        <v>197</v>
      </c>
      <c r="B9" s="1903" t="s">
        <v>442</v>
      </c>
      <c r="C9" s="1904">
        <f>SUM(C10:C14)</f>
        <v>12780494</v>
      </c>
      <c r="D9" s="1898">
        <f>SUM(D10:D14)</f>
        <v>25955820</v>
      </c>
      <c r="E9" s="1905">
        <f>SUM(E10:E14)</f>
        <v>14028255</v>
      </c>
      <c r="F9" s="1906">
        <f>E9/C9*100</f>
        <v>109.76301072556349</v>
      </c>
      <c r="G9" s="1900">
        <f t="shared" si="0"/>
        <v>54.04666467867322</v>
      </c>
    </row>
    <row r="10" spans="1:7" s="1914" customFormat="1" ht="15.75" customHeight="1" thickTop="1">
      <c r="A10" s="1907">
        <v>1</v>
      </c>
      <c r="B10" s="1908" t="s">
        <v>748</v>
      </c>
      <c r="C10" s="1909">
        <v>11984648</v>
      </c>
      <c r="D10" s="1910">
        <v>24453000</v>
      </c>
      <c r="E10" s="1911">
        <v>13180402</v>
      </c>
      <c r="F10" s="1912">
        <f>E10/C10*100</f>
        <v>109.97738106283973</v>
      </c>
      <c r="G10" s="1913">
        <f>E10/D10*100</f>
        <v>53.900961027276814</v>
      </c>
    </row>
    <row r="11" spans="1:7" s="1917" customFormat="1" ht="15.75" customHeight="1">
      <c r="A11" s="1907">
        <v>2</v>
      </c>
      <c r="B11" s="1908" t="s">
        <v>443</v>
      </c>
      <c r="C11" s="1915">
        <v>8864</v>
      </c>
      <c r="D11" s="1910">
        <v>17390</v>
      </c>
      <c r="E11" s="1911">
        <v>14721</v>
      </c>
      <c r="F11" s="1916">
        <f aca="true" t="shared" si="1" ref="F11:F21">E11/C11*100</f>
        <v>166.07626353790613</v>
      </c>
      <c r="G11" s="1913">
        <f>E11/D11*100</f>
        <v>84.65209890741806</v>
      </c>
    </row>
    <row r="12" spans="1:7" s="1918" customFormat="1" ht="15" customHeight="1">
      <c r="A12" s="1907">
        <v>3</v>
      </c>
      <c r="B12" s="1908" t="s">
        <v>444</v>
      </c>
      <c r="C12" s="1915">
        <v>17013</v>
      </c>
      <c r="D12" s="1910">
        <v>35430</v>
      </c>
      <c r="E12" s="1911">
        <v>19308</v>
      </c>
      <c r="F12" s="1916">
        <f t="shared" si="1"/>
        <v>113.48968435901958</v>
      </c>
      <c r="G12" s="1913">
        <f t="shared" si="0"/>
        <v>54.496189669771375</v>
      </c>
    </row>
    <row r="13" spans="1:7" s="1917" customFormat="1" ht="14.25" customHeight="1">
      <c r="A13" s="1907">
        <v>4</v>
      </c>
      <c r="B13" s="1919" t="s">
        <v>201</v>
      </c>
      <c r="C13" s="1915">
        <v>505932</v>
      </c>
      <c r="D13" s="1910">
        <v>930000</v>
      </c>
      <c r="E13" s="1911">
        <v>612080</v>
      </c>
      <c r="F13" s="1916">
        <f t="shared" si="1"/>
        <v>120.98068515136421</v>
      </c>
      <c r="G13" s="1913">
        <f>E13/D13*100</f>
        <v>65.81505376344086</v>
      </c>
    </row>
    <row r="14" spans="1:7" s="1917" customFormat="1" ht="13.5" customHeight="1" thickBot="1">
      <c r="A14" s="1907">
        <v>5</v>
      </c>
      <c r="B14" s="1908" t="s">
        <v>445</v>
      </c>
      <c r="C14" s="1915">
        <v>264037</v>
      </c>
      <c r="D14" s="1910">
        <v>520000</v>
      </c>
      <c r="E14" s="1911">
        <v>201744</v>
      </c>
      <c r="F14" s="1920">
        <f t="shared" si="1"/>
        <v>76.40747319504463</v>
      </c>
      <c r="G14" s="1913">
        <f>E14/D14*100</f>
        <v>38.79692307692308</v>
      </c>
    </row>
    <row r="15" spans="1:7" s="1926" customFormat="1" ht="18.75" customHeight="1" thickBot="1" thickTop="1">
      <c r="A15" s="1921" t="s">
        <v>204</v>
      </c>
      <c r="B15" s="1903" t="s">
        <v>446</v>
      </c>
      <c r="C15" s="1922">
        <f>SUM(C16:C21)</f>
        <v>4173478</v>
      </c>
      <c r="D15" s="1923">
        <f>SUM(D16:D21)</f>
        <v>8036700</v>
      </c>
      <c r="E15" s="1924">
        <f>SUM(E16:E21)</f>
        <v>4531415</v>
      </c>
      <c r="F15" s="1899">
        <f>E15/C15*100</f>
        <v>108.57646787643304</v>
      </c>
      <c r="G15" s="1925">
        <f t="shared" si="0"/>
        <v>56.38402578172633</v>
      </c>
    </row>
    <row r="16" spans="1:7" s="1926" customFormat="1" ht="14.25" customHeight="1" thickTop="1">
      <c r="A16" s="1907">
        <v>1</v>
      </c>
      <c r="B16" s="1908" t="s">
        <v>198</v>
      </c>
      <c r="C16" s="1915">
        <v>3449771</v>
      </c>
      <c r="D16" s="1910">
        <v>6679100</v>
      </c>
      <c r="E16" s="1911">
        <v>3762830</v>
      </c>
      <c r="F16" s="1916">
        <f t="shared" si="1"/>
        <v>109.07477626775805</v>
      </c>
      <c r="G16" s="1913">
        <f t="shared" si="0"/>
        <v>56.33738078483628</v>
      </c>
    </row>
    <row r="17" spans="1:7" s="1926" customFormat="1" ht="15" customHeight="1">
      <c r="A17" s="1907">
        <v>2</v>
      </c>
      <c r="B17" s="1908" t="s">
        <v>199</v>
      </c>
      <c r="C17" s="1915">
        <v>213589</v>
      </c>
      <c r="D17" s="1910">
        <v>427360</v>
      </c>
      <c r="E17" s="1911">
        <v>268944</v>
      </c>
      <c r="F17" s="1916">
        <f t="shared" si="1"/>
        <v>125.91659682848835</v>
      </c>
      <c r="G17" s="1913">
        <f t="shared" si="0"/>
        <v>62.9314863347061</v>
      </c>
    </row>
    <row r="18" spans="1:7" s="1927" customFormat="1" ht="15" customHeight="1">
      <c r="A18" s="1907">
        <v>3</v>
      </c>
      <c r="B18" s="1908" t="s">
        <v>447</v>
      </c>
      <c r="C18" s="1915">
        <v>105</v>
      </c>
      <c r="D18" s="1910">
        <v>240</v>
      </c>
      <c r="E18" s="1911">
        <v>128</v>
      </c>
      <c r="F18" s="1916">
        <f t="shared" si="1"/>
        <v>121.90476190476191</v>
      </c>
      <c r="G18" s="1913">
        <f t="shared" si="0"/>
        <v>53.333333333333336</v>
      </c>
    </row>
    <row r="19" spans="1:7" s="1917" customFormat="1" ht="15.75" customHeight="1">
      <c r="A19" s="1907">
        <v>4</v>
      </c>
      <c r="B19" s="1919" t="s">
        <v>448</v>
      </c>
      <c r="C19" s="1915">
        <v>316188</v>
      </c>
      <c r="D19" s="1910">
        <v>610000</v>
      </c>
      <c r="E19" s="1911">
        <v>335527</v>
      </c>
      <c r="F19" s="1916">
        <f t="shared" si="1"/>
        <v>106.11629789871849</v>
      </c>
      <c r="G19" s="1913">
        <f t="shared" si="0"/>
        <v>55.0044262295082</v>
      </c>
    </row>
    <row r="20" spans="1:7" s="1917" customFormat="1" ht="15" customHeight="1">
      <c r="A20" s="1907">
        <v>5</v>
      </c>
      <c r="B20" s="1908" t="s">
        <v>445</v>
      </c>
      <c r="C20" s="1915">
        <v>121829</v>
      </c>
      <c r="D20" s="1910">
        <v>200000</v>
      </c>
      <c r="E20" s="1911">
        <v>88181</v>
      </c>
      <c r="F20" s="1916">
        <f t="shared" si="1"/>
        <v>72.38096019831075</v>
      </c>
      <c r="G20" s="1913">
        <f t="shared" si="0"/>
        <v>44.0905</v>
      </c>
    </row>
    <row r="21" spans="1:7" s="1926" customFormat="1" ht="17.25" customHeight="1" thickBot="1">
      <c r="A21" s="1907">
        <v>6</v>
      </c>
      <c r="B21" s="1908" t="s">
        <v>449</v>
      </c>
      <c r="C21" s="1915">
        <v>71996</v>
      </c>
      <c r="D21" s="1910">
        <v>120000</v>
      </c>
      <c r="E21" s="1911">
        <v>75805</v>
      </c>
      <c r="F21" s="1916">
        <f t="shared" si="1"/>
        <v>105.29057169842768</v>
      </c>
      <c r="G21" s="1913">
        <f t="shared" si="0"/>
        <v>63.170833333333334</v>
      </c>
    </row>
    <row r="22" spans="1:7" s="1901" customFormat="1" ht="24" customHeight="1" thickBot="1" thickTop="1">
      <c r="A22" s="1902" t="s">
        <v>209</v>
      </c>
      <c r="B22" s="1928" t="s">
        <v>450</v>
      </c>
      <c r="C22" s="1904">
        <f>SUM(C23:C26)</f>
        <v>1812175</v>
      </c>
      <c r="D22" s="1898">
        <f>SUM(D23:D26)</f>
        <v>3720000</v>
      </c>
      <c r="E22" s="1905">
        <f>SUM(E23:E26)</f>
        <v>2940539</v>
      </c>
      <c r="F22" s="1899">
        <f>E22/C22*100</f>
        <v>162.26573040683155</v>
      </c>
      <c r="G22" s="1900">
        <f t="shared" si="0"/>
        <v>79.04674731182796</v>
      </c>
    </row>
    <row r="23" spans="1:7" s="1917" customFormat="1" ht="17.25" customHeight="1" thickTop="1">
      <c r="A23" s="1929">
        <v>1</v>
      </c>
      <c r="B23" s="1930" t="s">
        <v>451</v>
      </c>
      <c r="C23" s="1931">
        <v>231092</v>
      </c>
      <c r="D23" s="1932">
        <v>620000</v>
      </c>
      <c r="E23" s="1933">
        <v>231503</v>
      </c>
      <c r="F23" s="1916">
        <f>E23/C23*100</f>
        <v>100.17785124539145</v>
      </c>
      <c r="G23" s="1934">
        <f t="shared" si="0"/>
        <v>37.339193548387094</v>
      </c>
    </row>
    <row r="24" spans="1:7" s="1917" customFormat="1" ht="13.5" customHeight="1">
      <c r="A24" s="1935">
        <v>2</v>
      </c>
      <c r="B24" s="1936" t="s">
        <v>452</v>
      </c>
      <c r="C24" s="1937">
        <v>179804</v>
      </c>
      <c r="D24" s="1938">
        <v>350000</v>
      </c>
      <c r="E24" s="1939">
        <v>347851</v>
      </c>
      <c r="F24" s="1916">
        <f>E24/C24*100</f>
        <v>193.46121332117195</v>
      </c>
      <c r="G24" s="1940">
        <f t="shared" si="0"/>
        <v>99.386</v>
      </c>
    </row>
    <row r="25" spans="1:7" s="1917" customFormat="1" ht="15.75" customHeight="1">
      <c r="A25" s="1935">
        <v>3</v>
      </c>
      <c r="B25" s="1941" t="s">
        <v>453</v>
      </c>
      <c r="C25" s="1942">
        <v>130470</v>
      </c>
      <c r="D25" s="1938">
        <v>250000</v>
      </c>
      <c r="E25" s="1939">
        <v>148417</v>
      </c>
      <c r="F25" s="1916">
        <f>E25/C25*100</f>
        <v>113.75565264045375</v>
      </c>
      <c r="G25" s="1940">
        <f>E25/D25*100</f>
        <v>59.3668</v>
      </c>
    </row>
    <row r="26" spans="1:7" s="1917" customFormat="1" ht="17.25" customHeight="1" thickBot="1">
      <c r="A26" s="1935">
        <v>4</v>
      </c>
      <c r="B26" s="1941" t="s">
        <v>454</v>
      </c>
      <c r="C26" s="1943">
        <v>1270809</v>
      </c>
      <c r="D26" s="1938">
        <v>2500000</v>
      </c>
      <c r="E26" s="1939">
        <v>2212768</v>
      </c>
      <c r="F26" s="1916">
        <f>E26/C26*100</f>
        <v>174.12278320345544</v>
      </c>
      <c r="G26" s="1940">
        <f t="shared" si="0"/>
        <v>88.51071999999999</v>
      </c>
    </row>
    <row r="27" spans="1:7" s="1914" customFormat="1" ht="22.5" customHeight="1" thickBot="1" thickTop="1">
      <c r="A27" s="1944" t="s">
        <v>215</v>
      </c>
      <c r="B27" s="1945" t="s">
        <v>455</v>
      </c>
      <c r="C27" s="1946">
        <f>SUM(C28:C32)</f>
        <v>6993704</v>
      </c>
      <c r="D27" s="1898">
        <f>SUM(D28:D32)</f>
        <v>17887000</v>
      </c>
      <c r="E27" s="1905">
        <f>SUM(E28:E32)</f>
        <v>12197981</v>
      </c>
      <c r="F27" s="1947">
        <f aca="true" t="shared" si="2" ref="F27:F46">E27/C27*100</f>
        <v>174.41374413329476</v>
      </c>
      <c r="G27" s="1900">
        <f t="shared" si="0"/>
        <v>68.19467210823504</v>
      </c>
    </row>
    <row r="28" spans="1:7" s="1954" customFormat="1" ht="26.25" customHeight="1" thickTop="1">
      <c r="A28" s="1948">
        <v>1</v>
      </c>
      <c r="B28" s="1949" t="s">
        <v>211</v>
      </c>
      <c r="C28" s="1950">
        <v>3516112</v>
      </c>
      <c r="D28" s="1951">
        <v>4677000</v>
      </c>
      <c r="E28" s="1933">
        <v>3948386</v>
      </c>
      <c r="F28" s="1952">
        <f t="shared" si="2"/>
        <v>112.29409074568728</v>
      </c>
      <c r="G28" s="1953">
        <f t="shared" si="0"/>
        <v>84.42133846482788</v>
      </c>
    </row>
    <row r="29" spans="1:7" s="1959" customFormat="1" ht="14.25" customHeight="1">
      <c r="A29" s="1955">
        <v>2</v>
      </c>
      <c r="B29" s="1956" t="s">
        <v>456</v>
      </c>
      <c r="C29" s="1957">
        <v>1876047</v>
      </c>
      <c r="D29" s="1938">
        <v>9900000</v>
      </c>
      <c r="E29" s="1939">
        <v>6259930</v>
      </c>
      <c r="F29" s="1958">
        <f>E29/C31*100</f>
        <v>1916.7960365358883</v>
      </c>
      <c r="G29" s="1940">
        <f t="shared" si="0"/>
        <v>63.23161616161617</v>
      </c>
    </row>
    <row r="30" spans="1:7" s="1901" customFormat="1" ht="16.5" customHeight="1">
      <c r="A30" s="1955">
        <v>3</v>
      </c>
      <c r="B30" s="1936" t="s">
        <v>213</v>
      </c>
      <c r="C30" s="1937">
        <v>599147</v>
      </c>
      <c r="D30" s="1938">
        <v>2000000</v>
      </c>
      <c r="E30" s="1939">
        <v>1125894</v>
      </c>
      <c r="F30" s="1958">
        <f>E30/C29*100</f>
        <v>60.01416808853936</v>
      </c>
      <c r="G30" s="1940">
        <f t="shared" si="0"/>
        <v>56.2947</v>
      </c>
    </row>
    <row r="31" spans="1:7" s="1960" customFormat="1" ht="15.75" customHeight="1">
      <c r="A31" s="1935">
        <v>4</v>
      </c>
      <c r="B31" s="1956" t="s">
        <v>457</v>
      </c>
      <c r="C31" s="1937">
        <v>326583</v>
      </c>
      <c r="D31" s="1938">
        <v>750000</v>
      </c>
      <c r="E31" s="1939">
        <v>399846</v>
      </c>
      <c r="F31" s="1958">
        <f>E31/C30*100</f>
        <v>66.73587617062256</v>
      </c>
      <c r="G31" s="1940">
        <f t="shared" si="0"/>
        <v>53.3128</v>
      </c>
    </row>
    <row r="32" spans="1:7" s="1960" customFormat="1" ht="15" customHeight="1" thickBot="1">
      <c r="A32" s="1935">
        <v>5</v>
      </c>
      <c r="B32" s="1936" t="s">
        <v>458</v>
      </c>
      <c r="C32" s="1937">
        <f>626526+49289</f>
        <v>675815</v>
      </c>
      <c r="D32" s="1938">
        <v>560000</v>
      </c>
      <c r="E32" s="1939">
        <v>463925</v>
      </c>
      <c r="F32" s="1958">
        <f>E32/C31*100</f>
        <v>142.05424042280217</v>
      </c>
      <c r="G32" s="1940">
        <f t="shared" si="0"/>
        <v>82.84375</v>
      </c>
    </row>
    <row r="33" spans="1:7" s="1901" customFormat="1" ht="30.75" customHeight="1" thickBot="1" thickTop="1">
      <c r="A33" s="1902" t="s">
        <v>219</v>
      </c>
      <c r="B33" s="1903" t="s">
        <v>459</v>
      </c>
      <c r="C33" s="1904">
        <f>SUM(C34:C35)</f>
        <v>29261507</v>
      </c>
      <c r="D33" s="1898">
        <f>SUM(D34:D35)</f>
        <v>72035992</v>
      </c>
      <c r="E33" s="1905">
        <f>SUM(E34:E35)</f>
        <v>31289113</v>
      </c>
      <c r="F33" s="1947">
        <f t="shared" si="2"/>
        <v>106.92926034192291</v>
      </c>
      <c r="G33" s="1900">
        <f t="shared" si="0"/>
        <v>43.43538852078277</v>
      </c>
    </row>
    <row r="34" spans="1:7" s="1959" customFormat="1" ht="20.25" customHeight="1" thickTop="1">
      <c r="A34" s="1961">
        <v>1</v>
      </c>
      <c r="B34" s="1962" t="s">
        <v>460</v>
      </c>
      <c r="C34" s="1950">
        <v>27729221</v>
      </c>
      <c r="D34" s="1951">
        <v>68685992</v>
      </c>
      <c r="E34" s="1933">
        <v>29374668</v>
      </c>
      <c r="F34" s="1952">
        <f t="shared" si="2"/>
        <v>105.93398206173914</v>
      </c>
      <c r="G34" s="1953">
        <f t="shared" si="0"/>
        <v>42.76660661754729</v>
      </c>
    </row>
    <row r="35" spans="1:7" s="1959" customFormat="1" ht="20.25" customHeight="1" thickBot="1">
      <c r="A35" s="1935">
        <v>2</v>
      </c>
      <c r="B35" s="1936" t="s">
        <v>461</v>
      </c>
      <c r="C35" s="1937">
        <v>1532286</v>
      </c>
      <c r="D35" s="1938">
        <v>3350000</v>
      </c>
      <c r="E35" s="1939">
        <v>1914445</v>
      </c>
      <c r="F35" s="1958">
        <f t="shared" si="2"/>
        <v>124.94044845413977</v>
      </c>
      <c r="G35" s="1940">
        <f t="shared" si="0"/>
        <v>57.1476119402985</v>
      </c>
    </row>
    <row r="36" spans="1:7" s="1967" customFormat="1" ht="21.75" customHeight="1" thickBot="1" thickTop="1">
      <c r="A36" s="1963" t="s">
        <v>221</v>
      </c>
      <c r="B36" s="1964" t="s">
        <v>220</v>
      </c>
      <c r="C36" s="1965">
        <v>7674115</v>
      </c>
      <c r="D36" s="1966">
        <v>12908202</v>
      </c>
      <c r="E36" s="1905">
        <v>8347244</v>
      </c>
      <c r="F36" s="1947">
        <f t="shared" si="2"/>
        <v>108.7714218512493</v>
      </c>
      <c r="G36" s="1900">
        <f>E36/D36*100</f>
        <v>64.66620215580761</v>
      </c>
    </row>
    <row r="37" spans="1:7" s="1901" customFormat="1" ht="27" customHeight="1" thickBot="1" thickTop="1">
      <c r="A37" s="1968" t="s">
        <v>222</v>
      </c>
      <c r="B37" s="1969" t="s">
        <v>462</v>
      </c>
      <c r="C37" s="1904">
        <f>SUM(C38:C40)</f>
        <v>43343272</v>
      </c>
      <c r="D37" s="1966">
        <f>SUM(D38:D40)</f>
        <v>76421406</v>
      </c>
      <c r="E37" s="1905">
        <f>SUM(E38:E40)</f>
        <v>46161581</v>
      </c>
      <c r="F37" s="1970">
        <f t="shared" si="2"/>
        <v>106.50229867279054</v>
      </c>
      <c r="G37" s="1900">
        <f>E37/D37*100</f>
        <v>60.40399335233377</v>
      </c>
    </row>
    <row r="38" spans="1:7" s="1926" customFormat="1" ht="15" customHeight="1" thickTop="1">
      <c r="A38" s="1971">
        <v>1</v>
      </c>
      <c r="B38" s="1949" t="s">
        <v>463</v>
      </c>
      <c r="C38" s="1950">
        <v>42249902</v>
      </c>
      <c r="D38" s="1951">
        <v>71074246</v>
      </c>
      <c r="E38" s="1933">
        <v>43738000</v>
      </c>
      <c r="F38" s="1952">
        <f t="shared" si="2"/>
        <v>103.52213361346969</v>
      </c>
      <c r="G38" s="1953">
        <f>E38/D38*100</f>
        <v>61.53846500179545</v>
      </c>
    </row>
    <row r="39" spans="1:7" s="1926" customFormat="1" ht="16.5" customHeight="1">
      <c r="A39" s="1955">
        <v>2</v>
      </c>
      <c r="B39" s="1941" t="s">
        <v>225</v>
      </c>
      <c r="C39" s="1937">
        <v>493370</v>
      </c>
      <c r="D39" s="1938">
        <v>4847160</v>
      </c>
      <c r="E39" s="1939">
        <v>2423581</v>
      </c>
      <c r="F39" s="1958">
        <f t="shared" si="2"/>
        <v>491.22990858787523</v>
      </c>
      <c r="G39" s="1940">
        <f>E39/D39*100</f>
        <v>50.00002063063732</v>
      </c>
    </row>
    <row r="40" spans="1:7" s="1926" customFormat="1" ht="15.75" customHeight="1">
      <c r="A40" s="1972">
        <v>3</v>
      </c>
      <c r="B40" s="1973" t="s">
        <v>464</v>
      </c>
      <c r="C40" s="1974">
        <v>600000</v>
      </c>
      <c r="D40" s="1975">
        <v>500000</v>
      </c>
      <c r="E40" s="1976"/>
      <c r="F40" s="1977"/>
      <c r="G40" s="1978"/>
    </row>
    <row r="41" spans="1:7" s="1986" customFormat="1" ht="30.75" customHeight="1" thickBot="1">
      <c r="A41" s="1979" t="s">
        <v>226</v>
      </c>
      <c r="B41" s="1980" t="s">
        <v>465</v>
      </c>
      <c r="C41" s="1981">
        <f>SUM(C43:C44)</f>
        <v>909254</v>
      </c>
      <c r="D41" s="1982">
        <f>SUM(D43:D44)</f>
        <v>19940073</v>
      </c>
      <c r="E41" s="1983">
        <f>SUM(E43:E44)</f>
        <v>8260953</v>
      </c>
      <c r="F41" s="1984">
        <f t="shared" si="2"/>
        <v>908.5418375943356</v>
      </c>
      <c r="G41" s="1985">
        <f aca="true" t="shared" si="3" ref="G41:G57">E41/D41*100</f>
        <v>41.428900485971134</v>
      </c>
    </row>
    <row r="42" spans="1:7" s="1917" customFormat="1" ht="9" customHeight="1" thickTop="1">
      <c r="A42" s="1935"/>
      <c r="B42" s="1987" t="s">
        <v>466</v>
      </c>
      <c r="C42" s="1937"/>
      <c r="D42" s="1938" t="s">
        <v>467</v>
      </c>
      <c r="E42" s="1988"/>
      <c r="F42" s="1989"/>
      <c r="G42" s="1990"/>
    </row>
    <row r="43" spans="1:7" s="1997" customFormat="1" ht="13.5" customHeight="1">
      <c r="A43" s="1991"/>
      <c r="B43" s="1992" t="s">
        <v>468</v>
      </c>
      <c r="C43" s="1993">
        <f>24435+40122+13374+518187+243297+69839</f>
        <v>909254</v>
      </c>
      <c r="D43" s="1994">
        <v>1426207</v>
      </c>
      <c r="E43" s="1995">
        <v>678931</v>
      </c>
      <c r="F43" s="1996">
        <f t="shared" si="2"/>
        <v>74.66901437882044</v>
      </c>
      <c r="G43" s="1990">
        <f t="shared" si="3"/>
        <v>47.60395931305904</v>
      </c>
    </row>
    <row r="44" spans="1:7" s="1997" customFormat="1" ht="13.5" customHeight="1" thickBot="1">
      <c r="A44" s="1991"/>
      <c r="B44" s="1992" t="s">
        <v>469</v>
      </c>
      <c r="C44" s="1993"/>
      <c r="D44" s="1994">
        <v>18513866</v>
      </c>
      <c r="E44" s="1995">
        <v>7582022</v>
      </c>
      <c r="F44" s="1998"/>
      <c r="G44" s="1990">
        <f t="shared" si="3"/>
        <v>40.95320772009477</v>
      </c>
    </row>
    <row r="45" spans="1:7" s="1901" customFormat="1" ht="21" customHeight="1" thickBot="1" thickTop="1">
      <c r="A45" s="1779" t="s">
        <v>420</v>
      </c>
      <c r="B45" s="1999" t="s">
        <v>421</v>
      </c>
      <c r="C45" s="1904">
        <f>C46+C52</f>
        <v>16678944</v>
      </c>
      <c r="D45" s="559">
        <f>D46+D52</f>
        <v>44533297</v>
      </c>
      <c r="E45" s="559">
        <f>E46+E52</f>
        <v>22997196</v>
      </c>
      <c r="F45" s="583">
        <f t="shared" si="2"/>
        <v>137.88160689309828</v>
      </c>
      <c r="G45" s="1900">
        <f t="shared" si="3"/>
        <v>51.64045231144687</v>
      </c>
    </row>
    <row r="46" spans="1:7" s="1986" customFormat="1" ht="17.25" customHeight="1" thickTop="1">
      <c r="A46" s="2000">
        <v>1</v>
      </c>
      <c r="B46" s="2001" t="s">
        <v>422</v>
      </c>
      <c r="C46" s="2002">
        <f>944409+590000+325700+261482+8300+13911+8500+15681+6000+253788+100+9683+6000</f>
        <v>2443554</v>
      </c>
      <c r="D46" s="2003">
        <v>6130879</v>
      </c>
      <c r="E46" s="2003">
        <v>3831769</v>
      </c>
      <c r="F46" s="2004">
        <f t="shared" si="2"/>
        <v>156.81130844663141</v>
      </c>
      <c r="G46" s="2005">
        <f t="shared" si="3"/>
        <v>62.49950455717688</v>
      </c>
    </row>
    <row r="47" spans="1:7" s="2007" customFormat="1" ht="10.5" customHeight="1">
      <c r="A47" s="616"/>
      <c r="B47" s="570" t="s">
        <v>470</v>
      </c>
      <c r="C47" s="1937">
        <f>C50+C48</f>
        <v>59775</v>
      </c>
      <c r="D47" s="573">
        <v>121368</v>
      </c>
      <c r="E47" s="573">
        <v>92988</v>
      </c>
      <c r="F47" s="2006">
        <f>E47/C47*100</f>
        <v>155.56336260978668</v>
      </c>
      <c r="G47" s="1990">
        <f t="shared" si="3"/>
        <v>76.6165710895788</v>
      </c>
    </row>
    <row r="48" spans="1:7" s="2007" customFormat="1" ht="15.75" customHeight="1">
      <c r="A48" s="2008" t="s">
        <v>424</v>
      </c>
      <c r="B48" s="2009" t="s">
        <v>425</v>
      </c>
      <c r="C48" s="1993">
        <f>15681+6000</f>
        <v>21681</v>
      </c>
      <c r="D48" s="2010">
        <v>112868</v>
      </c>
      <c r="E48" s="2010">
        <v>84488</v>
      </c>
      <c r="F48" s="2006">
        <f>E48/C48*100</f>
        <v>389.6868225635349</v>
      </c>
      <c r="G48" s="1990">
        <f t="shared" si="3"/>
        <v>74.85558351348477</v>
      </c>
    </row>
    <row r="49" spans="1:7" s="2007" customFormat="1" ht="13.5" customHeight="1" hidden="1">
      <c r="A49" s="2011"/>
      <c r="B49" s="2012" t="s">
        <v>471</v>
      </c>
      <c r="C49" s="2013"/>
      <c r="D49" s="2014"/>
      <c r="E49" s="2014"/>
      <c r="F49" s="2015"/>
      <c r="G49" s="2016"/>
    </row>
    <row r="50" spans="1:7" s="2007" customFormat="1" ht="13.5" customHeight="1">
      <c r="A50" s="2008" t="s">
        <v>426</v>
      </c>
      <c r="B50" s="2009" t="s">
        <v>472</v>
      </c>
      <c r="C50" s="1993">
        <f>9683+13911+8500+6000</f>
        <v>38094</v>
      </c>
      <c r="D50" s="2010">
        <v>8500</v>
      </c>
      <c r="E50" s="2010">
        <v>8500</v>
      </c>
      <c r="F50" s="2006">
        <f>E50/C50*100</f>
        <v>22.313225179818343</v>
      </c>
      <c r="G50" s="2017">
        <f t="shared" si="3"/>
        <v>100</v>
      </c>
    </row>
    <row r="51" spans="1:7" s="1986" customFormat="1" ht="11.25" customHeight="1">
      <c r="A51" s="2011"/>
      <c r="B51" s="2012" t="s">
        <v>471</v>
      </c>
      <c r="C51" s="2013">
        <v>13911</v>
      </c>
      <c r="D51" s="2014"/>
      <c r="E51" s="2014"/>
      <c r="F51" s="2004"/>
      <c r="G51" s="2005"/>
    </row>
    <row r="52" spans="1:7" s="2022" customFormat="1" ht="23.25" customHeight="1" thickBot="1">
      <c r="A52" s="2000">
        <v>2</v>
      </c>
      <c r="B52" s="2018" t="s">
        <v>428</v>
      </c>
      <c r="C52" s="2019">
        <v>14235390</v>
      </c>
      <c r="D52" s="2020">
        <v>38402418</v>
      </c>
      <c r="E52" s="2003">
        <v>19165427</v>
      </c>
      <c r="F52" s="2004">
        <f>E52/C53*100</f>
        <v>15.502629552200444</v>
      </c>
      <c r="G52" s="2021">
        <f t="shared" si="3"/>
        <v>49.906823575536315</v>
      </c>
    </row>
    <row r="53" spans="1:7" s="1959" customFormat="1" ht="22.5" customHeight="1" thickBot="1" thickTop="1">
      <c r="A53" s="2696" t="s">
        <v>473</v>
      </c>
      <c r="B53" s="2697"/>
      <c r="C53" s="2023">
        <f>C8+C37+C41+C45</f>
        <v>123626943</v>
      </c>
      <c r="D53" s="2024">
        <f>D8+D37+D41+D45</f>
        <v>281438490</v>
      </c>
      <c r="E53" s="2024">
        <f>E8+E37+E41+E45</f>
        <v>150754277</v>
      </c>
      <c r="F53" s="2025">
        <f>E53/C53*100</f>
        <v>121.94289799756677</v>
      </c>
      <c r="G53" s="2026">
        <f>E53/D53*100</f>
        <v>53.56562174562548</v>
      </c>
    </row>
    <row r="54" spans="1:7" s="1959" customFormat="1" ht="20.25" customHeight="1" thickTop="1">
      <c r="A54" s="2979" t="s">
        <v>430</v>
      </c>
      <c r="B54" s="2402"/>
      <c r="C54" s="2027">
        <v>109353459</v>
      </c>
      <c r="D54" s="2028">
        <v>242343923</v>
      </c>
      <c r="E54" s="2028">
        <v>130925079</v>
      </c>
      <c r="F54" s="598">
        <f>E54/C54*100</f>
        <v>119.72650906269</v>
      </c>
      <c r="G54" s="2029">
        <f t="shared" si="3"/>
        <v>54.024494354661414</v>
      </c>
    </row>
    <row r="55" spans="1:7" s="1959" customFormat="1" ht="38.25" customHeight="1">
      <c r="A55" s="2981" t="s">
        <v>431</v>
      </c>
      <c r="B55" s="2403"/>
      <c r="C55" s="2030"/>
      <c r="D55" s="577">
        <v>683649</v>
      </c>
      <c r="E55" s="577">
        <v>655271</v>
      </c>
      <c r="F55" s="2031"/>
      <c r="G55" s="1990">
        <f t="shared" si="3"/>
        <v>95.8490394924881</v>
      </c>
    </row>
    <row r="56" spans="1:7" s="1959" customFormat="1" ht="31.5" customHeight="1">
      <c r="A56" s="2981" t="s">
        <v>432</v>
      </c>
      <c r="B56" s="2403"/>
      <c r="C56" s="2030">
        <v>38094</v>
      </c>
      <c r="D56" s="577">
        <v>8500</v>
      </c>
      <c r="E56" s="577">
        <v>8500</v>
      </c>
      <c r="F56" s="2031">
        <f>E56/C56*100</f>
        <v>22.313225179818343</v>
      </c>
      <c r="G56" s="1990">
        <f t="shared" si="3"/>
        <v>100</v>
      </c>
    </row>
    <row r="57" spans="1:7" ht="19.5" customHeight="1" thickBot="1">
      <c r="A57" s="2975" t="s">
        <v>433</v>
      </c>
      <c r="B57" s="2695"/>
      <c r="C57" s="2032">
        <f>C52</f>
        <v>14235390</v>
      </c>
      <c r="D57" s="2033">
        <f>D52</f>
        <v>38402418</v>
      </c>
      <c r="E57" s="2034">
        <f>E52</f>
        <v>19165427</v>
      </c>
      <c r="F57" s="606">
        <f>E57/C57*100</f>
        <v>134.63225805545193</v>
      </c>
      <c r="G57" s="2035">
        <f t="shared" si="3"/>
        <v>49.906823575536315</v>
      </c>
    </row>
    <row r="58" spans="3:5" ht="17.25" customHeight="1" thickTop="1">
      <c r="C58" s="2036"/>
      <c r="D58" s="2037"/>
      <c r="E58" s="2037"/>
    </row>
    <row r="59" spans="1:3" ht="12.75">
      <c r="A59" s="625"/>
      <c r="C59" s="2039"/>
    </row>
    <row r="60" spans="3:4" ht="6.75" customHeight="1">
      <c r="C60" s="2039"/>
      <c r="D60" s="2040"/>
    </row>
    <row r="61" ht="12.75">
      <c r="C61" s="2039"/>
    </row>
  </sheetData>
  <mergeCells count="9">
    <mergeCell ref="A2:G2"/>
    <mergeCell ref="F3:G3"/>
    <mergeCell ref="C5:C6"/>
    <mergeCell ref="D5:G5"/>
    <mergeCell ref="A57:B57"/>
    <mergeCell ref="A53:B53"/>
    <mergeCell ref="A54:B54"/>
    <mergeCell ref="A55:B55"/>
    <mergeCell ref="A56:B5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221"/>
  <sheetViews>
    <sheetView workbookViewId="0" topLeftCell="A1">
      <selection activeCell="F14" sqref="F14"/>
    </sheetView>
  </sheetViews>
  <sheetFormatPr defaultColWidth="9.125" defaultRowHeight="12.75"/>
  <cols>
    <col min="1" max="1" width="4.875" style="79" customWidth="1"/>
    <col min="2" max="2" width="26.25390625" style="79" customWidth="1"/>
    <col min="3" max="3" width="14.375" style="79" hidden="1" customWidth="1"/>
    <col min="4" max="4" width="12.25390625" style="79" customWidth="1"/>
    <col min="5" max="5" width="13.00390625" style="79" customWidth="1"/>
    <col min="6" max="6" width="13.125" style="79" customWidth="1"/>
    <col min="7" max="7" width="6.625" style="80" customWidth="1"/>
    <col min="8" max="8" width="6.25390625" style="81" customWidth="1"/>
    <col min="9" max="9" width="13.125" style="79" customWidth="1"/>
    <col min="10" max="10" width="12.625" style="79" customWidth="1"/>
    <col min="11" max="11" width="5.625" style="2263" customWidth="1"/>
    <col min="12" max="12" width="13.125" style="79" customWidth="1"/>
    <col min="13" max="13" width="12.75390625" style="79" customWidth="1"/>
    <col min="14" max="14" width="4.75390625" style="2263" customWidth="1"/>
    <col min="15" max="16384" width="10.00390625" style="79" customWidth="1"/>
  </cols>
  <sheetData>
    <row r="1" spans="1:14" s="90" customFormat="1" ht="15.75" customHeight="1">
      <c r="A1" s="83" t="s">
        <v>474</v>
      </c>
      <c r="B1" s="84"/>
      <c r="C1" s="84"/>
      <c r="D1" s="2041"/>
      <c r="E1" s="2041"/>
      <c r="F1" s="2042"/>
      <c r="G1" s="2043"/>
      <c r="H1" s="2044"/>
      <c r="I1" s="2041"/>
      <c r="J1" s="2042"/>
      <c r="K1" s="2044"/>
      <c r="L1" s="2041"/>
      <c r="M1" s="86"/>
      <c r="N1" s="2045"/>
    </row>
    <row r="2" spans="1:14" s="90" customFormat="1" ht="15" customHeight="1">
      <c r="A2" s="83" t="s">
        <v>475</v>
      </c>
      <c r="B2" s="84"/>
      <c r="C2" s="84"/>
      <c r="D2" s="2041"/>
      <c r="E2" s="2041"/>
      <c r="F2" s="2042"/>
      <c r="G2" s="2043"/>
      <c r="H2" s="2044"/>
      <c r="I2" s="2041"/>
      <c r="J2" s="2042"/>
      <c r="K2" s="2044"/>
      <c r="L2" s="2041"/>
      <c r="M2" s="2046" t="s">
        <v>476</v>
      </c>
      <c r="N2" s="2045"/>
    </row>
    <row r="3" spans="1:14" ht="12" customHeight="1" thickBot="1">
      <c r="A3" s="92"/>
      <c r="B3" s="92"/>
      <c r="C3" s="92"/>
      <c r="D3" s="92"/>
      <c r="E3" s="93"/>
      <c r="F3" s="94"/>
      <c r="G3" s="95"/>
      <c r="H3" s="96"/>
      <c r="I3" s="94"/>
      <c r="J3" s="94"/>
      <c r="K3" s="2047"/>
      <c r="L3" s="93"/>
      <c r="M3" s="2048" t="s">
        <v>477</v>
      </c>
      <c r="N3" s="2047"/>
    </row>
    <row r="4" spans="1:14" s="2061" customFormat="1" ht="19.5" customHeight="1" thickBot="1" thickTop="1">
      <c r="A4" s="2049"/>
      <c r="B4" s="2050"/>
      <c r="C4" s="2051" t="s">
        <v>385</v>
      </c>
      <c r="D4" s="2052"/>
      <c r="E4" s="2053" t="s">
        <v>478</v>
      </c>
      <c r="F4" s="2054"/>
      <c r="G4" s="2055"/>
      <c r="H4" s="2056"/>
      <c r="I4" s="2057" t="s">
        <v>103</v>
      </c>
      <c r="J4" s="2057"/>
      <c r="K4" s="2058"/>
      <c r="L4" s="2059" t="s">
        <v>104</v>
      </c>
      <c r="M4" s="2060"/>
      <c r="N4" s="2058"/>
    </row>
    <row r="5" spans="1:14" s="82" customFormat="1" ht="36.75" customHeight="1" thickBot="1" thickTop="1">
      <c r="A5" s="2062" t="s">
        <v>287</v>
      </c>
      <c r="B5" s="2063" t="s">
        <v>290</v>
      </c>
      <c r="C5" s="2064" t="s">
        <v>479</v>
      </c>
      <c r="D5" s="2065" t="s">
        <v>71</v>
      </c>
      <c r="E5" s="2066" t="s">
        <v>72</v>
      </c>
      <c r="F5" s="2067" t="s">
        <v>480</v>
      </c>
      <c r="G5" s="2068" t="s">
        <v>481</v>
      </c>
      <c r="H5" s="2069" t="s">
        <v>482</v>
      </c>
      <c r="I5" s="2070" t="s">
        <v>72</v>
      </c>
      <c r="J5" s="2067" t="s">
        <v>483</v>
      </c>
      <c r="K5" s="2071" t="s">
        <v>484</v>
      </c>
      <c r="L5" s="2070" t="s">
        <v>72</v>
      </c>
      <c r="M5" s="2067" t="s">
        <v>485</v>
      </c>
      <c r="N5" s="2071" t="s">
        <v>486</v>
      </c>
    </row>
    <row r="6" spans="1:14" s="130" customFormat="1" ht="14.25" customHeight="1" thickBot="1" thickTop="1">
      <c r="A6" s="2072">
        <v>1</v>
      </c>
      <c r="B6" s="122">
        <v>2</v>
      </c>
      <c r="C6" s="125">
        <v>3</v>
      </c>
      <c r="D6" s="2073">
        <v>3</v>
      </c>
      <c r="E6" s="2072">
        <v>4</v>
      </c>
      <c r="F6" s="2074">
        <v>5</v>
      </c>
      <c r="G6" s="125">
        <v>7</v>
      </c>
      <c r="H6" s="122">
        <v>8</v>
      </c>
      <c r="I6" s="125">
        <v>9</v>
      </c>
      <c r="J6" s="125">
        <v>10</v>
      </c>
      <c r="K6" s="127">
        <v>11</v>
      </c>
      <c r="L6" s="124">
        <v>12</v>
      </c>
      <c r="M6" s="125">
        <v>13</v>
      </c>
      <c r="N6" s="2075">
        <v>14</v>
      </c>
    </row>
    <row r="7" spans="1:14" s="2088" customFormat="1" ht="12.75" customHeight="1" thickTop="1">
      <c r="A7" s="2076" t="s">
        <v>120</v>
      </c>
      <c r="B7" s="2077" t="s">
        <v>121</v>
      </c>
      <c r="C7" s="2078"/>
      <c r="D7" s="2079">
        <f>D8</f>
        <v>14917130</v>
      </c>
      <c r="E7" s="2080">
        <f>SUM(E8:E9)</f>
        <v>15880004</v>
      </c>
      <c r="F7" s="2081">
        <f>SUM(F8:F9)</f>
        <v>7493551</v>
      </c>
      <c r="G7" s="2082">
        <f>F7/E7*100</f>
        <v>47.18859642604624</v>
      </c>
      <c r="H7" s="2083">
        <f>F7/F64*100</f>
        <v>4.970705408245234</v>
      </c>
      <c r="I7" s="2084">
        <f>SUM(I8:I9)</f>
        <v>916294</v>
      </c>
      <c r="J7" s="2084">
        <f>SUM(J8:J9)</f>
        <v>25483</v>
      </c>
      <c r="K7" s="2085">
        <f aca="true" t="shared" si="0" ref="K7:K13">J7/I7*100</f>
        <v>2.7810942776008574</v>
      </c>
      <c r="L7" s="2086">
        <f>SUM(L8:L8)</f>
        <v>14963710</v>
      </c>
      <c r="M7" s="2086">
        <f>SUM(M8:M8)</f>
        <v>7468068</v>
      </c>
      <c r="N7" s="2087">
        <f>M7/L7*100</f>
        <v>49.90786375838612</v>
      </c>
    </row>
    <row r="8" spans="1:14" s="2101" customFormat="1" ht="13.5" customHeight="1">
      <c r="A8" s="2089"/>
      <c r="B8" s="2090" t="s">
        <v>487</v>
      </c>
      <c r="C8" s="2091"/>
      <c r="D8" s="2092">
        <f>1508855+13408275</f>
        <v>14917130</v>
      </c>
      <c r="E8" s="2093">
        <f>I8+L8</f>
        <v>15863336</v>
      </c>
      <c r="F8" s="2094">
        <f>J8+M8</f>
        <v>7489376</v>
      </c>
      <c r="G8" s="2095">
        <f>F8/E8*100</f>
        <v>47.21186010307037</v>
      </c>
      <c r="H8" s="2096"/>
      <c r="I8" s="2097">
        <f>899626</f>
        <v>899626</v>
      </c>
      <c r="J8" s="2097">
        <f>21308</f>
        <v>21308</v>
      </c>
      <c r="K8" s="2098">
        <f t="shared" si="0"/>
        <v>2.368539815434414</v>
      </c>
      <c r="L8" s="2099">
        <v>14963710</v>
      </c>
      <c r="M8" s="2097">
        <v>7468068</v>
      </c>
      <c r="N8" s="2100">
        <f>M8/L8*100</f>
        <v>49.90786375838612</v>
      </c>
    </row>
    <row r="9" spans="1:14" s="2101" customFormat="1" ht="24.75" customHeight="1">
      <c r="A9" s="2102"/>
      <c r="B9" s="2103" t="s">
        <v>488</v>
      </c>
      <c r="C9" s="2091"/>
      <c r="D9" s="2092"/>
      <c r="E9" s="2093">
        <f>I9+L9</f>
        <v>16668</v>
      </c>
      <c r="F9" s="2094">
        <f>J9+M9</f>
        <v>4175</v>
      </c>
      <c r="G9" s="2095">
        <f>F9/E9*100</f>
        <v>25.04799616030717</v>
      </c>
      <c r="H9" s="2104"/>
      <c r="I9" s="2097">
        <v>16668</v>
      </c>
      <c r="J9" s="2097">
        <v>4175</v>
      </c>
      <c r="K9" s="2098">
        <f t="shared" si="0"/>
        <v>25.04799616030717</v>
      </c>
      <c r="L9" s="2099"/>
      <c r="M9" s="2097"/>
      <c r="N9" s="2105"/>
    </row>
    <row r="10" spans="1:14" s="2115" customFormat="1" ht="12.75" customHeight="1">
      <c r="A10" s="2106" t="s">
        <v>122</v>
      </c>
      <c r="B10" s="2107" t="s">
        <v>123</v>
      </c>
      <c r="C10" s="2108"/>
      <c r="D10" s="2079">
        <f>D11</f>
        <v>205345</v>
      </c>
      <c r="E10" s="2080">
        <f aca="true" t="shared" si="1" ref="E10:E22">I10+L10</f>
        <v>93299</v>
      </c>
      <c r="F10" s="2109">
        <f>F11</f>
        <v>682</v>
      </c>
      <c r="G10" s="2110">
        <f aca="true" t="shared" si="2" ref="G10:G68">F10/E10*100</f>
        <v>0.7309831830994974</v>
      </c>
      <c r="H10" s="2083">
        <f>F10/F64*100</f>
        <v>0.0004523918084261052</v>
      </c>
      <c r="I10" s="2111">
        <f>I11</f>
        <v>93299</v>
      </c>
      <c r="J10" s="2111">
        <f>J11</f>
        <v>682</v>
      </c>
      <c r="K10" s="2085">
        <f t="shared" si="0"/>
        <v>0.7309831830994974</v>
      </c>
      <c r="L10" s="2112"/>
      <c r="M10" s="2113"/>
      <c r="N10" s="2114"/>
    </row>
    <row r="11" spans="1:14" s="2101" customFormat="1" ht="13.5" customHeight="1">
      <c r="A11" s="2089"/>
      <c r="B11" s="2090" t="s">
        <v>487</v>
      </c>
      <c r="C11" s="2091"/>
      <c r="D11" s="2092">
        <v>205345</v>
      </c>
      <c r="E11" s="2093">
        <f t="shared" si="1"/>
        <v>93299</v>
      </c>
      <c r="F11" s="2116">
        <f>J11+M11</f>
        <v>682</v>
      </c>
      <c r="G11" s="2117">
        <f t="shared" si="2"/>
        <v>0.7309831830994974</v>
      </c>
      <c r="H11" s="2096"/>
      <c r="I11" s="2097">
        <v>93299</v>
      </c>
      <c r="J11" s="2097">
        <v>682</v>
      </c>
      <c r="K11" s="2098">
        <f t="shared" si="0"/>
        <v>0.7309831830994974</v>
      </c>
      <c r="L11" s="2099"/>
      <c r="M11" s="2097"/>
      <c r="N11" s="2118"/>
    </row>
    <row r="12" spans="1:14" s="2088" customFormat="1" ht="23.25" customHeight="1">
      <c r="A12" s="2076" t="s">
        <v>124</v>
      </c>
      <c r="B12" s="2077" t="s">
        <v>125</v>
      </c>
      <c r="C12" s="2078">
        <f>SUM(C13:C14)</f>
        <v>8857.257</v>
      </c>
      <c r="D12" s="2079">
        <f>SUM(D13:D14)</f>
        <v>16767950</v>
      </c>
      <c r="E12" s="2080">
        <f t="shared" si="1"/>
        <v>18767950</v>
      </c>
      <c r="F12" s="2119">
        <f>SUM(F13:F14)</f>
        <v>12914030</v>
      </c>
      <c r="G12" s="2110">
        <f t="shared" si="2"/>
        <v>68.80895356179018</v>
      </c>
      <c r="H12" s="2083">
        <v>8.6</v>
      </c>
      <c r="I12" s="2084">
        <f>SUM(I13:I14)</f>
        <v>18027950</v>
      </c>
      <c r="J12" s="2084">
        <f>SUM(J13:J14)</f>
        <v>12302214</v>
      </c>
      <c r="K12" s="2120">
        <f t="shared" si="0"/>
        <v>68.2396722866438</v>
      </c>
      <c r="L12" s="2121">
        <f>SUM(L13:L14)</f>
        <v>740000</v>
      </c>
      <c r="M12" s="2084">
        <f>SUM(M13:M14)</f>
        <v>611816</v>
      </c>
      <c r="N12" s="2087">
        <f>M12/L12*100</f>
        <v>82.67783783783784</v>
      </c>
    </row>
    <row r="13" spans="1:14" s="2101" customFormat="1" ht="13.5" customHeight="1">
      <c r="A13" s="2122"/>
      <c r="B13" s="2090" t="s">
        <v>487</v>
      </c>
      <c r="C13" s="2091">
        <v>8822.891</v>
      </c>
      <c r="D13" s="2092">
        <f>16027950+700000</f>
        <v>16727950</v>
      </c>
      <c r="E13" s="2093">
        <f t="shared" si="1"/>
        <v>18727950</v>
      </c>
      <c r="F13" s="2094">
        <f>J13+M13</f>
        <v>12894032</v>
      </c>
      <c r="G13" s="2095">
        <f t="shared" si="2"/>
        <v>68.84913725207511</v>
      </c>
      <c r="H13" s="2096"/>
      <c r="I13" s="2097">
        <v>18027950</v>
      </c>
      <c r="J13" s="2097">
        <v>12302214</v>
      </c>
      <c r="K13" s="2098">
        <f t="shared" si="0"/>
        <v>68.2396722866438</v>
      </c>
      <c r="L13" s="2099">
        <v>700000</v>
      </c>
      <c r="M13" s="2097">
        <v>591818</v>
      </c>
      <c r="N13" s="2098">
        <f>M13/L13*100</f>
        <v>84.54542857142857</v>
      </c>
    </row>
    <row r="14" spans="1:14" s="2132" customFormat="1" ht="12" customHeight="1">
      <c r="A14" s="2123"/>
      <c r="B14" s="2124" t="s">
        <v>489</v>
      </c>
      <c r="C14" s="2125">
        <v>34.366</v>
      </c>
      <c r="D14" s="2126">
        <v>40000</v>
      </c>
      <c r="E14" s="2127">
        <f t="shared" si="1"/>
        <v>40000</v>
      </c>
      <c r="F14" s="2116">
        <f>J14+M14</f>
        <v>19998</v>
      </c>
      <c r="G14" s="2117">
        <f t="shared" si="2"/>
        <v>49.995</v>
      </c>
      <c r="H14" s="2128"/>
      <c r="I14" s="2129"/>
      <c r="J14" s="2129"/>
      <c r="K14" s="2130"/>
      <c r="L14" s="2131">
        <v>40000</v>
      </c>
      <c r="M14" s="2129">
        <v>19998</v>
      </c>
      <c r="N14" s="2098">
        <f>M14/L14*100</f>
        <v>49.995</v>
      </c>
    </row>
    <row r="15" spans="1:14" s="2139" customFormat="1" ht="20.25" customHeight="1">
      <c r="A15" s="2106" t="s">
        <v>126</v>
      </c>
      <c r="B15" s="2133" t="s">
        <v>127</v>
      </c>
      <c r="C15" s="2134">
        <f>SUM(C16:C17)</f>
        <v>42.196</v>
      </c>
      <c r="D15" s="2135">
        <f>SUM(D16:D17)</f>
        <v>1260100</v>
      </c>
      <c r="E15" s="2136">
        <f t="shared" si="1"/>
        <v>1300100</v>
      </c>
      <c r="F15" s="2137">
        <f>SUM(F16:F17)</f>
        <v>382256</v>
      </c>
      <c r="G15" s="2110">
        <f t="shared" si="2"/>
        <v>29.402045996461812</v>
      </c>
      <c r="H15" s="2138">
        <v>0.2</v>
      </c>
      <c r="I15" s="2086">
        <f>SUM(I16:I17)</f>
        <v>1010000</v>
      </c>
      <c r="J15" s="2111">
        <f>SUM(J16:J17)</f>
        <v>242088</v>
      </c>
      <c r="K15" s="2085">
        <f>J15/I15*100</f>
        <v>23.96910891089109</v>
      </c>
      <c r="L15" s="2086">
        <f>SUM(L16:L17)</f>
        <v>290100</v>
      </c>
      <c r="M15" s="2111">
        <f>SUM(M16:M17)</f>
        <v>140168</v>
      </c>
      <c r="N15" s="2120">
        <f>M15/L15*100</f>
        <v>48.317132023440195</v>
      </c>
    </row>
    <row r="16" spans="1:14" s="2132" customFormat="1" ht="13.5" customHeight="1">
      <c r="A16" s="2122"/>
      <c r="B16" s="2090" t="s">
        <v>487</v>
      </c>
      <c r="C16" s="2091"/>
      <c r="D16" s="2092">
        <v>1010000</v>
      </c>
      <c r="E16" s="2093">
        <f t="shared" si="1"/>
        <v>1010000</v>
      </c>
      <c r="F16" s="2094">
        <f>J16+M16</f>
        <v>242088</v>
      </c>
      <c r="G16" s="2095">
        <f t="shared" si="2"/>
        <v>23.96910891089109</v>
      </c>
      <c r="H16" s="2140"/>
      <c r="I16" s="2099">
        <v>1010000</v>
      </c>
      <c r="J16" s="2097">
        <v>242088</v>
      </c>
      <c r="K16" s="2098">
        <f>J16/I16*100</f>
        <v>23.96910891089109</v>
      </c>
      <c r="L16" s="2099"/>
      <c r="M16" s="2097"/>
      <c r="N16" s="2098"/>
    </row>
    <row r="17" spans="1:14" s="2101" customFormat="1" ht="10.5" customHeight="1">
      <c r="A17" s="2122"/>
      <c r="B17" s="2090" t="s">
        <v>489</v>
      </c>
      <c r="C17" s="2091">
        <v>42.196</v>
      </c>
      <c r="D17" s="2092">
        <v>250100</v>
      </c>
      <c r="E17" s="2093">
        <f t="shared" si="1"/>
        <v>290100</v>
      </c>
      <c r="F17" s="2116">
        <f>J17+M17</f>
        <v>140168</v>
      </c>
      <c r="G17" s="2095">
        <f t="shared" si="2"/>
        <v>48.317132023440195</v>
      </c>
      <c r="H17" s="2140"/>
      <c r="I17" s="2099"/>
      <c r="J17" s="2097"/>
      <c r="K17" s="2098"/>
      <c r="L17" s="2099">
        <v>290100</v>
      </c>
      <c r="M17" s="2097">
        <v>140168</v>
      </c>
      <c r="N17" s="2100">
        <f>M17/L17*100</f>
        <v>48.317132023440195</v>
      </c>
    </row>
    <row r="18" spans="1:14" s="2139" customFormat="1" ht="25.5">
      <c r="A18" s="2106" t="s">
        <v>129</v>
      </c>
      <c r="B18" s="2133" t="s">
        <v>130</v>
      </c>
      <c r="C18" s="2134">
        <f>SUM(C19:C21)</f>
        <v>1922.397</v>
      </c>
      <c r="D18" s="2135">
        <f>SUM(D19:D21)</f>
        <v>3761802</v>
      </c>
      <c r="E18" s="2136">
        <f>SUM(E19:E21)</f>
        <v>3586762</v>
      </c>
      <c r="F18" s="2137">
        <f>SUM(F19:F21)</f>
        <v>2262430</v>
      </c>
      <c r="G18" s="2110">
        <f t="shared" si="2"/>
        <v>63.077226757727445</v>
      </c>
      <c r="H18" s="2083">
        <f>F18/F64*100</f>
        <v>1.5007401746883773</v>
      </c>
      <c r="I18" s="2111">
        <f>SUM(I19:I21)</f>
        <v>1292862</v>
      </c>
      <c r="J18" s="2111">
        <f>SUM(J19:J21)</f>
        <v>676969</v>
      </c>
      <c r="K18" s="2120">
        <f>J18/I18*100</f>
        <v>52.362046374632406</v>
      </c>
      <c r="L18" s="2086">
        <f>SUM(L19:L21)</f>
        <v>2293900</v>
      </c>
      <c r="M18" s="2111">
        <f>SUM(M19:M21)</f>
        <v>1585461</v>
      </c>
      <c r="N18" s="2120">
        <f>M18/L18*100</f>
        <v>69.11639565804961</v>
      </c>
    </row>
    <row r="19" spans="1:14" s="2132" customFormat="1" ht="14.25" customHeight="1">
      <c r="A19" s="2122"/>
      <c r="B19" s="2090" t="s">
        <v>490</v>
      </c>
      <c r="C19" s="2091">
        <v>1247.343</v>
      </c>
      <c r="D19" s="2092">
        <f>740902+2017400</f>
        <v>2758302</v>
      </c>
      <c r="E19" s="2093">
        <f t="shared" si="1"/>
        <v>2583262</v>
      </c>
      <c r="F19" s="2094">
        <f>J19+M19</f>
        <v>1698195</v>
      </c>
      <c r="G19" s="2095">
        <f t="shared" si="2"/>
        <v>65.73839587312476</v>
      </c>
      <c r="H19" s="2096"/>
      <c r="I19" s="2097">
        <v>565862</v>
      </c>
      <c r="J19" s="2097">
        <v>282968</v>
      </c>
      <c r="K19" s="2100">
        <f>J19/I19*100</f>
        <v>50.006538696714045</v>
      </c>
      <c r="L19" s="2099">
        <f>2017400</f>
        <v>2017400</v>
      </c>
      <c r="M19" s="2097">
        <f>1415227</f>
        <v>1415227</v>
      </c>
      <c r="N19" s="2098">
        <f>M19/L19*100</f>
        <v>70.15103598691384</v>
      </c>
    </row>
    <row r="20" spans="1:14" s="2132" customFormat="1" ht="20.25" customHeight="1">
      <c r="A20" s="2122"/>
      <c r="B20" s="2103" t="s">
        <v>491</v>
      </c>
      <c r="C20" s="2091"/>
      <c r="D20" s="2092">
        <v>8500</v>
      </c>
      <c r="E20" s="2093">
        <f>I20+L20</f>
        <v>8500</v>
      </c>
      <c r="F20" s="2094">
        <f>J20+M20</f>
        <v>8500</v>
      </c>
      <c r="G20" s="2095">
        <f>F20/E20*100</f>
        <v>100</v>
      </c>
      <c r="H20" s="2096"/>
      <c r="I20" s="2097"/>
      <c r="J20" s="2097"/>
      <c r="K20" s="2105"/>
      <c r="L20" s="2099">
        <v>8500</v>
      </c>
      <c r="M20" s="2097">
        <v>8500</v>
      </c>
      <c r="N20" s="2098">
        <f>M20/L20*100</f>
        <v>100</v>
      </c>
    </row>
    <row r="21" spans="1:14" s="2101" customFormat="1" ht="13.5" customHeight="1">
      <c r="A21" s="2122"/>
      <c r="B21" s="2090" t="s">
        <v>489</v>
      </c>
      <c r="C21" s="2091">
        <v>675.054</v>
      </c>
      <c r="D21" s="2092">
        <f>727000+268000</f>
        <v>995000</v>
      </c>
      <c r="E21" s="2093">
        <f t="shared" si="1"/>
        <v>995000</v>
      </c>
      <c r="F21" s="2094">
        <f>J21+M21</f>
        <v>555735</v>
      </c>
      <c r="G21" s="2095">
        <f t="shared" si="2"/>
        <v>55.85276381909547</v>
      </c>
      <c r="H21" s="2096"/>
      <c r="I21" s="2097">
        <v>727000</v>
      </c>
      <c r="J21" s="2097">
        <v>394001</v>
      </c>
      <c r="K21" s="2100">
        <f>J21/I21*100</f>
        <v>54.19546079779918</v>
      </c>
      <c r="L21" s="2099">
        <v>268000</v>
      </c>
      <c r="M21" s="2097">
        <v>161734</v>
      </c>
      <c r="N21" s="2098">
        <f>M21/L21*100</f>
        <v>60.34850746268656</v>
      </c>
    </row>
    <row r="22" spans="1:14" s="2139" customFormat="1" ht="75" customHeight="1">
      <c r="A22" s="2106" t="s">
        <v>131</v>
      </c>
      <c r="B22" s="2133" t="s">
        <v>132</v>
      </c>
      <c r="C22" s="2134">
        <f>SUM(C23:C24)</f>
        <v>7.414</v>
      </c>
      <c r="D22" s="2135">
        <f>D24</f>
        <v>18425</v>
      </c>
      <c r="E22" s="2136">
        <f t="shared" si="1"/>
        <v>17750</v>
      </c>
      <c r="F22" s="2141">
        <f>F24</f>
        <v>8916</v>
      </c>
      <c r="G22" s="2110">
        <f t="shared" si="2"/>
        <v>50.23098591549295</v>
      </c>
      <c r="H22" s="2142">
        <f>F22/F64*100</f>
        <v>0.005914260064409317</v>
      </c>
      <c r="I22" s="2111">
        <f>SUM(I23:I24)</f>
        <v>17750</v>
      </c>
      <c r="J22" s="2111">
        <f>SUM(J23:J24)</f>
        <v>8916</v>
      </c>
      <c r="K22" s="2120">
        <f>J22/I22*100</f>
        <v>50.23098591549295</v>
      </c>
      <c r="L22" s="2086"/>
      <c r="M22" s="2111"/>
      <c r="N22" s="2120"/>
    </row>
    <row r="23" spans="1:14" s="152" customFormat="1" ht="11.25" customHeight="1" hidden="1">
      <c r="A23" s="2143"/>
      <c r="B23" s="143" t="s">
        <v>114</v>
      </c>
      <c r="C23" s="2144"/>
      <c r="D23" s="2145"/>
      <c r="E23" s="2146"/>
      <c r="F23" s="2147"/>
      <c r="G23" s="2148" t="e">
        <f t="shared" si="2"/>
        <v>#DIV/0!</v>
      </c>
      <c r="H23" s="2149"/>
      <c r="I23" s="2150"/>
      <c r="J23" s="2150"/>
      <c r="K23" s="2151"/>
      <c r="L23" s="2152"/>
      <c r="M23" s="2150"/>
      <c r="N23" s="2151"/>
    </row>
    <row r="24" spans="1:14" s="2101" customFormat="1" ht="12" customHeight="1">
      <c r="A24" s="2153"/>
      <c r="B24" s="2154" t="s">
        <v>489</v>
      </c>
      <c r="C24" s="2155">
        <v>7.414</v>
      </c>
      <c r="D24" s="2156">
        <v>18425</v>
      </c>
      <c r="E24" s="2157">
        <f aca="true" t="shared" si="3" ref="E24:E39">I24+L24</f>
        <v>17750</v>
      </c>
      <c r="F24" s="2158">
        <f>J24+M24</f>
        <v>8916</v>
      </c>
      <c r="G24" s="2159">
        <f t="shared" si="2"/>
        <v>50.23098591549295</v>
      </c>
      <c r="H24" s="2160"/>
      <c r="I24" s="2161">
        <v>17750</v>
      </c>
      <c r="J24" s="2161">
        <v>8916</v>
      </c>
      <c r="K24" s="1156">
        <f>J24/I24*100</f>
        <v>50.23098591549295</v>
      </c>
      <c r="L24" s="2162"/>
      <c r="M24" s="2161"/>
      <c r="N24" s="2163"/>
    </row>
    <row r="25" spans="1:14" s="2139" customFormat="1" ht="37.5" customHeight="1">
      <c r="A25" s="2106" t="s">
        <v>135</v>
      </c>
      <c r="B25" s="2133" t="s">
        <v>136</v>
      </c>
      <c r="C25" s="2134">
        <f>SUM(C26:C27)</f>
        <v>11778.691</v>
      </c>
      <c r="D25" s="2135">
        <f>SUM(D26:D27)</f>
        <v>5215500</v>
      </c>
      <c r="E25" s="2136">
        <f t="shared" si="3"/>
        <v>5326200</v>
      </c>
      <c r="F25" s="2137">
        <f>SUM(F26:F27)</f>
        <v>3247709</v>
      </c>
      <c r="G25" s="2110">
        <f t="shared" si="2"/>
        <v>60.97609928279073</v>
      </c>
      <c r="H25" s="2142">
        <v>2.1</v>
      </c>
      <c r="I25" s="2111">
        <f>SUM(I26:I27)</f>
        <v>5000</v>
      </c>
      <c r="J25" s="2111">
        <f>SUM(J26:J27)</f>
        <v>5000</v>
      </c>
      <c r="K25" s="2120">
        <f>J25/I25*100</f>
        <v>100</v>
      </c>
      <c r="L25" s="2111">
        <f>SUM(L26:L27)</f>
        <v>5321200</v>
      </c>
      <c r="M25" s="2111">
        <f>SUM(M26:M27)</f>
        <v>3242709</v>
      </c>
      <c r="N25" s="2120">
        <f>M25/L25*100</f>
        <v>60.93943095542359</v>
      </c>
    </row>
    <row r="26" spans="1:14" s="2164" customFormat="1" ht="12" customHeight="1">
      <c r="A26" s="2122"/>
      <c r="B26" s="2090" t="s">
        <v>487</v>
      </c>
      <c r="C26" s="2091">
        <v>8.174</v>
      </c>
      <c r="D26" s="2092"/>
      <c r="E26" s="2093"/>
      <c r="F26" s="2094">
        <f>J26+M26</f>
        <v>245</v>
      </c>
      <c r="G26" s="2095"/>
      <c r="H26" s="2096"/>
      <c r="I26" s="2097"/>
      <c r="J26" s="2097"/>
      <c r="K26" s="2098"/>
      <c r="L26" s="2097"/>
      <c r="M26" s="2097">
        <v>245</v>
      </c>
      <c r="N26" s="2100"/>
    </row>
    <row r="27" spans="1:14" s="2101" customFormat="1" ht="12.75" customHeight="1">
      <c r="A27" s="2123"/>
      <c r="B27" s="2124" t="s">
        <v>489</v>
      </c>
      <c r="C27" s="2125">
        <v>11770.517</v>
      </c>
      <c r="D27" s="2126">
        <v>5215500</v>
      </c>
      <c r="E27" s="2127">
        <f t="shared" si="3"/>
        <v>5326200</v>
      </c>
      <c r="F27" s="2116">
        <f>J27+M27</f>
        <v>3247464</v>
      </c>
      <c r="G27" s="2117">
        <f t="shared" si="2"/>
        <v>60.971499380421314</v>
      </c>
      <c r="H27" s="2128"/>
      <c r="I27" s="2129">
        <v>5000</v>
      </c>
      <c r="J27" s="2129">
        <v>5000</v>
      </c>
      <c r="K27" s="2130">
        <f>J27/I27*100</f>
        <v>100</v>
      </c>
      <c r="L27" s="2129">
        <v>5321200</v>
      </c>
      <c r="M27" s="2129">
        <v>3242464</v>
      </c>
      <c r="N27" s="2165">
        <f>M27/L27*100</f>
        <v>60.934826730812595</v>
      </c>
    </row>
    <row r="28" spans="1:14" s="2139" customFormat="1" ht="75" customHeight="1">
      <c r="A28" s="2106" t="s">
        <v>137</v>
      </c>
      <c r="B28" s="2133" t="s">
        <v>188</v>
      </c>
      <c r="C28" s="2134">
        <f>SUM(C29:C30)</f>
        <v>29363.274</v>
      </c>
      <c r="D28" s="2135">
        <f>D29</f>
        <v>114724272</v>
      </c>
      <c r="E28" s="2136">
        <f t="shared" si="3"/>
        <v>115871314</v>
      </c>
      <c r="F28" s="2137">
        <f>F29</f>
        <v>56364226</v>
      </c>
      <c r="G28" s="2110">
        <f t="shared" si="2"/>
        <v>48.643813601699556</v>
      </c>
      <c r="H28" s="2166">
        <f>F28/F64*100</f>
        <v>37.38814388662419</v>
      </c>
      <c r="I28" s="2111">
        <f>I29</f>
        <v>100109539</v>
      </c>
      <c r="J28" s="2111">
        <f>J29</f>
        <v>49503128</v>
      </c>
      <c r="K28" s="2120">
        <f>J28/I28*100</f>
        <v>49.448962101403744</v>
      </c>
      <c r="L28" s="2111">
        <f>L29</f>
        <v>15761775</v>
      </c>
      <c r="M28" s="2111">
        <f>M29</f>
        <v>6861098</v>
      </c>
      <c r="N28" s="2120">
        <f>M28/L28*100</f>
        <v>43.52998313958929</v>
      </c>
    </row>
    <row r="29" spans="1:14" s="2132" customFormat="1" ht="15.75" customHeight="1">
      <c r="A29" s="2123"/>
      <c r="B29" s="2124" t="s">
        <v>487</v>
      </c>
      <c r="C29" s="2125">
        <v>29363.274</v>
      </c>
      <c r="D29" s="2126">
        <f>98965497+15758775</f>
        <v>114724272</v>
      </c>
      <c r="E29" s="2127">
        <f t="shared" si="3"/>
        <v>115871314</v>
      </c>
      <c r="F29" s="2116">
        <f>J29+M29</f>
        <v>56364226</v>
      </c>
      <c r="G29" s="2117">
        <f t="shared" si="2"/>
        <v>48.643813601699556</v>
      </c>
      <c r="H29" s="2128"/>
      <c r="I29" s="2129">
        <v>100109539</v>
      </c>
      <c r="J29" s="2129">
        <v>49503128</v>
      </c>
      <c r="K29" s="2130">
        <f>J29/I29*100</f>
        <v>49.448962101403744</v>
      </c>
      <c r="L29" s="2129">
        <v>15761775</v>
      </c>
      <c r="M29" s="2129">
        <v>6861098</v>
      </c>
      <c r="N29" s="2130">
        <f>M29/L29*100</f>
        <v>43.52998313958929</v>
      </c>
    </row>
    <row r="30" spans="1:14" s="187" customFormat="1" ht="17.25" customHeight="1" hidden="1">
      <c r="A30" s="2167"/>
      <c r="B30" s="177" t="s">
        <v>115</v>
      </c>
      <c r="C30" s="2168"/>
      <c r="D30" s="2169"/>
      <c r="E30" s="2170"/>
      <c r="F30" s="2171"/>
      <c r="G30" s="2172" t="e">
        <f t="shared" si="2"/>
        <v>#DIV/0!</v>
      </c>
      <c r="H30" s="2173"/>
      <c r="I30" s="2174"/>
      <c r="J30" s="2174"/>
      <c r="K30" s="2175"/>
      <c r="L30" s="2174"/>
      <c r="M30" s="2174"/>
      <c r="N30" s="2175"/>
    </row>
    <row r="31" spans="1:14" s="2139" customFormat="1" ht="13.5" customHeight="1">
      <c r="A31" s="2106" t="s">
        <v>141</v>
      </c>
      <c r="B31" s="2133" t="s">
        <v>142</v>
      </c>
      <c r="C31" s="2134">
        <f>SUM(C32:C33)</f>
        <v>45421.84</v>
      </c>
      <c r="D31" s="2135">
        <f>D32</f>
        <v>77358644</v>
      </c>
      <c r="E31" s="2136">
        <f t="shared" si="3"/>
        <v>78140006</v>
      </c>
      <c r="F31" s="2141">
        <f>F32</f>
        <v>47345727</v>
      </c>
      <c r="G31" s="2110">
        <f t="shared" si="2"/>
        <v>60.590892455268055</v>
      </c>
      <c r="H31" s="2166">
        <f>F31/F64*100</f>
        <v>31.405893048062577</v>
      </c>
      <c r="I31" s="2111">
        <f>SUM(I32:I33)</f>
        <v>35540656</v>
      </c>
      <c r="J31" s="2111">
        <f>SUM(J32:J33)</f>
        <v>21912338</v>
      </c>
      <c r="K31" s="2120">
        <f aca="true" t="shared" si="4" ref="K31:K38">J31/I31*100</f>
        <v>61.65428685390613</v>
      </c>
      <c r="L31" s="2111">
        <f>SUM(L32:L33)</f>
        <v>42599350</v>
      </c>
      <c r="M31" s="2111">
        <f>SUM(M32:M33)</f>
        <v>25433389</v>
      </c>
      <c r="N31" s="2120">
        <f>M31/L31*100</f>
        <v>59.70370205179187</v>
      </c>
    </row>
    <row r="32" spans="1:14" s="2132" customFormat="1" ht="16.5" customHeight="1">
      <c r="A32" s="2122"/>
      <c r="B32" s="2090" t="s">
        <v>487</v>
      </c>
      <c r="C32" s="2091">
        <v>45421.84</v>
      </c>
      <c r="D32" s="2092">
        <f>35264392+42094252</f>
        <v>77358644</v>
      </c>
      <c r="E32" s="2093">
        <f t="shared" si="3"/>
        <v>78140006</v>
      </c>
      <c r="F32" s="2116">
        <f>J32+M32</f>
        <v>47345727</v>
      </c>
      <c r="G32" s="2117">
        <f t="shared" si="2"/>
        <v>60.590892455268055</v>
      </c>
      <c r="H32" s="2096"/>
      <c r="I32" s="2097">
        <v>35540656</v>
      </c>
      <c r="J32" s="2097">
        <v>21912338</v>
      </c>
      <c r="K32" s="2100">
        <f>J32/I32*100</f>
        <v>61.65428685390613</v>
      </c>
      <c r="L32" s="2097">
        <v>42599350</v>
      </c>
      <c r="M32" s="2097">
        <v>25433389</v>
      </c>
      <c r="N32" s="2100">
        <f>M32/L32*100</f>
        <v>59.70370205179187</v>
      </c>
    </row>
    <row r="33" spans="1:14" s="187" customFormat="1" ht="15" hidden="1">
      <c r="A33" s="2167"/>
      <c r="B33" s="177" t="s">
        <v>115</v>
      </c>
      <c r="C33" s="2168"/>
      <c r="D33" s="2169"/>
      <c r="E33" s="2176">
        <f t="shared" si="3"/>
        <v>0</v>
      </c>
      <c r="F33" s="2171"/>
      <c r="G33" s="2082" t="e">
        <f t="shared" si="2"/>
        <v>#DIV/0!</v>
      </c>
      <c r="H33" s="2173"/>
      <c r="I33" s="2174"/>
      <c r="J33" s="2174"/>
      <c r="K33" s="2175"/>
      <c r="L33" s="2174"/>
      <c r="M33" s="2174"/>
      <c r="N33" s="2175"/>
    </row>
    <row r="34" spans="1:14" s="2139" customFormat="1" ht="12.75">
      <c r="A34" s="2106" t="s">
        <v>143</v>
      </c>
      <c r="B34" s="2133" t="s">
        <v>144</v>
      </c>
      <c r="C34" s="2134">
        <f>C35</f>
        <v>812.942</v>
      </c>
      <c r="D34" s="2135">
        <f>SUM(D35:D35)</f>
        <v>616200</v>
      </c>
      <c r="E34" s="2136">
        <f t="shared" si="3"/>
        <v>1397131</v>
      </c>
      <c r="F34" s="2137">
        <f>SUM(F35:F35)</f>
        <v>838234</v>
      </c>
      <c r="G34" s="2110">
        <f t="shared" si="2"/>
        <v>59.9968077438694</v>
      </c>
      <c r="H34" s="2142">
        <v>0.5</v>
      </c>
      <c r="I34" s="2111">
        <f>SUM(I35:I35)</f>
        <v>501090</v>
      </c>
      <c r="J34" s="2111">
        <f>SUM(J35:J35)</f>
        <v>367307</v>
      </c>
      <c r="K34" s="2120">
        <f t="shared" si="4"/>
        <v>73.30160250653576</v>
      </c>
      <c r="L34" s="2111">
        <f>SUM(L35:L35)</f>
        <v>896041</v>
      </c>
      <c r="M34" s="2111">
        <f>SUM(M35:M35)</f>
        <v>470927</v>
      </c>
      <c r="N34" s="2120">
        <f>M34/L34*100</f>
        <v>52.55641203918125</v>
      </c>
    </row>
    <row r="35" spans="1:14" s="2132" customFormat="1" ht="13.5" customHeight="1">
      <c r="A35" s="2122"/>
      <c r="B35" s="2090" t="s">
        <v>487</v>
      </c>
      <c r="C35" s="2091">
        <v>812.942</v>
      </c>
      <c r="D35" s="2092">
        <f>337200+279000</f>
        <v>616200</v>
      </c>
      <c r="E35" s="2093">
        <f t="shared" si="3"/>
        <v>1397131</v>
      </c>
      <c r="F35" s="2116">
        <f>J35+M35</f>
        <v>838234</v>
      </c>
      <c r="G35" s="2095">
        <f t="shared" si="2"/>
        <v>59.9968077438694</v>
      </c>
      <c r="H35" s="2177"/>
      <c r="I35" s="2097">
        <v>501090</v>
      </c>
      <c r="J35" s="2097">
        <v>367307</v>
      </c>
      <c r="K35" s="2098">
        <f t="shared" si="4"/>
        <v>73.30160250653576</v>
      </c>
      <c r="L35" s="2097">
        <v>896041</v>
      </c>
      <c r="M35" s="2097">
        <v>470927</v>
      </c>
      <c r="N35" s="2100">
        <f>M35/L35*100</f>
        <v>52.55641203918125</v>
      </c>
    </row>
    <row r="36" spans="1:14" s="2115" customFormat="1" ht="13.5" customHeight="1">
      <c r="A36" s="2106" t="s">
        <v>145</v>
      </c>
      <c r="B36" s="2107" t="s">
        <v>146</v>
      </c>
      <c r="C36" s="2108"/>
      <c r="D36" s="2135">
        <f>D37</f>
        <v>40988</v>
      </c>
      <c r="E36" s="2178">
        <f>I36+L36</f>
        <v>37557</v>
      </c>
      <c r="F36" s="2141">
        <f>J36+M36</f>
        <v>37560</v>
      </c>
      <c r="G36" s="2110">
        <f t="shared" si="2"/>
        <v>100.00798785845515</v>
      </c>
      <c r="H36" s="2142">
        <f>F36/F64*100</f>
        <v>0.02491471601830574</v>
      </c>
      <c r="I36" s="2111">
        <f>SUM(I37:I38)</f>
        <v>37557</v>
      </c>
      <c r="J36" s="2111">
        <f>SUM(J37:J38)</f>
        <v>37560</v>
      </c>
      <c r="K36" s="2120">
        <f t="shared" si="4"/>
        <v>100.00798785845515</v>
      </c>
      <c r="L36" s="2113"/>
      <c r="M36" s="2113"/>
      <c r="N36" s="2179"/>
    </row>
    <row r="37" spans="1:14" s="2101" customFormat="1" ht="13.5" customHeight="1">
      <c r="A37" s="2122"/>
      <c r="B37" s="2090" t="s">
        <v>487</v>
      </c>
      <c r="C37" s="2091"/>
      <c r="D37" s="2092">
        <v>40988</v>
      </c>
      <c r="E37" s="2093"/>
      <c r="F37" s="2094"/>
      <c r="G37" s="2095"/>
      <c r="H37" s="2096"/>
      <c r="I37" s="2097"/>
      <c r="J37" s="2097"/>
      <c r="K37" s="2098"/>
      <c r="L37" s="2097"/>
      <c r="M37" s="2097"/>
      <c r="N37" s="2105"/>
    </row>
    <row r="38" spans="1:14" s="2101" customFormat="1" ht="22.5" customHeight="1">
      <c r="A38" s="2180"/>
      <c r="B38" s="2103" t="s">
        <v>492</v>
      </c>
      <c r="C38" s="2091"/>
      <c r="D38" s="2092"/>
      <c r="E38" s="2093">
        <f>I38+L38</f>
        <v>37557</v>
      </c>
      <c r="F38" s="2094">
        <f>J38+M38</f>
        <v>37560</v>
      </c>
      <c r="G38" s="2095">
        <f t="shared" si="2"/>
        <v>100.00798785845515</v>
      </c>
      <c r="H38" s="2096"/>
      <c r="I38" s="2097">
        <v>37557</v>
      </c>
      <c r="J38" s="2097">
        <v>37560</v>
      </c>
      <c r="K38" s="2098">
        <f t="shared" si="4"/>
        <v>100.00798785845515</v>
      </c>
      <c r="L38" s="2097"/>
      <c r="M38" s="2097"/>
      <c r="N38" s="2105"/>
    </row>
    <row r="39" spans="1:14" s="2139" customFormat="1" ht="13.5" customHeight="1">
      <c r="A39" s="2106" t="s">
        <v>147</v>
      </c>
      <c r="B39" s="2133" t="s">
        <v>148</v>
      </c>
      <c r="C39" s="2134">
        <f>C40+C41+C42</f>
        <v>619.337</v>
      </c>
      <c r="D39" s="2135">
        <f>SUM(D40:D41)</f>
        <v>7000</v>
      </c>
      <c r="E39" s="2136">
        <f t="shared" si="3"/>
        <v>7000</v>
      </c>
      <c r="F39" s="2141">
        <f>SUM(F40:F41)</f>
        <v>17508</v>
      </c>
      <c r="G39" s="2110">
        <f t="shared" si="2"/>
        <v>250.11428571428573</v>
      </c>
      <c r="H39" s="2142">
        <f>F39/F64*100</f>
        <v>0.011613600853261364</v>
      </c>
      <c r="I39" s="2111"/>
      <c r="J39" s="2111">
        <f>SUM(J40:J41)</f>
        <v>14010</v>
      </c>
      <c r="K39" s="2120"/>
      <c r="L39" s="2111">
        <f>SUM(L40:L41)</f>
        <v>7000</v>
      </c>
      <c r="M39" s="2111">
        <f>SUM(M40:M41)</f>
        <v>3498</v>
      </c>
      <c r="N39" s="2085">
        <f>M39/L39*100</f>
        <v>49.971428571428575</v>
      </c>
    </row>
    <row r="40" spans="1:14" s="2132" customFormat="1" ht="12" customHeight="1">
      <c r="A40" s="2122"/>
      <c r="B40" s="2090" t="s">
        <v>487</v>
      </c>
      <c r="C40" s="2091">
        <v>155.138</v>
      </c>
      <c r="D40" s="2092"/>
      <c r="E40" s="2093"/>
      <c r="F40" s="2094">
        <f>J40+M40</f>
        <v>14010</v>
      </c>
      <c r="G40" s="2095"/>
      <c r="H40" s="2177"/>
      <c r="I40" s="2097"/>
      <c r="J40" s="2097">
        <v>14010</v>
      </c>
      <c r="K40" s="2098"/>
      <c r="L40" s="2097"/>
      <c r="M40" s="2097"/>
      <c r="N40" s="2098"/>
    </row>
    <row r="41" spans="1:14" s="2132" customFormat="1" ht="12" customHeight="1">
      <c r="A41" s="2123"/>
      <c r="B41" s="2124" t="s">
        <v>489</v>
      </c>
      <c r="C41" s="2125">
        <v>461.833</v>
      </c>
      <c r="D41" s="2126">
        <v>7000</v>
      </c>
      <c r="E41" s="2127">
        <f>I41+L41</f>
        <v>7000</v>
      </c>
      <c r="F41" s="2116">
        <f>J41+M41</f>
        <v>3498</v>
      </c>
      <c r="G41" s="2117">
        <f t="shared" si="2"/>
        <v>49.971428571428575</v>
      </c>
      <c r="H41" s="2096"/>
      <c r="I41" s="2129"/>
      <c r="J41" s="2129"/>
      <c r="K41" s="2165"/>
      <c r="L41" s="2129">
        <v>7000</v>
      </c>
      <c r="M41" s="2129">
        <v>3498</v>
      </c>
      <c r="N41" s="2100">
        <f>M41/L41*100</f>
        <v>49.971428571428575</v>
      </c>
    </row>
    <row r="42" spans="1:14" s="186" customFormat="1" ht="17.25" customHeight="1" hidden="1">
      <c r="A42" s="2181"/>
      <c r="B42" s="155" t="s">
        <v>128</v>
      </c>
      <c r="C42" s="2182">
        <v>2.366</v>
      </c>
      <c r="D42" s="2183"/>
      <c r="E42" s="2176"/>
      <c r="F42" s="2171"/>
      <c r="G42" s="2082" t="e">
        <f t="shared" si="2"/>
        <v>#DIV/0!</v>
      </c>
      <c r="H42" s="2149"/>
      <c r="I42" s="2184"/>
      <c r="J42" s="2184"/>
      <c r="K42" s="2185"/>
      <c r="L42" s="2184"/>
      <c r="M42" s="2184"/>
      <c r="N42" s="2185"/>
    </row>
    <row r="43" spans="1:14" s="2192" customFormat="1" ht="12.75" customHeight="1">
      <c r="A43" s="2186" t="s">
        <v>149</v>
      </c>
      <c r="B43" s="2187" t="s">
        <v>150</v>
      </c>
      <c r="C43" s="2188"/>
      <c r="D43" s="2135">
        <f>SUM(D44:D46)</f>
        <v>29935300</v>
      </c>
      <c r="E43" s="2189">
        <f>SUM(E44:E46)</f>
        <v>36274676</v>
      </c>
      <c r="F43" s="2109">
        <f>SUM(F44:F46)</f>
        <v>17878559</v>
      </c>
      <c r="G43" s="2110">
        <f t="shared" si="2"/>
        <v>49.286612511714786</v>
      </c>
      <c r="H43" s="2142">
        <f>F43/F64*100</f>
        <v>11.859404161382434</v>
      </c>
      <c r="I43" s="2190">
        <f>SUM(I44:I46)</f>
        <v>36198476</v>
      </c>
      <c r="J43" s="2190">
        <f>SUM(J44:J46)</f>
        <v>17793338</v>
      </c>
      <c r="K43" s="2120">
        <f>J43/I43*100</f>
        <v>49.15493679899673</v>
      </c>
      <c r="L43" s="2111">
        <f>SUM(L44:L45)</f>
        <v>76200</v>
      </c>
      <c r="M43" s="2111">
        <f>SUM(M44:M45)</f>
        <v>85221</v>
      </c>
      <c r="N43" s="2191">
        <f>M43/L43*100</f>
        <v>111.83858267716535</v>
      </c>
    </row>
    <row r="44" spans="1:14" s="186" customFormat="1" ht="13.5" customHeight="1">
      <c r="A44" s="2122"/>
      <c r="B44" s="2090" t="s">
        <v>487</v>
      </c>
      <c r="C44" s="2091"/>
      <c r="D44" s="2092">
        <v>3390300</v>
      </c>
      <c r="E44" s="2093">
        <f aca="true" t="shared" si="5" ref="E44:F46">I44+L44</f>
        <v>4592951</v>
      </c>
      <c r="F44" s="2094">
        <f t="shared" si="5"/>
        <v>2688887</v>
      </c>
      <c r="G44" s="2095">
        <f t="shared" si="2"/>
        <v>58.54377719248475</v>
      </c>
      <c r="H44" s="2096"/>
      <c r="I44" s="2097">
        <v>4592951</v>
      </c>
      <c r="J44" s="2097">
        <v>2675979</v>
      </c>
      <c r="K44" s="2098">
        <f>J44/I44*100</f>
        <v>58.26273783456431</v>
      </c>
      <c r="L44" s="2097"/>
      <c r="M44" s="2097">
        <f>12908</f>
        <v>12908</v>
      </c>
      <c r="N44" s="2100"/>
    </row>
    <row r="45" spans="1:14" s="186" customFormat="1" ht="20.25" customHeight="1">
      <c r="A45" s="2122"/>
      <c r="B45" s="2193" t="s">
        <v>492</v>
      </c>
      <c r="C45" s="2091"/>
      <c r="D45" s="2092"/>
      <c r="E45" s="2093">
        <f>I45+L45</f>
        <v>76200</v>
      </c>
      <c r="F45" s="2094">
        <f>J45+M45</f>
        <v>72313</v>
      </c>
      <c r="G45" s="2095">
        <f>F45/E45*100</f>
        <v>94.89895013123359</v>
      </c>
      <c r="H45" s="2096"/>
      <c r="I45" s="2097"/>
      <c r="J45" s="2097"/>
      <c r="K45" s="2098"/>
      <c r="L45" s="2097">
        <v>76200</v>
      </c>
      <c r="M45" s="2097">
        <v>72313</v>
      </c>
      <c r="N45" s="2100">
        <f>M45/L45*100</f>
        <v>94.89895013123359</v>
      </c>
    </row>
    <row r="46" spans="1:14" s="186" customFormat="1" ht="13.5" customHeight="1">
      <c r="A46" s="2123"/>
      <c r="B46" s="2124" t="s">
        <v>489</v>
      </c>
      <c r="C46" s="2125"/>
      <c r="D46" s="2126">
        <v>26545000</v>
      </c>
      <c r="E46" s="2127">
        <f t="shared" si="5"/>
        <v>31605525</v>
      </c>
      <c r="F46" s="2116">
        <f t="shared" si="5"/>
        <v>15117359</v>
      </c>
      <c r="G46" s="2117">
        <f t="shared" si="2"/>
        <v>47.83138074751171</v>
      </c>
      <c r="H46" s="2128"/>
      <c r="I46" s="2129">
        <v>31605525</v>
      </c>
      <c r="J46" s="2129">
        <v>15117359</v>
      </c>
      <c r="K46" s="2165">
        <f>J46/I46*100</f>
        <v>47.83138074751171</v>
      </c>
      <c r="L46" s="2129"/>
      <c r="M46" s="2129"/>
      <c r="N46" s="2194"/>
    </row>
    <row r="47" spans="1:14" s="2139" customFormat="1" ht="36.75" customHeight="1">
      <c r="A47" s="2195" t="s">
        <v>151</v>
      </c>
      <c r="B47" s="2196" t="s">
        <v>152</v>
      </c>
      <c r="C47" s="2197">
        <f>SUM(C48:C50)</f>
        <v>4641.2609999999995</v>
      </c>
      <c r="D47" s="2198">
        <f>SUM(D48:D49)</f>
        <v>173200</v>
      </c>
      <c r="E47" s="2199">
        <f>I47+L47</f>
        <v>192743</v>
      </c>
      <c r="F47" s="2137">
        <f>SUM(F48:F49)</f>
        <v>103807</v>
      </c>
      <c r="G47" s="2148">
        <f t="shared" si="2"/>
        <v>53.85772764769668</v>
      </c>
      <c r="H47" s="2200">
        <f>F47/F64*100</f>
        <v>0.06885841122769605</v>
      </c>
      <c r="I47" s="2190">
        <f>SUM(I48:I49)</f>
        <v>8700</v>
      </c>
      <c r="J47" s="2190">
        <f>SUM(J48:J49)</f>
        <v>11518</v>
      </c>
      <c r="K47" s="2201">
        <f>J47/I47*100</f>
        <v>132.39080459770113</v>
      </c>
      <c r="L47" s="2190">
        <f>SUM(L48:L49)</f>
        <v>184043</v>
      </c>
      <c r="M47" s="2190">
        <f>SUM(M48:M49)</f>
        <v>92289</v>
      </c>
      <c r="N47" s="2201">
        <f aca="true" t="shared" si="6" ref="N47:N53">M47/L47*100</f>
        <v>50.145346467945</v>
      </c>
    </row>
    <row r="48" spans="1:14" s="2132" customFormat="1" ht="12">
      <c r="A48" s="2122"/>
      <c r="B48" s="2090" t="s">
        <v>487</v>
      </c>
      <c r="C48" s="2202">
        <v>1269.735</v>
      </c>
      <c r="D48" s="2092">
        <v>67200</v>
      </c>
      <c r="E48" s="2093">
        <f>I48+L48</f>
        <v>75900</v>
      </c>
      <c r="F48" s="2094">
        <f>J48+M48</f>
        <v>35518</v>
      </c>
      <c r="G48" s="2095">
        <f t="shared" si="2"/>
        <v>46.79578392621871</v>
      </c>
      <c r="H48" s="2177"/>
      <c r="I48" s="2097">
        <v>8700</v>
      </c>
      <c r="J48" s="2097">
        <v>11518</v>
      </c>
      <c r="K48" s="2098">
        <f>J48/I48*100</f>
        <v>132.39080459770113</v>
      </c>
      <c r="L48" s="2097">
        <v>67200</v>
      </c>
      <c r="M48" s="2097">
        <v>24000</v>
      </c>
      <c r="N48" s="2100">
        <f t="shared" si="6"/>
        <v>35.714285714285715</v>
      </c>
    </row>
    <row r="49" spans="1:14" s="2101" customFormat="1" ht="12">
      <c r="A49" s="2123"/>
      <c r="B49" s="2124" t="s">
        <v>489</v>
      </c>
      <c r="C49" s="2125">
        <v>3371.526</v>
      </c>
      <c r="D49" s="2126">
        <v>106000</v>
      </c>
      <c r="E49" s="2127">
        <f>I49+L49</f>
        <v>116843</v>
      </c>
      <c r="F49" s="2116">
        <f>J49+M49</f>
        <v>68289</v>
      </c>
      <c r="G49" s="2117">
        <f t="shared" si="2"/>
        <v>58.44509298802667</v>
      </c>
      <c r="H49" s="2203"/>
      <c r="I49" s="2129"/>
      <c r="J49" s="2129"/>
      <c r="K49" s="2165"/>
      <c r="L49" s="2129">
        <v>116843</v>
      </c>
      <c r="M49" s="2129">
        <v>68289</v>
      </c>
      <c r="N49" s="2130">
        <f t="shared" si="6"/>
        <v>58.44509298802667</v>
      </c>
    </row>
    <row r="50" spans="1:14" s="2139" customFormat="1" ht="26.25" customHeight="1">
      <c r="A50" s="2195" t="s">
        <v>153</v>
      </c>
      <c r="B50" s="2204" t="s">
        <v>154</v>
      </c>
      <c r="C50" s="2205"/>
      <c r="D50" s="2198">
        <f>D51</f>
        <v>897100</v>
      </c>
      <c r="E50" s="2199">
        <f>SUM(E51:E53)</f>
        <v>1840957</v>
      </c>
      <c r="F50" s="2137">
        <f>SUM(F51:F53)</f>
        <v>1628845</v>
      </c>
      <c r="G50" s="2148">
        <f t="shared" si="2"/>
        <v>88.4781665188269</v>
      </c>
      <c r="H50" s="2200">
        <f>F50/F64*100</f>
        <v>1.0804635413428436</v>
      </c>
      <c r="I50" s="2190">
        <f>SUM(I51)</f>
        <v>474404</v>
      </c>
      <c r="J50" s="2190">
        <f>SUM(J51)</f>
        <v>424527</v>
      </c>
      <c r="K50" s="2201">
        <f>J50/I50*100</f>
        <v>89.48638712995674</v>
      </c>
      <c r="L50" s="2190">
        <f>SUM(L51:L53)</f>
        <v>1366553</v>
      </c>
      <c r="M50" s="2190">
        <f>SUM(M51:M53)</f>
        <v>1204318</v>
      </c>
      <c r="N50" s="2206">
        <f t="shared" si="6"/>
        <v>88.12815895175672</v>
      </c>
    </row>
    <row r="51" spans="1:14" s="2101" customFormat="1" ht="13.5" customHeight="1">
      <c r="A51" s="2122"/>
      <c r="B51" s="2090" t="s">
        <v>487</v>
      </c>
      <c r="C51" s="2091"/>
      <c r="D51" s="2092">
        <f>93000+804100</f>
        <v>897100</v>
      </c>
      <c r="E51" s="2093">
        <f aca="true" t="shared" si="7" ref="E51:F53">I51+L51</f>
        <v>1307733</v>
      </c>
      <c r="F51" s="2094">
        <f t="shared" si="7"/>
        <v>1095622</v>
      </c>
      <c r="G51" s="2095">
        <f t="shared" si="2"/>
        <v>83.78025177922405</v>
      </c>
      <c r="H51" s="2096"/>
      <c r="I51" s="2097">
        <v>474404</v>
      </c>
      <c r="J51" s="2097">
        <v>424527</v>
      </c>
      <c r="K51" s="2098">
        <f>J51/I51*100</f>
        <v>89.48638712995674</v>
      </c>
      <c r="L51" s="2097">
        <f>833329</f>
        <v>833329</v>
      </c>
      <c r="M51" s="2097">
        <f>671095</f>
        <v>671095</v>
      </c>
      <c r="N51" s="2098">
        <f t="shared" si="6"/>
        <v>80.53181876545759</v>
      </c>
    </row>
    <row r="52" spans="1:14" s="187" customFormat="1" ht="15" hidden="1">
      <c r="A52" s="2123"/>
      <c r="B52" s="2124" t="s">
        <v>115</v>
      </c>
      <c r="C52" s="2125"/>
      <c r="D52" s="2126"/>
      <c r="E52" s="2093">
        <f t="shared" si="7"/>
        <v>0</v>
      </c>
      <c r="F52" s="2094">
        <f t="shared" si="7"/>
        <v>0</v>
      </c>
      <c r="G52" s="2095" t="e">
        <f t="shared" si="2"/>
        <v>#DIV/0!</v>
      </c>
      <c r="H52" s="2128"/>
      <c r="I52" s="2129"/>
      <c r="J52" s="2129"/>
      <c r="K52" s="2165"/>
      <c r="L52" s="2129"/>
      <c r="M52" s="2129"/>
      <c r="N52" s="2098" t="e">
        <f t="shared" si="6"/>
        <v>#DIV/0!</v>
      </c>
    </row>
    <row r="53" spans="1:14" s="187" customFormat="1" ht="24">
      <c r="A53" s="2123"/>
      <c r="B53" s="2207" t="s">
        <v>492</v>
      </c>
      <c r="C53" s="2125"/>
      <c r="D53" s="2126"/>
      <c r="E53" s="2127">
        <f t="shared" si="7"/>
        <v>533224</v>
      </c>
      <c r="F53" s="2116">
        <f t="shared" si="7"/>
        <v>533223</v>
      </c>
      <c r="G53" s="2117">
        <f t="shared" si="2"/>
        <v>99.99981246155461</v>
      </c>
      <c r="H53" s="2128"/>
      <c r="I53" s="2129"/>
      <c r="J53" s="2129"/>
      <c r="K53" s="2165"/>
      <c r="L53" s="2129">
        <v>533224</v>
      </c>
      <c r="M53" s="2129">
        <v>533223</v>
      </c>
      <c r="N53" s="2165">
        <f t="shared" si="6"/>
        <v>99.99981246155461</v>
      </c>
    </row>
    <row r="54" spans="1:14" s="2139" customFormat="1" ht="36.75" customHeight="1">
      <c r="A54" s="2195" t="s">
        <v>155</v>
      </c>
      <c r="B54" s="2204" t="s">
        <v>156</v>
      </c>
      <c r="C54" s="2205">
        <f>SUM(C55:C56)</f>
        <v>705.8140000000001</v>
      </c>
      <c r="D54" s="2198">
        <f>D55</f>
        <v>3000</v>
      </c>
      <c r="E54" s="2199">
        <f>I54+L54</f>
        <v>92232</v>
      </c>
      <c r="F54" s="2137">
        <f>SUM(F55:F56)</f>
        <v>98307</v>
      </c>
      <c r="G54" s="2148">
        <f t="shared" si="2"/>
        <v>106.58665105386417</v>
      </c>
      <c r="H54" s="2200">
        <f>F54/F64*100</f>
        <v>0.06521009019200165</v>
      </c>
      <c r="I54" s="2190">
        <f>SUM(I55:I56)</f>
        <v>92232</v>
      </c>
      <c r="J54" s="2190">
        <f>SUM(J55:J56)</f>
        <v>98307</v>
      </c>
      <c r="K54" s="2201">
        <f>J54/I54*100</f>
        <v>106.58665105386417</v>
      </c>
      <c r="L54" s="2190"/>
      <c r="M54" s="2190"/>
      <c r="N54" s="2201"/>
    </row>
    <row r="55" spans="1:14" s="2101" customFormat="1" ht="12" customHeight="1">
      <c r="A55" s="2122"/>
      <c r="B55" s="2090" t="s">
        <v>487</v>
      </c>
      <c r="C55" s="2091">
        <v>70.714</v>
      </c>
      <c r="D55" s="2092">
        <v>3000</v>
      </c>
      <c r="E55" s="2093">
        <f>I55+L55</f>
        <v>92232</v>
      </c>
      <c r="F55" s="2116">
        <f>J55+M55</f>
        <v>98307</v>
      </c>
      <c r="G55" s="2095">
        <f t="shared" si="2"/>
        <v>106.58665105386417</v>
      </c>
      <c r="H55" s="2208"/>
      <c r="I55" s="2097">
        <v>92232</v>
      </c>
      <c r="J55" s="2097">
        <v>98307</v>
      </c>
      <c r="K55" s="2100">
        <f>J55/I55*100</f>
        <v>106.58665105386417</v>
      </c>
      <c r="L55" s="2097"/>
      <c r="M55" s="2097"/>
      <c r="N55" s="2098"/>
    </row>
    <row r="56" spans="1:14" s="2132" customFormat="1" ht="12" customHeight="1" hidden="1">
      <c r="A56" s="2209"/>
      <c r="B56" s="2210" t="s">
        <v>115</v>
      </c>
      <c r="C56" s="2211">
        <v>635.1</v>
      </c>
      <c r="D56" s="2212">
        <v>553597</v>
      </c>
      <c r="E56" s="2213"/>
      <c r="F56" s="2214"/>
      <c r="G56" s="2117"/>
      <c r="H56" s="2215"/>
      <c r="I56" s="2216"/>
      <c r="J56" s="2216"/>
      <c r="K56" s="2217"/>
      <c r="L56" s="2216"/>
      <c r="M56" s="2216"/>
      <c r="N56" s="2218"/>
    </row>
    <row r="57" spans="1:14" s="2139" customFormat="1" ht="38.25" customHeight="1">
      <c r="A57" s="2106" t="s">
        <v>157</v>
      </c>
      <c r="B57" s="2133" t="s">
        <v>158</v>
      </c>
      <c r="C57" s="2134"/>
      <c r="D57" s="2135">
        <f>SUM(D58:D60)</f>
        <v>1126640</v>
      </c>
      <c r="E57" s="2178">
        <f>SUM(E58:E60)</f>
        <v>1069845</v>
      </c>
      <c r="F57" s="2141">
        <f>SUM(F58:F60)</f>
        <v>12000</v>
      </c>
      <c r="G57" s="2110">
        <f t="shared" si="2"/>
        <v>1.12165781024354</v>
      </c>
      <c r="H57" s="2142">
        <f>F57/F64*100</f>
        <v>0.007959973168787774</v>
      </c>
      <c r="I57" s="2111">
        <f>SUM(I58:I60)</f>
        <v>4000</v>
      </c>
      <c r="J57" s="2111">
        <f>SUM(J58:J60)</f>
        <v>4000</v>
      </c>
      <c r="K57" s="2120">
        <f>J57/I57*100</f>
        <v>100</v>
      </c>
      <c r="L57" s="2111">
        <f>SUM(L58:L59)</f>
        <v>1065845</v>
      </c>
      <c r="M57" s="2111">
        <f>SUM(M58:M59)</f>
        <v>8000</v>
      </c>
      <c r="N57" s="2120">
        <f>M57/L57*100</f>
        <v>0.7505781797540918</v>
      </c>
    </row>
    <row r="58" spans="1:14" s="2101" customFormat="1" ht="12" customHeight="1">
      <c r="A58" s="2122"/>
      <c r="B58" s="2090" t="s">
        <v>487</v>
      </c>
      <c r="C58" s="2091"/>
      <c r="D58" s="2092">
        <v>1126640</v>
      </c>
      <c r="E58" s="2093">
        <f aca="true" t="shared" si="8" ref="E58:E63">I58+L58</f>
        <v>1045845</v>
      </c>
      <c r="F58" s="2099"/>
      <c r="G58" s="2095">
        <f>F58/E58*100</f>
        <v>0</v>
      </c>
      <c r="H58" s="2208"/>
      <c r="I58" s="2097"/>
      <c r="J58" s="2097"/>
      <c r="K58" s="2098"/>
      <c r="L58" s="2097">
        <f>1045845</f>
        <v>1045845</v>
      </c>
      <c r="M58" s="2097"/>
      <c r="N58" s="2100"/>
    </row>
    <row r="59" spans="1:14" s="2101" customFormat="1" ht="22.5" customHeight="1">
      <c r="A59" s="2122"/>
      <c r="B59" s="2193" t="s">
        <v>492</v>
      </c>
      <c r="C59" s="2091"/>
      <c r="D59" s="2219"/>
      <c r="E59" s="2093">
        <f t="shared" si="8"/>
        <v>20000</v>
      </c>
      <c r="F59" s="2094">
        <f>J59+M59</f>
        <v>8000</v>
      </c>
      <c r="G59" s="2095">
        <f>F59/E59*100</f>
        <v>40</v>
      </c>
      <c r="H59" s="2096"/>
      <c r="I59" s="2097"/>
      <c r="J59" s="2097"/>
      <c r="K59" s="2105"/>
      <c r="L59" s="2097">
        <v>20000</v>
      </c>
      <c r="M59" s="2097">
        <v>8000</v>
      </c>
      <c r="N59" s="2100">
        <f>M59/L59*100</f>
        <v>40</v>
      </c>
    </row>
    <row r="60" spans="1:14" s="2132" customFormat="1" ht="13.5" customHeight="1">
      <c r="A60" s="2122"/>
      <c r="B60" s="2090" t="s">
        <v>489</v>
      </c>
      <c r="C60" s="2091"/>
      <c r="D60" s="2219"/>
      <c r="E60" s="2093">
        <f t="shared" si="8"/>
        <v>4000</v>
      </c>
      <c r="F60" s="2116">
        <f>J60+M60</f>
        <v>4000</v>
      </c>
      <c r="G60" s="2095">
        <f t="shared" si="2"/>
        <v>100</v>
      </c>
      <c r="H60" s="2096"/>
      <c r="I60" s="2097">
        <v>4000</v>
      </c>
      <c r="J60" s="2097">
        <v>4000</v>
      </c>
      <c r="K60" s="2100">
        <f>J60/I60*100</f>
        <v>100</v>
      </c>
      <c r="L60" s="2097"/>
      <c r="M60" s="2097"/>
      <c r="N60" s="2098"/>
    </row>
    <row r="61" spans="1:14" s="2139" customFormat="1" ht="24.75" customHeight="1">
      <c r="A61" s="2220" t="s">
        <v>161</v>
      </c>
      <c r="B61" s="2221" t="s">
        <v>162</v>
      </c>
      <c r="C61" s="2134"/>
      <c r="D61" s="2222"/>
      <c r="E61" s="2136">
        <f t="shared" si="8"/>
        <v>1542964</v>
      </c>
      <c r="F61" s="2137">
        <f>F62</f>
        <v>119930</v>
      </c>
      <c r="G61" s="2110">
        <f t="shared" si="2"/>
        <v>7.772702409129442</v>
      </c>
      <c r="H61" s="2142">
        <f>F61/F64*100</f>
        <v>0.07955329851105981</v>
      </c>
      <c r="I61" s="2111">
        <f>SUM(I62)</f>
        <v>1542964</v>
      </c>
      <c r="J61" s="2111">
        <f>SUM(J62:J63)</f>
        <v>119930</v>
      </c>
      <c r="K61" s="2120">
        <f>J61/I61*100</f>
        <v>7.772702409129442</v>
      </c>
      <c r="L61" s="2111"/>
      <c r="M61" s="2111"/>
      <c r="N61" s="2120"/>
    </row>
    <row r="62" spans="1:14" s="2101" customFormat="1" ht="13.5" customHeight="1" thickBot="1">
      <c r="A62" s="2122"/>
      <c r="B62" s="2090" t="s">
        <v>487</v>
      </c>
      <c r="C62" s="2091"/>
      <c r="D62" s="2219"/>
      <c r="E62" s="2093">
        <f t="shared" si="8"/>
        <v>1542964</v>
      </c>
      <c r="F62" s="2223">
        <f>J62+M62</f>
        <v>119930</v>
      </c>
      <c r="G62" s="2224">
        <f t="shared" si="2"/>
        <v>7.772702409129442</v>
      </c>
      <c r="H62" s="2225"/>
      <c r="I62" s="2097">
        <v>1542964</v>
      </c>
      <c r="J62" s="2097">
        <v>119930</v>
      </c>
      <c r="K62" s="2100">
        <f>J62/I62*100</f>
        <v>7.772702409129442</v>
      </c>
      <c r="L62" s="2093"/>
      <c r="M62" s="2099"/>
      <c r="N62" s="2098"/>
    </row>
    <row r="63" spans="1:14" s="187" customFormat="1" ht="16.5" hidden="1" thickBot="1" thickTop="1">
      <c r="A63" s="2167"/>
      <c r="B63" s="177" t="s">
        <v>115</v>
      </c>
      <c r="C63" s="2168"/>
      <c r="D63" s="2226"/>
      <c r="E63" s="2170">
        <f t="shared" si="8"/>
        <v>0</v>
      </c>
      <c r="F63" s="2171"/>
      <c r="G63" s="2172" t="e">
        <f t="shared" si="2"/>
        <v>#DIV/0!</v>
      </c>
      <c r="H63" s="2173"/>
      <c r="I63" s="2174"/>
      <c r="J63" s="2174"/>
      <c r="K63" s="2175"/>
      <c r="L63" s="2170"/>
      <c r="M63" s="2227"/>
      <c r="N63" s="2175"/>
    </row>
    <row r="64" spans="1:14" s="2238" customFormat="1" ht="20.25" customHeight="1" thickBot="1" thickTop="1">
      <c r="A64" s="2228"/>
      <c r="B64" s="2229" t="s">
        <v>102</v>
      </c>
      <c r="C64" s="2230" t="e">
        <f>#REF!+#REF!+C12+C15+C18+C22+C28+C25+C31+C34+C39+C47+C50+C54+C57+C61+C7</f>
        <v>#REF!</v>
      </c>
      <c r="D64" s="2231">
        <f>D7+D10+D12+D15+D18+D22+D25+D28+D31+D34+D36+D39+D43+D47+D50+D54+D57+D61</f>
        <v>267028596</v>
      </c>
      <c r="E64" s="2232">
        <f>E7+E10+E12+E15+E18+E22+E25+E28+E31+E34+E36+E39+E43+E47+E50+E54+E57+E61</f>
        <v>281438490</v>
      </c>
      <c r="F64" s="2233">
        <f>F7+F10+F12+F15+F18+F22+F25+F28+F31+F34+F36+F39+F43+F47+F50+F54+F57+F61</f>
        <v>150754277</v>
      </c>
      <c r="G64" s="2234">
        <f t="shared" si="2"/>
        <v>53.56562174562548</v>
      </c>
      <c r="H64" s="2235">
        <v>100</v>
      </c>
      <c r="I64" s="2231">
        <f>I7+I10+I12+I15+I18+I22+I25+I28+I31+I34+I36+I39+I43+I47+I50+I54+I57+I61</f>
        <v>195872773</v>
      </c>
      <c r="J64" s="2236">
        <f>J7+J10+J12+J15+J18+J22+J25+J28+J31+J34+J36+J39+J43+J47+J50+J54+J57+J61</f>
        <v>103547315</v>
      </c>
      <c r="K64" s="2237">
        <f>J64/I64*100</f>
        <v>52.86457806976572</v>
      </c>
      <c r="L64" s="2231">
        <f>L7+L10+L12+L15+L18+L22+L25+L28+L31+L34+L36+L39+L43+L47+L50+L54+L57+L61</f>
        <v>85565717</v>
      </c>
      <c r="M64" s="2236">
        <f>M7+M10+M12+M15+M18+M22+M25+M28+M31+M34+M36+M39+M43+M47+M50+M54+M57+M61</f>
        <v>47206962</v>
      </c>
      <c r="N64" s="2237">
        <f>M64/L64*100</f>
        <v>55.170415973958356</v>
      </c>
    </row>
    <row r="65" spans="1:14" s="2246" customFormat="1" ht="14.25" customHeight="1" thickTop="1">
      <c r="A65" s="2979" t="s">
        <v>430</v>
      </c>
      <c r="B65" s="2980"/>
      <c r="C65" s="2239" t="e">
        <f>#REF!+#REF!+C13+C16+C19+C23+C29+C26+C32+C35+C40+C48+C51+C55+C58+C62+C8</f>
        <v>#REF!</v>
      </c>
      <c r="D65" s="2199">
        <f>D8+D11+D13+D16+D19+D26+D29+D32+D35+D40+D37+D44+D48+D51+D55+D58+D62</f>
        <v>233843071</v>
      </c>
      <c r="E65" s="2240">
        <f>E8+E11+E13+E16+E19+E26+E29+E32+E35+E40+E37+E44+E48+E51+E55+E58+E62</f>
        <v>242343923</v>
      </c>
      <c r="F65" s="2241">
        <f>F8+F11+F13+F16+F19+F26+F29+F32+F35+F40+F37+F44+F48+F51+F55+F58+F62</f>
        <v>130925079</v>
      </c>
      <c r="G65" s="2148">
        <f t="shared" si="2"/>
        <v>54.024494354661414</v>
      </c>
      <c r="H65" s="2242"/>
      <c r="I65" s="2240">
        <f>I8+I11+I13+I16+I19+I26+I29+I32+I35+I40+I37+I44+I48+I51+I55+I58+I62</f>
        <v>163459273</v>
      </c>
      <c r="J65" s="2243">
        <f>J8+J11+J13+J16+J19+J26+J29+J32+J35+J40+J37+J44+J48+J51+J55+J58+J62</f>
        <v>87976304</v>
      </c>
      <c r="K65" s="2244">
        <f>J65/I65*100</f>
        <v>53.821543669780056</v>
      </c>
      <c r="L65" s="2245">
        <f>L8+L11+L13+L16+L19+L26+L29+L32+L35+L40+L37+L44+L48+L51+L55+L58+L62</f>
        <v>78884650</v>
      </c>
      <c r="M65" s="2241">
        <f>M8+M11+M13+M16+M19+M26+M29+M32+M35+M40+M37+M44+M48+M51+M55+M58+M62</f>
        <v>42948775</v>
      </c>
      <c r="N65" s="2244">
        <f>M65/L65*100</f>
        <v>54.4450346170009</v>
      </c>
    </row>
    <row r="66" spans="1:14" s="2246" customFormat="1" ht="43.5" customHeight="1">
      <c r="A66" s="2981" t="s">
        <v>431</v>
      </c>
      <c r="B66" s="2982"/>
      <c r="C66" s="2247"/>
      <c r="D66" s="2248"/>
      <c r="E66" s="2249">
        <f>E9+E38+E45+E53+E59</f>
        <v>683649</v>
      </c>
      <c r="F66" s="2250">
        <f>F9+F38+F45+F53+F59</f>
        <v>655271</v>
      </c>
      <c r="G66" s="2251">
        <f t="shared" si="2"/>
        <v>95.8490394924881</v>
      </c>
      <c r="H66" s="2242"/>
      <c r="I66" s="2248">
        <f>I9+I38+I45+I53+I59</f>
        <v>54225</v>
      </c>
      <c r="J66" s="2252">
        <f>J9+J38+J45+J53+J59</f>
        <v>41735</v>
      </c>
      <c r="K66" s="2253">
        <f>J66/I66*100</f>
        <v>76.9663439372983</v>
      </c>
      <c r="L66" s="2248">
        <f>L9+L38+L45+L53+L59</f>
        <v>629424</v>
      </c>
      <c r="M66" s="2252">
        <f>M9+M38+M45+M53+M59</f>
        <v>613536</v>
      </c>
      <c r="N66" s="2253">
        <f>M66/L66*100</f>
        <v>97.47578738656296</v>
      </c>
    </row>
    <row r="67" spans="1:14" s="2246" customFormat="1" ht="41.25" customHeight="1">
      <c r="A67" s="2981" t="s">
        <v>432</v>
      </c>
      <c r="B67" s="2982"/>
      <c r="C67" s="2247"/>
      <c r="D67" s="2248">
        <f>D20</f>
        <v>8500</v>
      </c>
      <c r="E67" s="2249">
        <f>E20</f>
        <v>8500</v>
      </c>
      <c r="F67" s="2250">
        <f>F20</f>
        <v>8500</v>
      </c>
      <c r="G67" s="2251">
        <f t="shared" si="2"/>
        <v>100</v>
      </c>
      <c r="H67" s="2242"/>
      <c r="I67" s="2248"/>
      <c r="J67" s="2252"/>
      <c r="K67" s="2253"/>
      <c r="L67" s="2248">
        <f>L20</f>
        <v>8500</v>
      </c>
      <c r="M67" s="2252">
        <f>M20</f>
        <v>8500</v>
      </c>
      <c r="N67" s="2253">
        <f>M67/L67*100</f>
        <v>100</v>
      </c>
    </row>
    <row r="68" spans="1:14" s="2246" customFormat="1" ht="15.75" customHeight="1" thickBot="1">
      <c r="A68" s="2975" t="s">
        <v>433</v>
      </c>
      <c r="B68" s="2976"/>
      <c r="C68" s="2254" t="e">
        <f>#REF!+#REF!+C14+C17+C21+C24+C30+C27+C33+#REF!+C41+C49+C52+C56+C60+C63</f>
        <v>#REF!</v>
      </c>
      <c r="D68" s="2255">
        <f>D14+D17+D21+D24+D27+D41+D46+D49+D60</f>
        <v>33177025</v>
      </c>
      <c r="E68" s="2256">
        <f>I68+L68</f>
        <v>38402418</v>
      </c>
      <c r="F68" s="2257">
        <f>J68+M68</f>
        <v>19165427</v>
      </c>
      <c r="G68" s="2258">
        <f t="shared" si="2"/>
        <v>49.906823575536315</v>
      </c>
      <c r="H68" s="2259"/>
      <c r="I68" s="2256">
        <f>I21+I24+I27+I46+I60</f>
        <v>32359275</v>
      </c>
      <c r="J68" s="2260">
        <f>J21+J24+J27+J46+J60</f>
        <v>15529276</v>
      </c>
      <c r="K68" s="2261">
        <f>J68/I68*100</f>
        <v>47.99018519419857</v>
      </c>
      <c r="L68" s="2256">
        <f>L14+L17+L21+L27+L41+L46+L49</f>
        <v>6043143</v>
      </c>
      <c r="M68" s="2260">
        <f>M14+M17+M21+M27+M41+M46+M49</f>
        <v>3636151</v>
      </c>
      <c r="N68" s="2261">
        <f>M68/L68*100</f>
        <v>60.169865250582355</v>
      </c>
    </row>
    <row r="69" spans="1:10" ht="13.5" thickTop="1">
      <c r="A69" s="82"/>
      <c r="E69" s="2262"/>
      <c r="F69" s="2262"/>
      <c r="I69" s="2262"/>
      <c r="J69" s="2262"/>
    </row>
    <row r="71" ht="12.75">
      <c r="A71" s="82"/>
    </row>
    <row r="72" ht="12.75">
      <c r="A72" s="82"/>
    </row>
    <row r="73" ht="12.75">
      <c r="A73" s="82"/>
    </row>
    <row r="74" ht="12.75">
      <c r="A74" s="82"/>
    </row>
    <row r="75" ht="12.75">
      <c r="A75" s="82"/>
    </row>
    <row r="76" ht="12.75">
      <c r="A76" s="82"/>
    </row>
    <row r="77" ht="12.75">
      <c r="A77" s="82"/>
    </row>
    <row r="78" ht="12.75">
      <c r="A78" s="82"/>
    </row>
    <row r="79" ht="12.75">
      <c r="A79" s="82"/>
    </row>
    <row r="80" ht="12.75">
      <c r="A80" s="82"/>
    </row>
    <row r="81" ht="12.75">
      <c r="A81" s="82"/>
    </row>
    <row r="82" ht="12.75">
      <c r="A82" s="82"/>
    </row>
    <row r="83" ht="12.75">
      <c r="A83" s="82"/>
    </row>
    <row r="84" ht="12.75">
      <c r="A84" s="82"/>
    </row>
    <row r="85" ht="12.75">
      <c r="A85" s="82"/>
    </row>
    <row r="86" ht="12.75">
      <c r="A86" s="82"/>
    </row>
    <row r="87" ht="12.75">
      <c r="A87" s="82"/>
    </row>
    <row r="88" ht="12.75">
      <c r="A88" s="82"/>
    </row>
    <row r="89" ht="12.75">
      <c r="A89" s="82"/>
    </row>
    <row r="90" ht="12.75">
      <c r="A90" s="82"/>
    </row>
    <row r="91" ht="12.75">
      <c r="A91" s="82"/>
    </row>
    <row r="92" ht="12.75">
      <c r="A92" s="82"/>
    </row>
    <row r="93" ht="12.75">
      <c r="A93" s="82"/>
    </row>
    <row r="94" ht="12.75">
      <c r="A94" s="82"/>
    </row>
    <row r="95" ht="12.75">
      <c r="A95" s="82"/>
    </row>
    <row r="96" ht="12.75">
      <c r="A96" s="82"/>
    </row>
    <row r="97" ht="12.75">
      <c r="A97" s="82"/>
    </row>
    <row r="98" ht="12.75">
      <c r="A98" s="82"/>
    </row>
    <row r="99" ht="12.75">
      <c r="A99" s="82"/>
    </row>
    <row r="100" ht="12.75">
      <c r="A100" s="82"/>
    </row>
    <row r="101" ht="12.75">
      <c r="A101" s="82"/>
    </row>
    <row r="102" ht="12.75">
      <c r="A102" s="82"/>
    </row>
    <row r="103" ht="12.75">
      <c r="A103" s="82"/>
    </row>
    <row r="104" ht="12.75">
      <c r="A104" s="82"/>
    </row>
    <row r="105" ht="12.75">
      <c r="A105" s="82"/>
    </row>
    <row r="106" ht="12.75">
      <c r="A106" s="82"/>
    </row>
    <row r="107" ht="12.75">
      <c r="A107" s="82"/>
    </row>
    <row r="108" ht="12.75">
      <c r="A108" s="82"/>
    </row>
    <row r="109" ht="12.75">
      <c r="A109" s="82"/>
    </row>
    <row r="110" ht="12.75">
      <c r="A110" s="82"/>
    </row>
    <row r="111" ht="12.75">
      <c r="A111" s="82"/>
    </row>
    <row r="112" ht="12.75">
      <c r="A112" s="82"/>
    </row>
    <row r="113" ht="12.75">
      <c r="A113" s="82"/>
    </row>
    <row r="114" ht="12.75">
      <c r="A114" s="82"/>
    </row>
    <row r="115" ht="12.75">
      <c r="A115" s="82"/>
    </row>
    <row r="116" ht="12.75">
      <c r="A116" s="82"/>
    </row>
    <row r="117" ht="12.75">
      <c r="A117" s="82"/>
    </row>
    <row r="118" ht="12.75">
      <c r="A118" s="82"/>
    </row>
    <row r="119" ht="12.75">
      <c r="A119" s="82"/>
    </row>
    <row r="120" ht="12.75">
      <c r="A120" s="82"/>
    </row>
    <row r="121" ht="12.75">
      <c r="A121" s="82"/>
    </row>
    <row r="122" ht="12.75">
      <c r="A122" s="82"/>
    </row>
    <row r="123" ht="12.75">
      <c r="A123" s="82"/>
    </row>
    <row r="124" ht="12.75">
      <c r="A124" s="82"/>
    </row>
    <row r="125" ht="12.75">
      <c r="A125" s="82"/>
    </row>
    <row r="126" ht="12.75">
      <c r="A126" s="82"/>
    </row>
    <row r="127" ht="12.75">
      <c r="A127" s="82"/>
    </row>
    <row r="128" ht="12.75">
      <c r="A128" s="82"/>
    </row>
    <row r="129" ht="12.75">
      <c r="A129" s="82"/>
    </row>
    <row r="130" ht="12.75">
      <c r="A130" s="82"/>
    </row>
    <row r="131" ht="12.75">
      <c r="A131" s="82"/>
    </row>
    <row r="132" ht="12.75">
      <c r="A132" s="82"/>
    </row>
    <row r="133" ht="12.75">
      <c r="A133" s="82"/>
    </row>
    <row r="134" ht="12.75">
      <c r="A134" s="82"/>
    </row>
    <row r="135" ht="12.75">
      <c r="A135" s="82"/>
    </row>
    <row r="136" ht="12.75">
      <c r="A136" s="82"/>
    </row>
    <row r="137" ht="12.75">
      <c r="A137" s="82"/>
    </row>
    <row r="138" ht="12.75">
      <c r="A138" s="82"/>
    </row>
    <row r="139" ht="12.75">
      <c r="A139" s="82"/>
    </row>
    <row r="140" ht="12.75">
      <c r="A140" s="82"/>
    </row>
    <row r="141" ht="12.75">
      <c r="A141" s="82"/>
    </row>
    <row r="142" ht="12.75">
      <c r="A142" s="82"/>
    </row>
    <row r="143" ht="12.75">
      <c r="A143" s="82"/>
    </row>
    <row r="144" ht="12.75">
      <c r="A144" s="82"/>
    </row>
    <row r="145" ht="12.75">
      <c r="A145" s="82"/>
    </row>
    <row r="146" ht="12.75">
      <c r="A146" s="82"/>
    </row>
    <row r="147" ht="12.75">
      <c r="A147" s="82"/>
    </row>
    <row r="148" ht="12.75">
      <c r="A148" s="82"/>
    </row>
    <row r="149" ht="12.75">
      <c r="A149" s="82"/>
    </row>
    <row r="150" ht="12.75">
      <c r="A150" s="82"/>
    </row>
    <row r="151" ht="12.75">
      <c r="A151" s="82"/>
    </row>
    <row r="152" ht="12.75">
      <c r="A152" s="82"/>
    </row>
    <row r="153" ht="12.75">
      <c r="A153" s="82"/>
    </row>
    <row r="154" ht="12.75">
      <c r="A154" s="82"/>
    </row>
    <row r="155" ht="12.75">
      <c r="A155" s="82"/>
    </row>
    <row r="156" ht="12.75">
      <c r="A156" s="82"/>
    </row>
    <row r="157" ht="12.75">
      <c r="A157" s="82"/>
    </row>
    <row r="158" ht="12.75">
      <c r="A158" s="82"/>
    </row>
    <row r="159" ht="12.75">
      <c r="A159" s="82"/>
    </row>
    <row r="160" ht="12.75">
      <c r="A160" s="82"/>
    </row>
    <row r="161" ht="12.75">
      <c r="A161" s="82"/>
    </row>
    <row r="162" ht="12.75">
      <c r="A162" s="82"/>
    </row>
    <row r="163" ht="12.75">
      <c r="A163" s="82"/>
    </row>
    <row r="164" ht="12.75">
      <c r="A164" s="82"/>
    </row>
    <row r="165" ht="12.75">
      <c r="A165" s="82"/>
    </row>
    <row r="166" ht="12.75">
      <c r="A166" s="82"/>
    </row>
    <row r="167" ht="12.75">
      <c r="A167" s="82"/>
    </row>
    <row r="168" ht="12.75">
      <c r="A168" s="82"/>
    </row>
    <row r="169" ht="12.75">
      <c r="A169" s="82"/>
    </row>
    <row r="170" ht="12.75">
      <c r="A170" s="82"/>
    </row>
    <row r="171" ht="12.75">
      <c r="A171" s="82"/>
    </row>
    <row r="172" ht="12.75">
      <c r="A172" s="82"/>
    </row>
    <row r="173" ht="12.75">
      <c r="A173" s="82"/>
    </row>
    <row r="174" ht="12.75">
      <c r="A174" s="82"/>
    </row>
    <row r="175" ht="12.75">
      <c r="A175" s="82"/>
    </row>
    <row r="176" ht="12.75">
      <c r="A176" s="82"/>
    </row>
    <row r="177" ht="12.75">
      <c r="A177" s="82"/>
    </row>
    <row r="178" ht="12.75">
      <c r="A178" s="82"/>
    </row>
    <row r="179" ht="12.75">
      <c r="A179" s="82"/>
    </row>
    <row r="180" ht="12.75">
      <c r="A180" s="82"/>
    </row>
    <row r="181" ht="12.75">
      <c r="A181" s="82"/>
    </row>
    <row r="182" ht="12.75">
      <c r="A182" s="82"/>
    </row>
    <row r="183" ht="12.75">
      <c r="A183" s="82"/>
    </row>
    <row r="184" ht="12.75">
      <c r="A184" s="82"/>
    </row>
    <row r="185" ht="12.75">
      <c r="A185" s="82"/>
    </row>
    <row r="186" ht="12.75">
      <c r="A186" s="82"/>
    </row>
    <row r="187" ht="12.75">
      <c r="A187" s="82"/>
    </row>
    <row r="188" ht="12.75">
      <c r="A188" s="82"/>
    </row>
    <row r="189" ht="12.75">
      <c r="A189" s="82"/>
    </row>
    <row r="190" ht="12.75">
      <c r="A190" s="82"/>
    </row>
    <row r="191" ht="12.75">
      <c r="A191" s="82"/>
    </row>
    <row r="192" ht="12.75">
      <c r="A192" s="82"/>
    </row>
    <row r="193" ht="12.75">
      <c r="A193" s="82"/>
    </row>
    <row r="194" ht="12.75">
      <c r="A194" s="82"/>
    </row>
    <row r="195" ht="12.75">
      <c r="A195" s="82"/>
    </row>
    <row r="196" ht="12.75">
      <c r="A196" s="82"/>
    </row>
    <row r="197" ht="12.75">
      <c r="A197" s="82"/>
    </row>
    <row r="198" ht="12.75">
      <c r="A198" s="82"/>
    </row>
    <row r="199" ht="12.75">
      <c r="A199" s="82"/>
    </row>
    <row r="200" ht="12.75">
      <c r="A200" s="82"/>
    </row>
    <row r="201" ht="12.75">
      <c r="A201" s="82"/>
    </row>
    <row r="202" ht="12.75">
      <c r="A202" s="82"/>
    </row>
    <row r="203" ht="12.75">
      <c r="A203" s="82"/>
    </row>
    <row r="204" ht="12.75">
      <c r="A204" s="82"/>
    </row>
    <row r="205" ht="12.75">
      <c r="A205" s="82"/>
    </row>
    <row r="206" ht="12.75">
      <c r="A206" s="82"/>
    </row>
    <row r="207" ht="12.75">
      <c r="A207" s="82"/>
    </row>
    <row r="208" ht="12.75">
      <c r="A208" s="82"/>
    </row>
    <row r="209" ht="12.75">
      <c r="A209" s="82"/>
    </row>
    <row r="210" ht="12.75">
      <c r="A210" s="82"/>
    </row>
    <row r="211" ht="12.75">
      <c r="A211" s="82"/>
    </row>
    <row r="212" ht="12.75">
      <c r="A212" s="82"/>
    </row>
    <row r="213" ht="12.75">
      <c r="A213" s="82"/>
    </row>
    <row r="214" ht="12.75">
      <c r="A214" s="82"/>
    </row>
    <row r="215" ht="12.75">
      <c r="A215" s="82"/>
    </row>
    <row r="216" ht="12.75">
      <c r="A216" s="82"/>
    </row>
    <row r="217" ht="12.75">
      <c r="A217" s="82"/>
    </row>
    <row r="218" ht="12.75">
      <c r="A218" s="82"/>
    </row>
    <row r="219" ht="12.75">
      <c r="A219" s="82"/>
    </row>
    <row r="220" ht="12.75">
      <c r="A220" s="82"/>
    </row>
    <row r="221" ht="12.75">
      <c r="A221" s="82"/>
    </row>
  </sheetData>
  <mergeCells count="4">
    <mergeCell ref="A65:B65"/>
    <mergeCell ref="A66:B66"/>
    <mergeCell ref="A67:B67"/>
    <mergeCell ref="A68:B68"/>
  </mergeCells>
  <printOptions horizontalCentered="1"/>
  <pageMargins left="0" right="0" top="0.984251968503937" bottom="0.5905511811023623" header="0.5118110236220472" footer="0.5118110236220472"/>
  <pageSetup firstPageNumber="7" useFirstPageNumber="1" horizontalDpi="600" verticalDpi="600" orientation="landscape" paperSize="9" scale="90" r:id="rId1"/>
  <headerFooter alignWithMargins="0">
    <oddHeader>&amp;C&amp;"Times New Roman,Normalny"&amp;P</oddHeader>
  </headerFooter>
</worksheet>
</file>

<file path=xl/worksheets/sheet5.xml><?xml version="1.0" encoding="utf-8"?>
<worksheet xmlns="http://schemas.openxmlformats.org/spreadsheetml/2006/main" xmlns:r="http://schemas.openxmlformats.org/officeDocument/2006/relationships">
  <dimension ref="A1:P287"/>
  <sheetViews>
    <sheetView workbookViewId="0" topLeftCell="A72">
      <selection activeCell="I86" sqref="I86"/>
    </sheetView>
  </sheetViews>
  <sheetFormatPr defaultColWidth="9.00390625" defaultRowHeight="12.75"/>
  <cols>
    <col min="1" max="1" width="6.625" style="79" customWidth="1"/>
    <col min="2" max="2" width="25.125" style="79" customWidth="1"/>
    <col min="3" max="3" width="14.125" style="79" customWidth="1"/>
    <col min="4" max="5" width="13.25390625" style="79" customWidth="1"/>
    <col min="6" max="6" width="7.625" style="79" hidden="1" customWidth="1"/>
    <col min="7" max="7" width="7.625" style="80" customWidth="1"/>
    <col min="8" max="8" width="8.75390625" style="81" customWidth="1"/>
    <col min="9" max="9" width="13.25390625" style="79" customWidth="1"/>
    <col min="10" max="10" width="13.00390625" style="79" customWidth="1"/>
    <col min="11" max="11" width="7.125" style="80" customWidth="1"/>
    <col min="12" max="12" width="12.875" style="79" customWidth="1"/>
    <col min="13" max="13" width="12.625" style="79" customWidth="1"/>
    <col min="14" max="14" width="6.875" style="80" customWidth="1"/>
    <col min="15" max="15" width="10.00390625" style="82" customWidth="1"/>
    <col min="16" max="16384" width="10.00390625" style="79" customWidth="1"/>
  </cols>
  <sheetData>
    <row r="1" spans="1:16" ht="11.25" customHeight="1">
      <c r="A1" s="78"/>
      <c r="B1" s="78"/>
      <c r="C1" s="78"/>
      <c r="D1" s="78"/>
      <c r="I1" s="78"/>
      <c r="L1" s="78"/>
      <c r="P1" s="82"/>
    </row>
    <row r="2" spans="1:16" s="90" customFormat="1" ht="15.75" customHeight="1">
      <c r="A2" s="83" t="s">
        <v>493</v>
      </c>
      <c r="B2" s="84"/>
      <c r="C2" s="84"/>
      <c r="D2" s="85"/>
      <c r="E2" s="86"/>
      <c r="F2" s="86"/>
      <c r="G2" s="87"/>
      <c r="H2" s="88"/>
      <c r="I2" s="85"/>
      <c r="J2" s="86"/>
      <c r="K2" s="87"/>
      <c r="L2" s="85"/>
      <c r="M2" s="86"/>
      <c r="N2" s="87"/>
      <c r="O2" s="89"/>
      <c r="P2" s="89"/>
    </row>
    <row r="3" spans="1:16" s="90" customFormat="1" ht="15" customHeight="1">
      <c r="A3" s="83" t="s">
        <v>100</v>
      </c>
      <c r="B3" s="84"/>
      <c r="C3" s="84"/>
      <c r="D3" s="85"/>
      <c r="E3" s="86"/>
      <c r="F3" s="86"/>
      <c r="G3" s="87"/>
      <c r="H3" s="88"/>
      <c r="I3" s="85"/>
      <c r="J3" s="86"/>
      <c r="K3" s="87"/>
      <c r="L3" s="85"/>
      <c r="M3" s="91" t="s">
        <v>163</v>
      </c>
      <c r="N3" s="87"/>
      <c r="O3" s="89"/>
      <c r="P3" s="89"/>
    </row>
    <row r="4" spans="1:16" ht="12" customHeight="1" thickBot="1">
      <c r="A4" s="92"/>
      <c r="B4" s="92"/>
      <c r="C4" s="92"/>
      <c r="D4" s="93"/>
      <c r="E4" s="94"/>
      <c r="F4" s="94"/>
      <c r="G4" s="95"/>
      <c r="H4" s="96"/>
      <c r="I4" s="94"/>
      <c r="J4" s="94"/>
      <c r="K4" s="97"/>
      <c r="L4" s="93"/>
      <c r="M4" s="98" t="s">
        <v>68</v>
      </c>
      <c r="N4" s="99"/>
      <c r="P4" s="82"/>
    </row>
    <row r="5" spans="1:14" s="82" customFormat="1" ht="19.5" customHeight="1" thickBot="1">
      <c r="A5" s="100"/>
      <c r="B5" s="101"/>
      <c r="C5" s="102"/>
      <c r="D5" s="103" t="s">
        <v>102</v>
      </c>
      <c r="E5" s="104"/>
      <c r="F5" s="104"/>
      <c r="G5" s="105"/>
      <c r="H5" s="106"/>
      <c r="I5" s="107" t="s">
        <v>103</v>
      </c>
      <c r="J5" s="107"/>
      <c r="K5" s="108"/>
      <c r="L5" s="107" t="s">
        <v>104</v>
      </c>
      <c r="M5" s="109"/>
      <c r="N5" s="110"/>
    </row>
    <row r="6" spans="1:14" s="82" customFormat="1" ht="45" customHeight="1" thickBot="1" thickTop="1">
      <c r="A6" s="111" t="s">
        <v>105</v>
      </c>
      <c r="B6" s="112" t="s">
        <v>106</v>
      </c>
      <c r="C6" s="113" t="s">
        <v>71</v>
      </c>
      <c r="D6" s="114" t="s">
        <v>72</v>
      </c>
      <c r="E6" s="115" t="s">
        <v>494</v>
      </c>
      <c r="F6" s="116" t="s">
        <v>107</v>
      </c>
      <c r="G6" s="117" t="s">
        <v>108</v>
      </c>
      <c r="H6" s="118" t="s">
        <v>109</v>
      </c>
      <c r="I6" s="114" t="s">
        <v>72</v>
      </c>
      <c r="J6" s="115" t="s">
        <v>495</v>
      </c>
      <c r="K6" s="119" t="s">
        <v>110</v>
      </c>
      <c r="L6" s="114" t="s">
        <v>72</v>
      </c>
      <c r="M6" s="115" t="s">
        <v>496</v>
      </c>
      <c r="N6" s="120" t="s">
        <v>111</v>
      </c>
    </row>
    <row r="7" spans="1:16" s="130" customFormat="1" ht="9.75" customHeight="1" thickBot="1" thickTop="1">
      <c r="A7" s="121">
        <v>1</v>
      </c>
      <c r="B7" s="122">
        <v>2</v>
      </c>
      <c r="C7" s="123">
        <v>3</v>
      </c>
      <c r="D7" s="124">
        <v>4</v>
      </c>
      <c r="E7" s="125">
        <v>5</v>
      </c>
      <c r="F7" s="125">
        <v>6</v>
      </c>
      <c r="G7" s="126">
        <v>7</v>
      </c>
      <c r="H7" s="122">
        <v>8</v>
      </c>
      <c r="I7" s="125">
        <v>9</v>
      </c>
      <c r="J7" s="125">
        <v>10</v>
      </c>
      <c r="K7" s="127">
        <v>11</v>
      </c>
      <c r="L7" s="124">
        <v>12</v>
      </c>
      <c r="M7" s="125">
        <v>13</v>
      </c>
      <c r="N7" s="128">
        <v>14</v>
      </c>
      <c r="O7" s="129"/>
      <c r="P7" s="129"/>
    </row>
    <row r="8" spans="1:15" s="141" customFormat="1" ht="33.75" customHeight="1" thickTop="1">
      <c r="A8" s="131" t="s">
        <v>112</v>
      </c>
      <c r="B8" s="132" t="s">
        <v>113</v>
      </c>
      <c r="C8" s="133">
        <f>SUM(C9:C10)</f>
        <v>1600</v>
      </c>
      <c r="D8" s="134">
        <f aca="true" t="shared" si="0" ref="D8:E27">I8+L8</f>
        <v>1600</v>
      </c>
      <c r="E8" s="135">
        <f t="shared" si="0"/>
        <v>668</v>
      </c>
      <c r="F8" s="136">
        <f>E8/C8*100</f>
        <v>41.75</v>
      </c>
      <c r="G8" s="137">
        <f>E8/D8*100</f>
        <v>41.75</v>
      </c>
      <c r="H8" s="249">
        <f>E8/E81*100</f>
        <v>0.0005056518210395562</v>
      </c>
      <c r="I8" s="135">
        <f>SUM(I9:I10)</f>
        <v>1600</v>
      </c>
      <c r="J8" s="135">
        <f>SUM(J9:J10)</f>
        <v>668</v>
      </c>
      <c r="K8" s="138">
        <f>J8/I8*100</f>
        <v>41.75</v>
      </c>
      <c r="L8" s="134"/>
      <c r="M8" s="135"/>
      <c r="N8" s="139"/>
      <c r="O8" s="140"/>
    </row>
    <row r="9" spans="1:16" s="153" customFormat="1" ht="12.75" customHeight="1">
      <c r="A9" s="142"/>
      <c r="B9" s="143" t="s">
        <v>114</v>
      </c>
      <c r="C9" s="144">
        <v>1600</v>
      </c>
      <c r="D9" s="145">
        <f t="shared" si="0"/>
        <v>1600</v>
      </c>
      <c r="E9" s="146">
        <f t="shared" si="0"/>
        <v>668</v>
      </c>
      <c r="F9" s="147">
        <f>E9/C9*100</f>
        <v>41.75</v>
      </c>
      <c r="G9" s="148">
        <f>E9/D9*100</f>
        <v>41.75</v>
      </c>
      <c r="H9" s="175"/>
      <c r="I9" s="146">
        <v>1600</v>
      </c>
      <c r="J9" s="146">
        <v>668</v>
      </c>
      <c r="K9" s="149"/>
      <c r="L9" s="145"/>
      <c r="M9" s="146"/>
      <c r="N9" s="150"/>
      <c r="O9" s="151"/>
      <c r="P9" s="152"/>
    </row>
    <row r="10" spans="1:16" s="153" customFormat="1" ht="12.75" customHeight="1" hidden="1">
      <c r="A10" s="154"/>
      <c r="B10" s="155" t="s">
        <v>115</v>
      </c>
      <c r="C10" s="156"/>
      <c r="D10" s="157">
        <f t="shared" si="0"/>
        <v>0</v>
      </c>
      <c r="E10" s="158">
        <f t="shared" si="0"/>
        <v>0</v>
      </c>
      <c r="F10" s="147" t="e">
        <f>E10/C10*100</f>
        <v>#DIV/0!</v>
      </c>
      <c r="G10" s="159" t="e">
        <f>E10/D10*100</f>
        <v>#DIV/0!</v>
      </c>
      <c r="H10" s="192"/>
      <c r="I10" s="158"/>
      <c r="J10" s="158"/>
      <c r="K10" s="160"/>
      <c r="L10" s="157"/>
      <c r="M10" s="158"/>
      <c r="N10" s="161"/>
      <c r="O10" s="151"/>
      <c r="P10" s="152"/>
    </row>
    <row r="11" spans="1:16" s="172" customFormat="1" ht="15.75" customHeight="1" hidden="1">
      <c r="A11" s="162" t="s">
        <v>116</v>
      </c>
      <c r="B11" s="163" t="s">
        <v>117</v>
      </c>
      <c r="C11" s="164">
        <f>SUM(C12:C13)</f>
        <v>0</v>
      </c>
      <c r="D11" s="165">
        <f t="shared" si="0"/>
        <v>0</v>
      </c>
      <c r="E11" s="166">
        <f t="shared" si="0"/>
        <v>0</v>
      </c>
      <c r="F11" s="136" t="e">
        <f>E11/C11*100</f>
        <v>#DIV/0!</v>
      </c>
      <c r="G11" s="167" t="e">
        <f>E11/D11*100</f>
        <v>#DIV/0!</v>
      </c>
      <c r="H11" s="229">
        <f>E11/E81*100</f>
        <v>0</v>
      </c>
      <c r="I11" s="166"/>
      <c r="J11" s="166"/>
      <c r="K11" s="168"/>
      <c r="L11" s="165">
        <f>SUM(L12:L13)</f>
        <v>0</v>
      </c>
      <c r="M11" s="166">
        <f>SUM(M12:M13)</f>
        <v>0</v>
      </c>
      <c r="N11" s="169" t="e">
        <f>M11/L11*100</f>
        <v>#DIV/0!</v>
      </c>
      <c r="O11" s="170"/>
      <c r="P11" s="171"/>
    </row>
    <row r="12" spans="1:15" s="152" customFormat="1" ht="12" customHeight="1" hidden="1">
      <c r="A12" s="142"/>
      <c r="B12" s="143" t="s">
        <v>114</v>
      </c>
      <c r="C12" s="144"/>
      <c r="D12" s="145">
        <f t="shared" si="0"/>
        <v>0</v>
      </c>
      <c r="E12" s="146">
        <f t="shared" si="0"/>
        <v>0</v>
      </c>
      <c r="F12" s="173"/>
      <c r="G12" s="174"/>
      <c r="H12" s="175"/>
      <c r="I12" s="146"/>
      <c r="J12" s="146"/>
      <c r="K12" s="175"/>
      <c r="L12" s="146"/>
      <c r="M12" s="146"/>
      <c r="N12" s="150"/>
      <c r="O12" s="151"/>
    </row>
    <row r="13" spans="1:16" s="187" customFormat="1" ht="15" hidden="1">
      <c r="A13" s="176"/>
      <c r="B13" s="177" t="s">
        <v>115</v>
      </c>
      <c r="C13" s="178"/>
      <c r="D13" s="179">
        <f t="shared" si="0"/>
        <v>0</v>
      </c>
      <c r="E13" s="180">
        <f t="shared" si="0"/>
        <v>0</v>
      </c>
      <c r="F13" s="181"/>
      <c r="G13" s="182" t="e">
        <f>E13/D13*100</f>
        <v>#DIV/0!</v>
      </c>
      <c r="H13" s="183"/>
      <c r="I13" s="180"/>
      <c r="J13" s="180"/>
      <c r="K13" s="183"/>
      <c r="L13" s="180"/>
      <c r="M13" s="180"/>
      <c r="N13" s="184"/>
      <c r="O13" s="185"/>
      <c r="P13" s="186"/>
    </row>
    <row r="14" spans="1:16" s="188" customFormat="1" ht="21" customHeight="1">
      <c r="A14" s="131" t="s">
        <v>118</v>
      </c>
      <c r="B14" s="132" t="s">
        <v>119</v>
      </c>
      <c r="C14" s="133">
        <f>C15</f>
        <v>354000</v>
      </c>
      <c r="D14" s="134">
        <f>I14+L14</f>
        <v>354000</v>
      </c>
      <c r="E14" s="135">
        <f>J14+M14</f>
        <v>58487</v>
      </c>
      <c r="F14" s="136">
        <f>E14/C14*100</f>
        <v>16.521751412429378</v>
      </c>
      <c r="G14" s="167">
        <f>E14/D14*100</f>
        <v>16.521751412429378</v>
      </c>
      <c r="H14" s="229">
        <f>E14/E81*100</f>
        <v>0.04427254200170736</v>
      </c>
      <c r="I14" s="135">
        <f>SUM(I15)</f>
        <v>354000</v>
      </c>
      <c r="J14" s="135">
        <f>SUM(J15)</f>
        <v>58487</v>
      </c>
      <c r="K14" s="138">
        <f>J14/I14*100</f>
        <v>16.521751412429378</v>
      </c>
      <c r="L14" s="165"/>
      <c r="M14" s="166"/>
      <c r="N14" s="169"/>
      <c r="O14" s="140"/>
      <c r="P14" s="141"/>
    </row>
    <row r="15" spans="1:15" s="152" customFormat="1" ht="13.5" customHeight="1">
      <c r="A15" s="142"/>
      <c r="B15" s="143" t="s">
        <v>114</v>
      </c>
      <c r="C15" s="144">
        <v>354000</v>
      </c>
      <c r="D15" s="145">
        <f>I15+L15</f>
        <v>354000</v>
      </c>
      <c r="E15" s="146">
        <f>J15+M15</f>
        <v>58487</v>
      </c>
      <c r="F15" s="173"/>
      <c r="G15" s="174"/>
      <c r="H15" s="175"/>
      <c r="I15" s="146">
        <v>354000</v>
      </c>
      <c r="J15" s="146">
        <v>58487</v>
      </c>
      <c r="K15" s="175"/>
      <c r="L15" s="146"/>
      <c r="M15" s="146"/>
      <c r="N15" s="150"/>
      <c r="O15" s="151"/>
    </row>
    <row r="16" spans="1:16" s="188" customFormat="1" ht="32.25" customHeight="1">
      <c r="A16" s="131" t="s">
        <v>120</v>
      </c>
      <c r="B16" s="132" t="s">
        <v>121</v>
      </c>
      <c r="C16" s="133">
        <f>SUM(C17)</f>
        <v>46279882</v>
      </c>
      <c r="D16" s="134">
        <f t="shared" si="0"/>
        <v>45744559</v>
      </c>
      <c r="E16" s="135">
        <f t="shared" si="0"/>
        <v>11283099</v>
      </c>
      <c r="F16" s="136">
        <f>E16/C16*100</f>
        <v>24.38013778859678</v>
      </c>
      <c r="G16" s="167">
        <f>E16/D16*100</f>
        <v>24.66544491116419</v>
      </c>
      <c r="H16" s="2264">
        <f>E16/$E$81*100+0.1</f>
        <v>8.64089753940059</v>
      </c>
      <c r="I16" s="135">
        <f>SUM(I17)</f>
        <v>21333121</v>
      </c>
      <c r="J16" s="135">
        <f>SUM(J17)</f>
        <v>4659615</v>
      </c>
      <c r="K16" s="138">
        <f>J16/I16*100</f>
        <v>21.842162710275726</v>
      </c>
      <c r="L16" s="165">
        <f>SUM(L17:L17)</f>
        <v>24411438</v>
      </c>
      <c r="M16" s="166">
        <f>SUM(M17:M17)</f>
        <v>6623484</v>
      </c>
      <c r="N16" s="169">
        <f>M16/L16*100</f>
        <v>27.132707217002128</v>
      </c>
      <c r="O16" s="140"/>
      <c r="P16" s="141"/>
    </row>
    <row r="17" spans="1:15" s="152" customFormat="1" ht="13.5" customHeight="1">
      <c r="A17" s="142"/>
      <c r="B17" s="143" t="s">
        <v>114</v>
      </c>
      <c r="C17" s="144">
        <v>46279882</v>
      </c>
      <c r="D17" s="145">
        <f t="shared" si="0"/>
        <v>45744559</v>
      </c>
      <c r="E17" s="146">
        <f t="shared" si="0"/>
        <v>11283099</v>
      </c>
      <c r="F17" s="173"/>
      <c r="G17" s="174"/>
      <c r="H17" s="235"/>
      <c r="I17" s="146">
        <v>21333121</v>
      </c>
      <c r="J17" s="146">
        <v>4659615</v>
      </c>
      <c r="K17" s="175"/>
      <c r="L17" s="146">
        <v>24411438</v>
      </c>
      <c r="M17" s="146">
        <v>6623484</v>
      </c>
      <c r="N17" s="150"/>
      <c r="O17" s="151"/>
    </row>
    <row r="18" spans="1:16" s="188" customFormat="1" ht="21.75" customHeight="1">
      <c r="A18" s="131" t="s">
        <v>122</v>
      </c>
      <c r="B18" s="132" t="s">
        <v>123</v>
      </c>
      <c r="C18" s="133">
        <f>SUM(C19)</f>
        <v>455353</v>
      </c>
      <c r="D18" s="134">
        <f t="shared" si="0"/>
        <v>420305</v>
      </c>
      <c r="E18" s="135">
        <f t="shared" si="0"/>
        <v>227506</v>
      </c>
      <c r="F18" s="136">
        <f>E18/C18*100</f>
        <v>49.96255652208287</v>
      </c>
      <c r="G18" s="167">
        <f>E18/D18*100</f>
        <v>54.12878742817716</v>
      </c>
      <c r="H18" s="229">
        <f>E18/$E$81*100</f>
        <v>0.17221380718177434</v>
      </c>
      <c r="I18" s="135">
        <f>SUM(I19)</f>
        <v>420305</v>
      </c>
      <c r="J18" s="135">
        <f>SUM(J19)</f>
        <v>227506</v>
      </c>
      <c r="K18" s="138">
        <f>J18/I18*100</f>
        <v>54.12878742817716</v>
      </c>
      <c r="L18" s="165"/>
      <c r="M18" s="166"/>
      <c r="N18" s="169"/>
      <c r="O18" s="140"/>
      <c r="P18" s="141"/>
    </row>
    <row r="19" spans="1:15" s="152" customFormat="1" ht="13.5" customHeight="1">
      <c r="A19" s="142"/>
      <c r="B19" s="143" t="s">
        <v>114</v>
      </c>
      <c r="C19" s="144">
        <v>455353</v>
      </c>
      <c r="D19" s="145">
        <f t="shared" si="0"/>
        <v>420305</v>
      </c>
      <c r="E19" s="146">
        <f t="shared" si="0"/>
        <v>227506</v>
      </c>
      <c r="F19" s="173"/>
      <c r="G19" s="174"/>
      <c r="H19" s="175"/>
      <c r="I19" s="146">
        <v>420305</v>
      </c>
      <c r="J19" s="146">
        <v>227506</v>
      </c>
      <c r="K19" s="175"/>
      <c r="L19" s="146"/>
      <c r="M19" s="146"/>
      <c r="N19" s="150"/>
      <c r="O19" s="151"/>
    </row>
    <row r="20" spans="1:16" s="188" customFormat="1" ht="39.75" customHeight="1">
      <c r="A20" s="131" t="s">
        <v>124</v>
      </c>
      <c r="B20" s="132" t="s">
        <v>125</v>
      </c>
      <c r="C20" s="133">
        <f>SUM(C21:C22)</f>
        <v>15226400</v>
      </c>
      <c r="D20" s="134">
        <f t="shared" si="0"/>
        <v>19930400</v>
      </c>
      <c r="E20" s="135">
        <f t="shared" si="0"/>
        <v>3255881</v>
      </c>
      <c r="F20" s="136">
        <f>E20/C20*100</f>
        <v>21.383130615247204</v>
      </c>
      <c r="G20" s="137">
        <f>E20/D20*100</f>
        <v>16.336255167984586</v>
      </c>
      <c r="H20" s="249">
        <f>E20/E81*100</f>
        <v>2.46458406697319</v>
      </c>
      <c r="I20" s="135">
        <f>SUM(I21:I22)</f>
        <v>19890400</v>
      </c>
      <c r="J20" s="135">
        <f>SUM(J21:J22)</f>
        <v>3250020</v>
      </c>
      <c r="K20" s="138">
        <f>J20/I20*100</f>
        <v>16.339641233962112</v>
      </c>
      <c r="L20" s="135">
        <f>SUM(L21:L22)</f>
        <v>40000</v>
      </c>
      <c r="M20" s="135">
        <f>SUM(M21:M22)</f>
        <v>5861</v>
      </c>
      <c r="N20" s="139">
        <f>M20/L20*100</f>
        <v>14.652499999999998</v>
      </c>
      <c r="O20" s="140"/>
      <c r="P20" s="141"/>
    </row>
    <row r="21" spans="1:15" s="152" customFormat="1" ht="13.5" customHeight="1">
      <c r="A21" s="142"/>
      <c r="B21" s="143" t="s">
        <v>114</v>
      </c>
      <c r="C21" s="144">
        <v>15186400</v>
      </c>
      <c r="D21" s="145">
        <f t="shared" si="0"/>
        <v>19890400</v>
      </c>
      <c r="E21" s="146">
        <f t="shared" si="0"/>
        <v>3250020</v>
      </c>
      <c r="F21" s="147">
        <f>E21/C21*100</f>
        <v>21.400858663014276</v>
      </c>
      <c r="G21" s="148">
        <f>E21/D21*100</f>
        <v>16.339641233962112</v>
      </c>
      <c r="H21" s="175"/>
      <c r="I21" s="146">
        <v>19890400</v>
      </c>
      <c r="J21" s="146">
        <v>3250020</v>
      </c>
      <c r="K21" s="175"/>
      <c r="L21" s="146"/>
      <c r="M21" s="146"/>
      <c r="N21" s="150"/>
      <c r="O21" s="151"/>
    </row>
    <row r="22" spans="1:16" s="153" customFormat="1" ht="13.5">
      <c r="A22" s="154"/>
      <c r="B22" s="155" t="s">
        <v>115</v>
      </c>
      <c r="C22" s="156">
        <v>40000</v>
      </c>
      <c r="D22" s="157">
        <f t="shared" si="0"/>
        <v>40000</v>
      </c>
      <c r="E22" s="158">
        <f t="shared" si="0"/>
        <v>5861</v>
      </c>
      <c r="F22" s="147">
        <f>E22/C22*100</f>
        <v>14.652499999999998</v>
      </c>
      <c r="G22" s="159">
        <f>E22/D22*100</f>
        <v>14.652499999999998</v>
      </c>
      <c r="H22" s="192"/>
      <c r="I22" s="158"/>
      <c r="J22" s="158"/>
      <c r="K22" s="160"/>
      <c r="L22" s="158">
        <v>40000</v>
      </c>
      <c r="M22" s="158">
        <v>5861</v>
      </c>
      <c r="N22" s="150">
        <f>M22/L22*100</f>
        <v>14.652499999999998</v>
      </c>
      <c r="O22" s="151"/>
      <c r="P22" s="152"/>
    </row>
    <row r="23" spans="1:15" s="191" customFormat="1" ht="33" customHeight="1">
      <c r="A23" s="162" t="s">
        <v>126</v>
      </c>
      <c r="B23" s="189" t="s">
        <v>127</v>
      </c>
      <c r="C23" s="164">
        <f>SUM(C24:C26)</f>
        <v>2909300</v>
      </c>
      <c r="D23" s="165">
        <f t="shared" si="0"/>
        <v>3151300</v>
      </c>
      <c r="E23" s="166">
        <f t="shared" si="0"/>
        <v>741492</v>
      </c>
      <c r="F23" s="136">
        <f>E23/C23*100</f>
        <v>25.48695562506445</v>
      </c>
      <c r="G23" s="167">
        <f aca="true" t="shared" si="1" ref="G23:G41">E23/D23*100</f>
        <v>23.529717894202392</v>
      </c>
      <c r="H23" s="229">
        <f>E23/E81*100</f>
        <v>0.5612826049195546</v>
      </c>
      <c r="I23" s="166">
        <f>SUM(I24:I26)</f>
        <v>2717200</v>
      </c>
      <c r="J23" s="166">
        <f>SUM(J24:J26)</f>
        <v>579933</v>
      </c>
      <c r="K23" s="190">
        <f>J23/I23*100</f>
        <v>21.343036949801267</v>
      </c>
      <c r="L23" s="166">
        <f>SUM(L24:L26)</f>
        <v>434100</v>
      </c>
      <c r="M23" s="166">
        <f>SUM(M24:M26)</f>
        <v>161559</v>
      </c>
      <c r="N23" s="169">
        <f>M23/L23*100</f>
        <v>37.217000691085005</v>
      </c>
      <c r="O23" s="170"/>
    </row>
    <row r="24" spans="1:16" s="153" customFormat="1" ht="12.75" customHeight="1">
      <c r="A24" s="142"/>
      <c r="B24" s="143" t="s">
        <v>114</v>
      </c>
      <c r="C24" s="144">
        <f>2517200+142000</f>
        <v>2659200</v>
      </c>
      <c r="D24" s="145">
        <f t="shared" si="0"/>
        <v>2861200</v>
      </c>
      <c r="E24" s="146">
        <f t="shared" si="0"/>
        <v>644246</v>
      </c>
      <c r="F24" s="147">
        <f aca="true" t="shared" si="2" ref="F24:F30">E24/C24*100</f>
        <v>24.227060770156438</v>
      </c>
      <c r="G24" s="174">
        <f t="shared" si="1"/>
        <v>22.516636376345588</v>
      </c>
      <c r="H24" s="175"/>
      <c r="I24" s="146">
        <v>2717200</v>
      </c>
      <c r="J24" s="146">
        <v>579933</v>
      </c>
      <c r="K24" s="175"/>
      <c r="L24" s="146">
        <v>144000</v>
      </c>
      <c r="M24" s="146">
        <v>64313</v>
      </c>
      <c r="N24" s="150"/>
      <c r="O24" s="151"/>
      <c r="P24" s="152"/>
    </row>
    <row r="25" spans="1:15" s="152" customFormat="1" ht="12.75" customHeight="1">
      <c r="A25" s="142"/>
      <c r="B25" s="143" t="s">
        <v>115</v>
      </c>
      <c r="C25" s="144">
        <v>250100</v>
      </c>
      <c r="D25" s="145">
        <f t="shared" si="0"/>
        <v>290100</v>
      </c>
      <c r="E25" s="146">
        <f t="shared" si="0"/>
        <v>97246</v>
      </c>
      <c r="F25" s="147">
        <f t="shared" si="2"/>
        <v>38.8828468612555</v>
      </c>
      <c r="G25" s="174">
        <f t="shared" si="1"/>
        <v>33.52154429507067</v>
      </c>
      <c r="H25" s="175"/>
      <c r="I25" s="146"/>
      <c r="J25" s="146"/>
      <c r="K25" s="175"/>
      <c r="L25" s="146">
        <v>290100</v>
      </c>
      <c r="M25" s="146">
        <v>97246</v>
      </c>
      <c r="N25" s="150"/>
      <c r="O25" s="151"/>
    </row>
    <row r="26" spans="1:16" s="153" customFormat="1" ht="13.5" customHeight="1" hidden="1">
      <c r="A26" s="154"/>
      <c r="B26" s="155" t="s">
        <v>128</v>
      </c>
      <c r="C26" s="156"/>
      <c r="D26" s="157">
        <f t="shared" si="0"/>
        <v>0</v>
      </c>
      <c r="E26" s="158">
        <f t="shared" si="0"/>
        <v>0</v>
      </c>
      <c r="F26" s="147" t="e">
        <f t="shared" si="2"/>
        <v>#DIV/0!</v>
      </c>
      <c r="G26" s="159" t="e">
        <f t="shared" si="1"/>
        <v>#DIV/0!</v>
      </c>
      <c r="H26" s="192"/>
      <c r="I26" s="158"/>
      <c r="J26" s="158"/>
      <c r="K26" s="192"/>
      <c r="L26" s="158"/>
      <c r="M26" s="158"/>
      <c r="N26" s="161"/>
      <c r="O26" s="151"/>
      <c r="P26" s="152"/>
    </row>
    <row r="27" spans="1:15" s="191" customFormat="1" ht="28.5">
      <c r="A27" s="162" t="s">
        <v>129</v>
      </c>
      <c r="B27" s="189" t="s">
        <v>130</v>
      </c>
      <c r="C27" s="164">
        <f>SUM(C28:C31)</f>
        <v>26569737</v>
      </c>
      <c r="D27" s="165">
        <f t="shared" si="0"/>
        <v>26878097</v>
      </c>
      <c r="E27" s="166">
        <f t="shared" si="0"/>
        <v>13247794</v>
      </c>
      <c r="F27" s="136">
        <f>E27/C27*100</f>
        <v>49.86046342874978</v>
      </c>
      <c r="G27" s="167">
        <f t="shared" si="1"/>
        <v>49.28843734733155</v>
      </c>
      <c r="H27" s="229">
        <f>E27/E81*100</f>
        <v>10.028100540204948</v>
      </c>
      <c r="I27" s="166">
        <f>SUM(I28:I31)</f>
        <v>22882605</v>
      </c>
      <c r="J27" s="166">
        <f>SUM(J28:J31)</f>
        <v>11176991</v>
      </c>
      <c r="K27" s="138">
        <f>J27/I27*100</f>
        <v>48.8449239061724</v>
      </c>
      <c r="L27" s="166">
        <f>SUM(L28:L31)</f>
        <v>3995492</v>
      </c>
      <c r="M27" s="166">
        <f>SUM(M28:M31)</f>
        <v>2070803</v>
      </c>
      <c r="N27" s="169">
        <f>M27/L27*100</f>
        <v>51.82848570338771</v>
      </c>
      <c r="O27" s="170"/>
    </row>
    <row r="28" spans="1:16" s="153" customFormat="1" ht="13.5">
      <c r="A28" s="142"/>
      <c r="B28" s="143" t="s">
        <v>114</v>
      </c>
      <c r="C28" s="144">
        <f>21791245+3774992</f>
        <v>25566237</v>
      </c>
      <c r="D28" s="145">
        <f aca="true" t="shared" si="3" ref="D28:E31">I28+L28</f>
        <v>24706125</v>
      </c>
      <c r="E28" s="146">
        <f t="shared" si="3"/>
        <v>12117502</v>
      </c>
      <c r="F28" s="147">
        <f t="shared" si="2"/>
        <v>47.39650187863001</v>
      </c>
      <c r="G28" s="174">
        <f t="shared" si="1"/>
        <v>49.046550197572465</v>
      </c>
      <c r="H28" s="175"/>
      <c r="I28" s="146">
        <v>22155605</v>
      </c>
      <c r="J28" s="146">
        <v>10789991</v>
      </c>
      <c r="K28" s="149">
        <f>J28/I28*100</f>
        <v>48.7009540023845</v>
      </c>
      <c r="L28" s="146">
        <f>3727492-8500-1168472</f>
        <v>2550520</v>
      </c>
      <c r="M28" s="146">
        <f>1918155-6406-584238</f>
        <v>1327511</v>
      </c>
      <c r="N28" s="150">
        <f>M28/L28*100</f>
        <v>52.048641061430615</v>
      </c>
      <c r="O28" s="151"/>
      <c r="P28" s="152"/>
    </row>
    <row r="29" spans="1:15" s="152" customFormat="1" ht="13.5">
      <c r="A29" s="142"/>
      <c r="B29" s="143" t="s">
        <v>115</v>
      </c>
      <c r="C29" s="144">
        <f>727000+276500-8500</f>
        <v>995000</v>
      </c>
      <c r="D29" s="145">
        <f t="shared" si="3"/>
        <v>995000</v>
      </c>
      <c r="E29" s="146">
        <f t="shared" si="3"/>
        <v>539648</v>
      </c>
      <c r="F29" s="147">
        <f t="shared" si="2"/>
        <v>54.23597989949749</v>
      </c>
      <c r="G29" s="174">
        <f t="shared" si="1"/>
        <v>54.23597989949749</v>
      </c>
      <c r="H29" s="175"/>
      <c r="I29" s="146">
        <v>727000</v>
      </c>
      <c r="J29" s="146">
        <v>387000</v>
      </c>
      <c r="K29" s="149">
        <f>J29/I29*100</f>
        <v>53.232462173315</v>
      </c>
      <c r="L29" s="146">
        <v>268000</v>
      </c>
      <c r="M29" s="146">
        <v>152648</v>
      </c>
      <c r="N29" s="150">
        <f>M29/L29*100</f>
        <v>56.958208955223874</v>
      </c>
      <c r="O29" s="151"/>
    </row>
    <row r="30" spans="1:16" s="153" customFormat="1" ht="38.25">
      <c r="A30" s="154"/>
      <c r="B30" s="2265" t="s">
        <v>497</v>
      </c>
      <c r="C30" s="156">
        <v>8500</v>
      </c>
      <c r="D30" s="157">
        <f t="shared" si="3"/>
        <v>8500</v>
      </c>
      <c r="E30" s="158">
        <f t="shared" si="3"/>
        <v>6406</v>
      </c>
      <c r="F30" s="193">
        <f t="shared" si="2"/>
        <v>75.36470588235295</v>
      </c>
      <c r="G30" s="159">
        <f t="shared" si="1"/>
        <v>75.36470588235295</v>
      </c>
      <c r="H30" s="160"/>
      <c r="I30" s="158"/>
      <c r="J30" s="158"/>
      <c r="K30" s="192"/>
      <c r="L30" s="158">
        <v>8500</v>
      </c>
      <c r="M30" s="158">
        <v>6406</v>
      </c>
      <c r="N30" s="161">
        <f>M30/L30*100</f>
        <v>75.36470588235295</v>
      </c>
      <c r="O30" s="151"/>
      <c r="P30" s="152"/>
    </row>
    <row r="31" spans="1:16" s="153" customFormat="1" ht="38.25">
      <c r="A31" s="154"/>
      <c r="B31" s="2265" t="s">
        <v>498</v>
      </c>
      <c r="C31" s="156"/>
      <c r="D31" s="157">
        <f t="shared" si="3"/>
        <v>1168472</v>
      </c>
      <c r="E31" s="158">
        <f t="shared" si="3"/>
        <v>584238</v>
      </c>
      <c r="F31" s="193"/>
      <c r="G31" s="159">
        <f t="shared" si="1"/>
        <v>50.00017116370782</v>
      </c>
      <c r="H31" s="2266"/>
      <c r="I31" s="158"/>
      <c r="J31" s="158"/>
      <c r="K31" s="192"/>
      <c r="L31" s="158">
        <v>1168472</v>
      </c>
      <c r="M31" s="158">
        <v>584238</v>
      </c>
      <c r="N31" s="161">
        <f>M31/L31*100</f>
        <v>50.00017116370782</v>
      </c>
      <c r="O31" s="151"/>
      <c r="P31" s="152"/>
    </row>
    <row r="32" spans="1:15" s="191" customFormat="1" ht="93" customHeight="1">
      <c r="A32" s="2267" t="s">
        <v>131</v>
      </c>
      <c r="B32" s="2268" t="s">
        <v>132</v>
      </c>
      <c r="C32" s="211">
        <f>SUM(C33:C34)</f>
        <v>18425</v>
      </c>
      <c r="D32" s="231">
        <f>I32+L32</f>
        <v>17750</v>
      </c>
      <c r="E32" s="214">
        <f>J32+M32</f>
        <v>3954</v>
      </c>
      <c r="F32" s="2269">
        <f>E32/C32*100</f>
        <v>21.459972862957937</v>
      </c>
      <c r="G32" s="232">
        <f t="shared" si="1"/>
        <v>22.27605633802817</v>
      </c>
      <c r="H32" s="215">
        <f>E32/$E$81*100</f>
        <v>0.0029930348808239592</v>
      </c>
      <c r="I32" s="214">
        <f>SUM(I33:I34)</f>
        <v>17750</v>
      </c>
      <c r="J32" s="214">
        <f>SUM(J33:J34)</f>
        <v>3954</v>
      </c>
      <c r="K32" s="272">
        <f>J32/I32*100</f>
        <v>22.27605633802817</v>
      </c>
      <c r="L32" s="214"/>
      <c r="M32" s="214"/>
      <c r="N32" s="169"/>
      <c r="O32" s="170"/>
    </row>
    <row r="33" spans="1:15" s="186" customFormat="1" ht="15" hidden="1">
      <c r="A33" s="194"/>
      <c r="B33" s="195" t="s">
        <v>114</v>
      </c>
      <c r="C33" s="196"/>
      <c r="D33" s="197"/>
      <c r="E33" s="198"/>
      <c r="F33" s="173"/>
      <c r="G33" s="199"/>
      <c r="H33" s="229">
        <f aca="true" t="shared" si="4" ref="H33:H40">E33/$E$81*100</f>
        <v>0</v>
      </c>
      <c r="I33" s="198"/>
      <c r="J33" s="198"/>
      <c r="K33" s="200"/>
      <c r="L33" s="198"/>
      <c r="M33" s="198"/>
      <c r="N33" s="248"/>
      <c r="O33" s="185"/>
    </row>
    <row r="34" spans="1:15" s="152" customFormat="1" ht="18" customHeight="1">
      <c r="A34" s="154"/>
      <c r="B34" s="155" t="s">
        <v>115</v>
      </c>
      <c r="C34" s="156">
        <v>18425</v>
      </c>
      <c r="D34" s="157">
        <f aca="true" t="shared" si="5" ref="D34:E56">I34+L34</f>
        <v>17750</v>
      </c>
      <c r="E34" s="158">
        <f t="shared" si="5"/>
        <v>3954</v>
      </c>
      <c r="F34" s="181"/>
      <c r="G34" s="159">
        <f t="shared" si="1"/>
        <v>22.27605633802817</v>
      </c>
      <c r="H34" s="235"/>
      <c r="I34" s="158">
        <v>17750</v>
      </c>
      <c r="J34" s="158">
        <v>3954</v>
      </c>
      <c r="K34" s="192"/>
      <c r="L34" s="158"/>
      <c r="M34" s="158"/>
      <c r="N34" s="161"/>
      <c r="O34" s="151"/>
    </row>
    <row r="35" spans="1:15" s="191" customFormat="1" ht="22.5" customHeight="1" hidden="1">
      <c r="A35" s="162" t="s">
        <v>133</v>
      </c>
      <c r="B35" s="189" t="s">
        <v>134</v>
      </c>
      <c r="C35" s="164">
        <f>SUM(C36)</f>
        <v>0</v>
      </c>
      <c r="D35" s="165">
        <f>I35+L35</f>
        <v>0</v>
      </c>
      <c r="E35" s="166">
        <f>J35+M35</f>
        <v>0</v>
      </c>
      <c r="F35" s="136" t="e">
        <f>E35/C35*100</f>
        <v>#DIV/0!</v>
      </c>
      <c r="G35" s="167" t="e">
        <f>E35/D35*100</f>
        <v>#DIV/0!</v>
      </c>
      <c r="H35" s="229">
        <f t="shared" si="4"/>
        <v>0</v>
      </c>
      <c r="I35" s="166"/>
      <c r="J35" s="166"/>
      <c r="K35" s="138"/>
      <c r="L35" s="166">
        <f>SUM(L36)</f>
        <v>0</v>
      </c>
      <c r="M35" s="166">
        <f>SUM(M36)</f>
        <v>0</v>
      </c>
      <c r="N35" s="202" t="e">
        <f>M35/L35*100</f>
        <v>#DIV/0!</v>
      </c>
      <c r="O35" s="170"/>
    </row>
    <row r="36" spans="1:15" s="208" customFormat="1" ht="15.75" customHeight="1" hidden="1">
      <c r="A36" s="216"/>
      <c r="B36" s="217" t="s">
        <v>115</v>
      </c>
      <c r="C36" s="218"/>
      <c r="D36" s="203">
        <f>I36+L36</f>
        <v>0</v>
      </c>
      <c r="E36" s="205">
        <f>J36+M36</f>
        <v>0</v>
      </c>
      <c r="F36" s="204"/>
      <c r="G36" s="204" t="e">
        <f>E36/D36*100</f>
        <v>#DIV/0!</v>
      </c>
      <c r="H36" s="229">
        <f t="shared" si="4"/>
        <v>0</v>
      </c>
      <c r="I36" s="220"/>
      <c r="J36" s="220"/>
      <c r="K36" s="223"/>
      <c r="L36" s="220"/>
      <c r="M36" s="220">
        <v>0</v>
      </c>
      <c r="N36" s="206"/>
      <c r="O36" s="207"/>
    </row>
    <row r="37" spans="1:15" s="191" customFormat="1" ht="47.25" customHeight="1">
      <c r="A37" s="162" t="s">
        <v>135</v>
      </c>
      <c r="B37" s="189" t="s">
        <v>136</v>
      </c>
      <c r="C37" s="164">
        <f>SUM(C38:C39)</f>
        <v>5541000</v>
      </c>
      <c r="D37" s="165">
        <f t="shared" si="5"/>
        <v>6341700</v>
      </c>
      <c r="E37" s="166">
        <f t="shared" si="5"/>
        <v>3286676</v>
      </c>
      <c r="F37" s="136">
        <f>E37/C37*100</f>
        <v>59.3155748059917</v>
      </c>
      <c r="G37" s="167">
        <f t="shared" si="1"/>
        <v>51.82641878360692</v>
      </c>
      <c r="H37" s="229">
        <f t="shared" si="4"/>
        <v>2.4878947673158742</v>
      </c>
      <c r="I37" s="166">
        <f>SUM(I38:I39)</f>
        <v>50500</v>
      </c>
      <c r="J37" s="166">
        <f>SUM(J38:J39)</f>
        <v>16260</v>
      </c>
      <c r="K37" s="138">
        <f>J37/I37*100</f>
        <v>32.1980198019802</v>
      </c>
      <c r="L37" s="166">
        <f>SUM(L38:L39)</f>
        <v>6291200</v>
      </c>
      <c r="M37" s="166">
        <f>SUM(M38:M39)</f>
        <v>3270416</v>
      </c>
      <c r="N37" s="169">
        <f>M37/L37*100</f>
        <v>51.98397761953204</v>
      </c>
      <c r="O37" s="170"/>
    </row>
    <row r="38" spans="1:16" s="153" customFormat="1" ht="14.25" customHeight="1">
      <c r="A38" s="142"/>
      <c r="B38" s="143" t="s">
        <v>114</v>
      </c>
      <c r="C38" s="144">
        <f>35500+290000</f>
        <v>325500</v>
      </c>
      <c r="D38" s="145">
        <f t="shared" si="5"/>
        <v>1015500</v>
      </c>
      <c r="E38" s="146">
        <f t="shared" si="5"/>
        <v>646260</v>
      </c>
      <c r="F38" s="147">
        <f>E38/C38*100</f>
        <v>198.5437788018433</v>
      </c>
      <c r="G38" s="174">
        <f t="shared" si="1"/>
        <v>63.639586410635154</v>
      </c>
      <c r="H38" s="230"/>
      <c r="I38" s="146">
        <v>45500</v>
      </c>
      <c r="J38" s="146">
        <v>16260</v>
      </c>
      <c r="K38" s="175">
        <f>J38/I38*100</f>
        <v>35.73626373626374</v>
      </c>
      <c r="L38" s="146">
        <v>970000</v>
      </c>
      <c r="M38" s="146">
        <v>630000</v>
      </c>
      <c r="N38" s="150">
        <f>M38/L38*100</f>
        <v>64.94845360824742</v>
      </c>
      <c r="O38" s="151"/>
      <c r="P38" s="152"/>
    </row>
    <row r="39" spans="1:16" s="153" customFormat="1" ht="18" customHeight="1">
      <c r="A39" s="154"/>
      <c r="B39" s="155" t="s">
        <v>115</v>
      </c>
      <c r="C39" s="156">
        <v>5215500</v>
      </c>
      <c r="D39" s="157">
        <f t="shared" si="5"/>
        <v>5326200</v>
      </c>
      <c r="E39" s="158">
        <f t="shared" si="5"/>
        <v>2640416</v>
      </c>
      <c r="F39" s="147">
        <f>E39/C39*100</f>
        <v>50.62632537628223</v>
      </c>
      <c r="G39" s="159">
        <f t="shared" si="1"/>
        <v>49.57410536592693</v>
      </c>
      <c r="H39" s="235"/>
      <c r="I39" s="158">
        <v>5000</v>
      </c>
      <c r="J39" s="158"/>
      <c r="K39" s="192">
        <f>J39/I39*100</f>
        <v>0</v>
      </c>
      <c r="L39" s="158">
        <v>5321200</v>
      </c>
      <c r="M39" s="158">
        <v>2640416</v>
      </c>
      <c r="N39" s="161">
        <f>M39/L39*100</f>
        <v>49.62068706306848</v>
      </c>
      <c r="O39" s="151"/>
      <c r="P39" s="152"/>
    </row>
    <row r="40" spans="1:16" s="172" customFormat="1" ht="131.25" customHeight="1">
      <c r="A40" s="209" t="s">
        <v>137</v>
      </c>
      <c r="B40" s="210" t="s">
        <v>138</v>
      </c>
      <c r="C40" s="211">
        <f>C41</f>
        <v>434400</v>
      </c>
      <c r="D40" s="212">
        <f t="shared" si="5"/>
        <v>467900</v>
      </c>
      <c r="E40" s="166">
        <f t="shared" si="5"/>
        <v>182142</v>
      </c>
      <c r="F40" s="213"/>
      <c r="G40" s="167">
        <f t="shared" si="1"/>
        <v>38.92754862150032</v>
      </c>
      <c r="H40" s="229">
        <f t="shared" si="4"/>
        <v>0.1378749011793216</v>
      </c>
      <c r="I40" s="214">
        <f>I41</f>
        <v>467900</v>
      </c>
      <c r="J40" s="214">
        <f>J41</f>
        <v>182142</v>
      </c>
      <c r="K40" s="215">
        <f>J40/I40*100</f>
        <v>38.92754862150032</v>
      </c>
      <c r="L40" s="214"/>
      <c r="M40" s="214"/>
      <c r="N40" s="308"/>
      <c r="O40" s="170"/>
      <c r="P40" s="171"/>
    </row>
    <row r="41" spans="1:16" s="225" customFormat="1" ht="17.25" customHeight="1">
      <c r="A41" s="216"/>
      <c r="B41" s="217" t="s">
        <v>114</v>
      </c>
      <c r="C41" s="218">
        <v>434400</v>
      </c>
      <c r="D41" s="219">
        <f t="shared" si="5"/>
        <v>467900</v>
      </c>
      <c r="E41" s="220">
        <f t="shared" si="5"/>
        <v>182142</v>
      </c>
      <c r="F41" s="221"/>
      <c r="G41" s="222">
        <f t="shared" si="1"/>
        <v>38.92754862150032</v>
      </c>
      <c r="H41" s="309"/>
      <c r="I41" s="220">
        <v>467900</v>
      </c>
      <c r="J41" s="220">
        <v>182142</v>
      </c>
      <c r="K41" s="223"/>
      <c r="L41" s="220"/>
      <c r="M41" s="220"/>
      <c r="N41" s="224"/>
      <c r="O41" s="207"/>
      <c r="P41" s="208"/>
    </row>
    <row r="42" spans="1:15" s="191" customFormat="1" ht="33" customHeight="1">
      <c r="A42" s="162" t="s">
        <v>139</v>
      </c>
      <c r="B42" s="189" t="s">
        <v>140</v>
      </c>
      <c r="C42" s="164">
        <f>SUM(C43:C44)</f>
        <v>3770000</v>
      </c>
      <c r="D42" s="165">
        <f t="shared" si="5"/>
        <v>3770000</v>
      </c>
      <c r="E42" s="166">
        <f t="shared" si="5"/>
        <v>1417017</v>
      </c>
      <c r="F42" s="136">
        <f>E42/C42*100</f>
        <v>37.58665782493369</v>
      </c>
      <c r="G42" s="167">
        <f>E42/D42*100</f>
        <v>37.58665782493369</v>
      </c>
      <c r="H42" s="215">
        <f>E42/E81*100</f>
        <v>1.0726305785838453</v>
      </c>
      <c r="I42" s="166">
        <f>SUM(I43:I44)</f>
        <v>3770000</v>
      </c>
      <c r="J42" s="166">
        <f>SUM(J43:J44)</f>
        <v>1417017</v>
      </c>
      <c r="K42" s="138">
        <f>J42/I42*100</f>
        <v>37.58665782493369</v>
      </c>
      <c r="L42" s="166"/>
      <c r="M42" s="166"/>
      <c r="N42" s="169"/>
      <c r="O42" s="170"/>
    </row>
    <row r="43" spans="1:16" s="153" customFormat="1" ht="21" customHeight="1">
      <c r="A43" s="154"/>
      <c r="B43" s="155" t="s">
        <v>114</v>
      </c>
      <c r="C43" s="156">
        <v>3770000</v>
      </c>
      <c r="D43" s="157">
        <f t="shared" si="5"/>
        <v>3770000</v>
      </c>
      <c r="E43" s="158">
        <f t="shared" si="5"/>
        <v>1417017</v>
      </c>
      <c r="F43" s="181"/>
      <c r="G43" s="159">
        <f>E43/D43*100</f>
        <v>37.58665782493369</v>
      </c>
      <c r="H43" s="192"/>
      <c r="I43" s="158">
        <v>3770000</v>
      </c>
      <c r="J43" s="158">
        <v>1417017</v>
      </c>
      <c r="K43" s="192"/>
      <c r="L43" s="158"/>
      <c r="M43" s="158"/>
      <c r="N43" s="201"/>
      <c r="O43" s="151"/>
      <c r="P43" s="152"/>
    </row>
    <row r="44" spans="1:16" s="187" customFormat="1" ht="3" customHeight="1" hidden="1">
      <c r="A44" s="176"/>
      <c r="B44" s="177" t="s">
        <v>115</v>
      </c>
      <c r="C44" s="178"/>
      <c r="D44" s="179"/>
      <c r="E44" s="180"/>
      <c r="F44" s="181"/>
      <c r="G44" s="182"/>
      <c r="H44" s="183"/>
      <c r="I44" s="180"/>
      <c r="J44" s="180"/>
      <c r="K44" s="183"/>
      <c r="L44" s="180"/>
      <c r="M44" s="180"/>
      <c r="N44" s="227"/>
      <c r="O44" s="185"/>
      <c r="P44" s="186"/>
    </row>
    <row r="45" spans="1:15" s="191" customFormat="1" ht="20.25" customHeight="1">
      <c r="A45" s="162" t="s">
        <v>141</v>
      </c>
      <c r="B45" s="189" t="s">
        <v>142</v>
      </c>
      <c r="C45" s="164">
        <f>SUM(C46:C47)</f>
        <v>5180460</v>
      </c>
      <c r="D45" s="165">
        <f t="shared" si="5"/>
        <v>4775062</v>
      </c>
      <c r="E45" s="166">
        <f>J45+M45</f>
        <v>623400</v>
      </c>
      <c r="F45" s="228"/>
      <c r="G45" s="167">
        <f aca="true" t="shared" si="6" ref="G45:G56">E45/D45*100</f>
        <v>13.055327867994174</v>
      </c>
      <c r="H45" s="229">
        <f>E45/E81*100</f>
        <v>0.4718912353833223</v>
      </c>
      <c r="I45" s="166">
        <f>SUM(I46:I47)</f>
        <v>3528287</v>
      </c>
      <c r="J45" s="166">
        <f>SUM(J46:J47)</f>
        <v>0</v>
      </c>
      <c r="K45" s="138">
        <f aca="true" t="shared" si="7" ref="K45:K54">J45/I45*100</f>
        <v>0</v>
      </c>
      <c r="L45" s="166">
        <f>L46</f>
        <v>1246775</v>
      </c>
      <c r="M45" s="166">
        <f>M46</f>
        <v>623400</v>
      </c>
      <c r="N45" s="202">
        <f>M45/L45*100</f>
        <v>50.001002586673614</v>
      </c>
      <c r="O45" s="170"/>
    </row>
    <row r="46" spans="1:16" s="153" customFormat="1" ht="13.5" customHeight="1">
      <c r="A46" s="142"/>
      <c r="B46" s="143" t="s">
        <v>114</v>
      </c>
      <c r="C46" s="144">
        <v>5180460</v>
      </c>
      <c r="D46" s="145">
        <f t="shared" si="5"/>
        <v>4775062</v>
      </c>
      <c r="E46" s="146">
        <f t="shared" si="5"/>
        <v>623400</v>
      </c>
      <c r="F46" s="173"/>
      <c r="G46" s="174">
        <f t="shared" si="6"/>
        <v>13.055327867994174</v>
      </c>
      <c r="H46" s="175"/>
      <c r="I46" s="146">
        <v>3528287</v>
      </c>
      <c r="J46" s="146"/>
      <c r="K46" s="175"/>
      <c r="L46" s="146">
        <v>1246775</v>
      </c>
      <c r="M46" s="146">
        <v>623400</v>
      </c>
      <c r="N46" s="150"/>
      <c r="O46" s="151"/>
      <c r="P46" s="152"/>
    </row>
    <row r="47" spans="1:16" s="187" customFormat="1" ht="15" hidden="1">
      <c r="A47" s="176"/>
      <c r="B47" s="177" t="s">
        <v>115</v>
      </c>
      <c r="C47" s="178"/>
      <c r="D47" s="197">
        <f t="shared" si="5"/>
        <v>0</v>
      </c>
      <c r="E47" s="180">
        <f t="shared" si="5"/>
        <v>0</v>
      </c>
      <c r="F47" s="181"/>
      <c r="G47" s="182" t="e">
        <f t="shared" si="6"/>
        <v>#DIV/0!</v>
      </c>
      <c r="H47" s="183"/>
      <c r="I47" s="180"/>
      <c r="J47" s="180"/>
      <c r="K47" s="183"/>
      <c r="L47" s="180"/>
      <c r="M47" s="180"/>
      <c r="N47" s="184"/>
      <c r="O47" s="185"/>
      <c r="P47" s="186"/>
    </row>
    <row r="48" spans="1:15" s="191" customFormat="1" ht="33.75" customHeight="1">
      <c r="A48" s="162" t="s">
        <v>143</v>
      </c>
      <c r="B48" s="189" t="s">
        <v>144</v>
      </c>
      <c r="C48" s="164">
        <f>SUM(C49:C51)</f>
        <v>97405123</v>
      </c>
      <c r="D48" s="165">
        <f t="shared" si="5"/>
        <v>98394545</v>
      </c>
      <c r="E48" s="166">
        <f t="shared" si="5"/>
        <v>52875100</v>
      </c>
      <c r="F48" s="136">
        <f>E48/C48*100</f>
        <v>54.28369511940353</v>
      </c>
      <c r="G48" s="167">
        <f t="shared" si="6"/>
        <v>53.73783678759834</v>
      </c>
      <c r="H48" s="229">
        <f>E48/E81*100</f>
        <v>40.02453683031232</v>
      </c>
      <c r="I48" s="166">
        <f>SUM(I49:I51)</f>
        <v>57567016</v>
      </c>
      <c r="J48" s="166">
        <f>SUM(J49:J51)</f>
        <v>31440658</v>
      </c>
      <c r="K48" s="138">
        <f t="shared" si="7"/>
        <v>54.61575079729683</v>
      </c>
      <c r="L48" s="166">
        <f>SUM(L49:L51)</f>
        <v>40827529</v>
      </c>
      <c r="M48" s="166">
        <f>SUM(M49:M51)</f>
        <v>21434442</v>
      </c>
      <c r="N48" s="169">
        <f>M48/L48*100</f>
        <v>52.499973730959816</v>
      </c>
      <c r="O48" s="170"/>
    </row>
    <row r="49" spans="1:16" s="153" customFormat="1" ht="14.25" customHeight="1">
      <c r="A49" s="154"/>
      <c r="B49" s="155" t="s">
        <v>114</v>
      </c>
      <c r="C49" s="156">
        <v>97405123</v>
      </c>
      <c r="D49" s="157">
        <f t="shared" si="5"/>
        <v>98394545</v>
      </c>
      <c r="E49" s="158">
        <f t="shared" si="5"/>
        <v>52875100</v>
      </c>
      <c r="F49" s="181">
        <f>E49/C49*100</f>
        <v>54.28369511940353</v>
      </c>
      <c r="G49" s="159">
        <f t="shared" si="6"/>
        <v>53.73783678759834</v>
      </c>
      <c r="H49" s="192"/>
      <c r="I49" s="158">
        <v>57567016</v>
      </c>
      <c r="J49" s="158">
        <v>31440658</v>
      </c>
      <c r="K49" s="192">
        <f t="shared" si="7"/>
        <v>54.61575079729683</v>
      </c>
      <c r="L49" s="158">
        <v>40827529</v>
      </c>
      <c r="M49" s="158">
        <v>21434442</v>
      </c>
      <c r="N49" s="161">
        <f>M49/L49*100</f>
        <v>52.499973730959816</v>
      </c>
      <c r="O49" s="151"/>
      <c r="P49" s="152"/>
    </row>
    <row r="50" spans="1:16" s="153" customFormat="1" ht="13.5" hidden="1">
      <c r="A50" s="142"/>
      <c r="B50" s="143" t="s">
        <v>115</v>
      </c>
      <c r="C50" s="144"/>
      <c r="D50" s="145">
        <f t="shared" si="5"/>
        <v>0</v>
      </c>
      <c r="E50" s="146">
        <f t="shared" si="5"/>
        <v>0</v>
      </c>
      <c r="F50" s="173" t="e">
        <f>E50/C50*100</f>
        <v>#DIV/0!</v>
      </c>
      <c r="G50" s="174" t="e">
        <f t="shared" si="6"/>
        <v>#DIV/0!</v>
      </c>
      <c r="H50" s="175"/>
      <c r="I50" s="146"/>
      <c r="J50" s="146"/>
      <c r="K50" s="175"/>
      <c r="L50" s="146"/>
      <c r="M50" s="146"/>
      <c r="N50" s="150"/>
      <c r="O50" s="151"/>
      <c r="P50" s="152"/>
    </row>
    <row r="51" spans="1:16" s="153" customFormat="1" ht="13.5" hidden="1">
      <c r="A51" s="154"/>
      <c r="B51" s="155" t="s">
        <v>128</v>
      </c>
      <c r="C51" s="144"/>
      <c r="D51" s="145">
        <f t="shared" si="5"/>
        <v>0</v>
      </c>
      <c r="E51" s="146">
        <f t="shared" si="5"/>
        <v>0</v>
      </c>
      <c r="F51" s="173" t="e">
        <f>E51/C51*100</f>
        <v>#DIV/0!</v>
      </c>
      <c r="G51" s="174" t="e">
        <f t="shared" si="6"/>
        <v>#DIV/0!</v>
      </c>
      <c r="H51" s="192"/>
      <c r="I51" s="158"/>
      <c r="J51" s="158"/>
      <c r="K51" s="175" t="e">
        <f t="shared" si="7"/>
        <v>#DIV/0!</v>
      </c>
      <c r="L51" s="157"/>
      <c r="M51" s="158"/>
      <c r="N51" s="150"/>
      <c r="O51" s="151"/>
      <c r="P51" s="152"/>
    </row>
    <row r="52" spans="1:16" s="188" customFormat="1" ht="33" customHeight="1">
      <c r="A52" s="131" t="s">
        <v>145</v>
      </c>
      <c r="B52" s="132" t="s">
        <v>146</v>
      </c>
      <c r="C52" s="133">
        <f>SUM(C53)</f>
        <v>55988</v>
      </c>
      <c r="D52" s="134">
        <f t="shared" si="5"/>
        <v>54710</v>
      </c>
      <c r="E52" s="135">
        <f t="shared" si="5"/>
        <v>42485</v>
      </c>
      <c r="F52" s="136">
        <f>E52/C52*100</f>
        <v>75.88233192827035</v>
      </c>
      <c r="G52" s="167">
        <f>E52/D52*100</f>
        <v>77.65490769511972</v>
      </c>
      <c r="H52" s="229">
        <f>E52/E81*100</f>
        <v>0.03215960721087656</v>
      </c>
      <c r="I52" s="135">
        <f>SUM(I53)</f>
        <v>54710</v>
      </c>
      <c r="J52" s="135">
        <f>SUM(J53)</f>
        <v>42485</v>
      </c>
      <c r="K52" s="138">
        <f t="shared" si="7"/>
        <v>77.65490769511972</v>
      </c>
      <c r="L52" s="165"/>
      <c r="M52" s="166"/>
      <c r="N52" s="169"/>
      <c r="O52" s="140"/>
      <c r="P52" s="141"/>
    </row>
    <row r="53" spans="1:15" s="152" customFormat="1" ht="13.5" customHeight="1">
      <c r="A53" s="142"/>
      <c r="B53" s="143" t="s">
        <v>114</v>
      </c>
      <c r="C53" s="144">
        <v>55988</v>
      </c>
      <c r="D53" s="145">
        <f t="shared" si="5"/>
        <v>54710</v>
      </c>
      <c r="E53" s="146">
        <f t="shared" si="5"/>
        <v>42485</v>
      </c>
      <c r="F53" s="173"/>
      <c r="G53" s="174"/>
      <c r="H53" s="175"/>
      <c r="I53" s="146">
        <v>54710</v>
      </c>
      <c r="J53" s="146">
        <v>42485</v>
      </c>
      <c r="K53" s="175"/>
      <c r="L53" s="146"/>
      <c r="M53" s="146"/>
      <c r="N53" s="150"/>
      <c r="O53" s="151"/>
    </row>
    <row r="54" spans="1:15" s="191" customFormat="1" ht="20.25" customHeight="1">
      <c r="A54" s="162" t="s">
        <v>147</v>
      </c>
      <c r="B54" s="189" t="s">
        <v>148</v>
      </c>
      <c r="C54" s="164">
        <f>SUM(C55:C56)</f>
        <v>4920000</v>
      </c>
      <c r="D54" s="165">
        <f t="shared" si="5"/>
        <v>2686500</v>
      </c>
      <c r="E54" s="166">
        <f t="shared" si="5"/>
        <v>835345</v>
      </c>
      <c r="F54" s="136">
        <f>E54/C54*100</f>
        <v>16.978556910569107</v>
      </c>
      <c r="G54" s="167">
        <f t="shared" si="6"/>
        <v>31.094174576586635</v>
      </c>
      <c r="H54" s="229">
        <f>E54/$E$81*100</f>
        <v>0.6323259288118084</v>
      </c>
      <c r="I54" s="166">
        <f>SUM(I55:I56)</f>
        <v>2679500</v>
      </c>
      <c r="J54" s="166">
        <f>SUM(J55:J56)</f>
        <v>831943</v>
      </c>
      <c r="K54" s="138">
        <f t="shared" si="7"/>
        <v>31.048441873483856</v>
      </c>
      <c r="L54" s="166">
        <f>SUM(L55:L56)</f>
        <v>7000</v>
      </c>
      <c r="M54" s="166">
        <f>SUM(M55:M56)</f>
        <v>3402</v>
      </c>
      <c r="N54" s="202">
        <f>M54/L54*100</f>
        <v>48.6</v>
      </c>
      <c r="O54" s="170"/>
    </row>
    <row r="55" spans="1:16" s="153" customFormat="1" ht="14.25">
      <c r="A55" s="142"/>
      <c r="B55" s="143" t="s">
        <v>114</v>
      </c>
      <c r="C55" s="144">
        <v>4913000</v>
      </c>
      <c r="D55" s="145">
        <f t="shared" si="5"/>
        <v>2679500</v>
      </c>
      <c r="E55" s="146">
        <f t="shared" si="5"/>
        <v>831943</v>
      </c>
      <c r="F55" s="147">
        <f>E55/C55*100</f>
        <v>16.933502951353553</v>
      </c>
      <c r="G55" s="174">
        <f t="shared" si="6"/>
        <v>31.048441873483856</v>
      </c>
      <c r="H55" s="230"/>
      <c r="I55" s="146">
        <v>2679500</v>
      </c>
      <c r="J55" s="146">
        <v>831943</v>
      </c>
      <c r="K55" s="175"/>
      <c r="L55" s="146"/>
      <c r="M55" s="146"/>
      <c r="N55" s="150"/>
      <c r="O55" s="151"/>
      <c r="P55" s="152"/>
    </row>
    <row r="56" spans="1:16" s="153" customFormat="1" ht="14.25">
      <c r="A56" s="142"/>
      <c r="B56" s="143" t="s">
        <v>115</v>
      </c>
      <c r="C56" s="144">
        <v>7000</v>
      </c>
      <c r="D56" s="145">
        <f t="shared" si="5"/>
        <v>7000</v>
      </c>
      <c r="E56" s="146">
        <f t="shared" si="5"/>
        <v>3402</v>
      </c>
      <c r="F56" s="147">
        <f>E56/C56*100</f>
        <v>48.6</v>
      </c>
      <c r="G56" s="174">
        <f t="shared" si="6"/>
        <v>48.6</v>
      </c>
      <c r="H56" s="235"/>
      <c r="I56" s="146"/>
      <c r="J56" s="146"/>
      <c r="K56" s="175"/>
      <c r="L56" s="146">
        <v>7000</v>
      </c>
      <c r="M56" s="146">
        <v>3402</v>
      </c>
      <c r="N56" s="150"/>
      <c r="O56" s="151"/>
      <c r="P56" s="152"/>
    </row>
    <row r="57" spans="1:15" s="152" customFormat="1" ht="14.25" hidden="1">
      <c r="A57" s="142"/>
      <c r="B57" s="155" t="s">
        <v>128</v>
      </c>
      <c r="C57" s="144"/>
      <c r="D57" s="145"/>
      <c r="E57" s="146"/>
      <c r="F57" s="173"/>
      <c r="G57" s="174"/>
      <c r="H57" s="229">
        <f>E57/$E$81*100</f>
        <v>0</v>
      </c>
      <c r="I57" s="146"/>
      <c r="J57" s="146"/>
      <c r="K57" s="175"/>
      <c r="L57" s="146"/>
      <c r="M57" s="146"/>
      <c r="N57" s="150"/>
      <c r="O57" s="151"/>
    </row>
    <row r="58" spans="1:15" s="191" customFormat="1" ht="19.5" customHeight="1">
      <c r="A58" s="162" t="s">
        <v>149</v>
      </c>
      <c r="B58" s="189" t="s">
        <v>150</v>
      </c>
      <c r="C58" s="164">
        <f>SUM(C59:C61)</f>
        <v>47786485</v>
      </c>
      <c r="D58" s="165">
        <f aca="true" t="shared" si="8" ref="D58:E70">I58+L58</f>
        <v>55122461</v>
      </c>
      <c r="E58" s="166">
        <f t="shared" si="8"/>
        <v>21317754</v>
      </c>
      <c r="F58" s="136">
        <f>E58/C58*100</f>
        <v>44.61042489314709</v>
      </c>
      <c r="G58" s="167">
        <f aca="true" t="shared" si="9" ref="G58:G66">E58/D58*100</f>
        <v>38.6734438435178</v>
      </c>
      <c r="H58" s="229">
        <f>E58/$E$81*100</f>
        <v>16.13676815954084</v>
      </c>
      <c r="I58" s="166">
        <f>SUM(I59:I61)</f>
        <v>50821962</v>
      </c>
      <c r="J58" s="166">
        <f>SUM(J59:J61)</f>
        <v>19216165</v>
      </c>
      <c r="K58" s="138">
        <f>J58/I58*100</f>
        <v>37.81075000607021</v>
      </c>
      <c r="L58" s="166">
        <f>SUM(L59:L62)</f>
        <v>4300499</v>
      </c>
      <c r="M58" s="166">
        <f>SUM(M59:M62)</f>
        <v>2101589</v>
      </c>
      <c r="N58" s="169">
        <f aca="true" t="shared" si="10" ref="N58:N66">M58/L58*100</f>
        <v>48.86849177269894</v>
      </c>
      <c r="O58" s="170"/>
    </row>
    <row r="59" spans="1:16" s="153" customFormat="1" ht="12.75" customHeight="1">
      <c r="A59" s="142"/>
      <c r="B59" s="143" t="s">
        <v>114</v>
      </c>
      <c r="C59" s="144">
        <f>16957671+4283814</f>
        <v>21241485</v>
      </c>
      <c r="D59" s="145">
        <f t="shared" si="8"/>
        <v>22836376</v>
      </c>
      <c r="E59" s="146">
        <f t="shared" si="8"/>
        <v>11431394</v>
      </c>
      <c r="F59" s="147">
        <f>E59/C59*100</f>
        <v>53.81635982606677</v>
      </c>
      <c r="G59" s="174">
        <f t="shared" si="9"/>
        <v>50.05782879034747</v>
      </c>
      <c r="H59" s="175"/>
      <c r="I59" s="146">
        <v>19216437</v>
      </c>
      <c r="J59" s="146">
        <v>9614415</v>
      </c>
      <c r="K59" s="175">
        <f>J59/I59*100</f>
        <v>50.03224583204472</v>
      </c>
      <c r="L59" s="146">
        <f>4300499-680560</f>
        <v>3619939</v>
      </c>
      <c r="M59" s="146">
        <f>2101589-284610</f>
        <v>1816979</v>
      </c>
      <c r="N59" s="226">
        <f t="shared" si="10"/>
        <v>50.193635859609785</v>
      </c>
      <c r="O59" s="151"/>
      <c r="P59" s="152"/>
    </row>
    <row r="60" spans="1:15" s="152" customFormat="1" ht="15" customHeight="1">
      <c r="A60" s="142"/>
      <c r="B60" s="143" t="s">
        <v>115</v>
      </c>
      <c r="C60" s="144">
        <v>26545000</v>
      </c>
      <c r="D60" s="145">
        <f t="shared" si="8"/>
        <v>31605525</v>
      </c>
      <c r="E60" s="146">
        <f t="shared" si="8"/>
        <v>9601750</v>
      </c>
      <c r="F60" s="147">
        <f>E60/C60*100</f>
        <v>36.171595404030896</v>
      </c>
      <c r="G60" s="174">
        <f t="shared" si="9"/>
        <v>30.37997312178804</v>
      </c>
      <c r="H60" s="175"/>
      <c r="I60" s="146">
        <v>31605525</v>
      </c>
      <c r="J60" s="146">
        <v>9601750</v>
      </c>
      <c r="K60" s="175">
        <f>J60/I60*100</f>
        <v>30.37997312178804</v>
      </c>
      <c r="L60" s="146"/>
      <c r="M60" s="146"/>
      <c r="N60" s="226"/>
      <c r="O60" s="151"/>
    </row>
    <row r="61" spans="1:15" s="152" customFormat="1" ht="13.5" hidden="1">
      <c r="A61" s="142"/>
      <c r="B61" s="143" t="s">
        <v>128</v>
      </c>
      <c r="C61" s="144"/>
      <c r="D61" s="145">
        <f t="shared" si="8"/>
        <v>0</v>
      </c>
      <c r="E61" s="146">
        <f t="shared" si="8"/>
        <v>0</v>
      </c>
      <c r="F61" s="147" t="e">
        <f>E61/C61*100</f>
        <v>#DIV/0!</v>
      </c>
      <c r="G61" s="174" t="e">
        <f t="shared" si="9"/>
        <v>#DIV/0!</v>
      </c>
      <c r="H61" s="175"/>
      <c r="I61" s="146"/>
      <c r="J61" s="146"/>
      <c r="K61" s="175"/>
      <c r="L61" s="146"/>
      <c r="M61" s="146"/>
      <c r="N61" s="226" t="e">
        <f t="shared" si="10"/>
        <v>#DIV/0!</v>
      </c>
      <c r="O61" s="151"/>
    </row>
    <row r="62" spans="1:15" s="152" customFormat="1" ht="38.25">
      <c r="A62" s="154"/>
      <c r="B62" s="2265" t="s">
        <v>498</v>
      </c>
      <c r="C62" s="156"/>
      <c r="D62" s="157">
        <f t="shared" si="8"/>
        <v>680560</v>
      </c>
      <c r="E62" s="158">
        <f t="shared" si="8"/>
        <v>284610</v>
      </c>
      <c r="F62" s="193"/>
      <c r="G62" s="159">
        <f t="shared" si="9"/>
        <v>41.819971787939345</v>
      </c>
      <c r="H62" s="192"/>
      <c r="I62" s="158"/>
      <c r="J62" s="158"/>
      <c r="K62" s="192"/>
      <c r="L62" s="158">
        <f>590560+90000</f>
        <v>680560</v>
      </c>
      <c r="M62" s="158">
        <f>228468+56142</f>
        <v>284610</v>
      </c>
      <c r="N62" s="201">
        <f t="shared" si="10"/>
        <v>41.819971787939345</v>
      </c>
      <c r="O62" s="151"/>
    </row>
    <row r="63" spans="1:15" s="171" customFormat="1" ht="53.25" customHeight="1">
      <c r="A63" s="209" t="s">
        <v>151</v>
      </c>
      <c r="B63" s="210" t="s">
        <v>152</v>
      </c>
      <c r="C63" s="211">
        <f>SUM(C64:C65)</f>
        <v>2002422</v>
      </c>
      <c r="D63" s="231">
        <f t="shared" si="8"/>
        <v>2213605</v>
      </c>
      <c r="E63" s="214">
        <f t="shared" si="8"/>
        <v>1110370</v>
      </c>
      <c r="F63" s="213"/>
      <c r="G63" s="232">
        <f t="shared" si="9"/>
        <v>50.1611624476815</v>
      </c>
      <c r="H63" s="215">
        <f>E63/E81*100+0.1</f>
        <v>0.9405098989935509</v>
      </c>
      <c r="I63" s="214">
        <f>SUM(I64:I65)</f>
        <v>2049340</v>
      </c>
      <c r="J63" s="214">
        <f>SUM(J64:J65)</f>
        <v>1023054</v>
      </c>
      <c r="K63" s="215">
        <f>J63/I63*100</f>
        <v>49.92114534435477</v>
      </c>
      <c r="L63" s="214">
        <f>SUM(L64:L65)</f>
        <v>164265</v>
      </c>
      <c r="M63" s="214">
        <f>SUM(M64:M65)</f>
        <v>87316</v>
      </c>
      <c r="N63" s="233">
        <f t="shared" si="10"/>
        <v>53.1555717894865</v>
      </c>
      <c r="O63" s="170"/>
    </row>
    <row r="64" spans="1:15" s="152" customFormat="1" ht="14.25">
      <c r="A64" s="142"/>
      <c r="B64" s="143" t="s">
        <v>114</v>
      </c>
      <c r="C64" s="144">
        <f>1849000+47422</f>
        <v>1896422</v>
      </c>
      <c r="D64" s="145">
        <f t="shared" si="8"/>
        <v>2096762</v>
      </c>
      <c r="E64" s="146">
        <f t="shared" si="8"/>
        <v>1050038</v>
      </c>
      <c r="F64" s="147"/>
      <c r="G64" s="174">
        <f t="shared" si="9"/>
        <v>50.07902661341631</v>
      </c>
      <c r="H64" s="230"/>
      <c r="I64" s="146">
        <v>2049340</v>
      </c>
      <c r="J64" s="146">
        <v>1023054</v>
      </c>
      <c r="K64" s="175"/>
      <c r="L64" s="146">
        <v>47422</v>
      </c>
      <c r="M64" s="146">
        <v>26984</v>
      </c>
      <c r="N64" s="234">
        <f t="shared" si="10"/>
        <v>56.901859896250684</v>
      </c>
      <c r="O64" s="151"/>
    </row>
    <row r="65" spans="1:15" s="152" customFormat="1" ht="14.25">
      <c r="A65" s="142"/>
      <c r="B65" s="143" t="s">
        <v>115</v>
      </c>
      <c r="C65" s="144">
        <v>106000</v>
      </c>
      <c r="D65" s="145">
        <f t="shared" si="8"/>
        <v>116843</v>
      </c>
      <c r="E65" s="146">
        <f t="shared" si="8"/>
        <v>60332</v>
      </c>
      <c r="F65" s="147"/>
      <c r="G65" s="174">
        <f t="shared" si="9"/>
        <v>51.63510009157588</v>
      </c>
      <c r="H65" s="235"/>
      <c r="I65" s="146"/>
      <c r="J65" s="146"/>
      <c r="K65" s="175"/>
      <c r="L65" s="146">
        <v>116843</v>
      </c>
      <c r="M65" s="146">
        <v>60332</v>
      </c>
      <c r="N65" s="234">
        <f t="shared" si="10"/>
        <v>51.63510009157588</v>
      </c>
      <c r="O65" s="151"/>
    </row>
    <row r="66" spans="1:15" s="191" customFormat="1" ht="40.5" customHeight="1">
      <c r="A66" s="162" t="s">
        <v>153</v>
      </c>
      <c r="B66" s="189" t="s">
        <v>154</v>
      </c>
      <c r="C66" s="164">
        <f>SUM(C67:C68)</f>
        <v>8477600</v>
      </c>
      <c r="D66" s="165">
        <f t="shared" si="8"/>
        <v>9461949</v>
      </c>
      <c r="E66" s="166">
        <f t="shared" si="8"/>
        <v>4996791</v>
      </c>
      <c r="F66" s="136">
        <f>E66/C66*100</f>
        <v>58.94110361423044</v>
      </c>
      <c r="G66" s="167">
        <f t="shared" si="9"/>
        <v>52.80932078581273</v>
      </c>
      <c r="H66" s="229">
        <f>E66/E81*100</f>
        <v>3.7823899229102764</v>
      </c>
      <c r="I66" s="166">
        <f>SUM(I67:I68)</f>
        <v>1871904</v>
      </c>
      <c r="J66" s="166">
        <f>SUM(J67:J68)</f>
        <v>1097266</v>
      </c>
      <c r="K66" s="138">
        <f>J66/I66*100</f>
        <v>58.61764278510009</v>
      </c>
      <c r="L66" s="166">
        <f>SUM(L67:L68)</f>
        <v>7590045</v>
      </c>
      <c r="M66" s="166">
        <f>SUM(M67:M68)</f>
        <v>3899525</v>
      </c>
      <c r="N66" s="169">
        <f t="shared" si="10"/>
        <v>51.37683636921784</v>
      </c>
      <c r="O66" s="170"/>
    </row>
    <row r="67" spans="1:15" s="152" customFormat="1" ht="12.75" customHeight="1">
      <c r="A67" s="154"/>
      <c r="B67" s="155" t="s">
        <v>114</v>
      </c>
      <c r="C67" s="156">
        <v>8477600</v>
      </c>
      <c r="D67" s="157">
        <f t="shared" si="8"/>
        <v>9461949</v>
      </c>
      <c r="E67" s="158">
        <f t="shared" si="8"/>
        <v>4996791</v>
      </c>
      <c r="F67" s="181"/>
      <c r="G67" s="236"/>
      <c r="H67" s="192"/>
      <c r="I67" s="158">
        <v>1871904</v>
      </c>
      <c r="J67" s="158">
        <v>1097266</v>
      </c>
      <c r="K67" s="192"/>
      <c r="L67" s="158">
        <v>7590045</v>
      </c>
      <c r="M67" s="158">
        <v>3899525</v>
      </c>
      <c r="N67" s="161"/>
      <c r="O67" s="151"/>
    </row>
    <row r="68" spans="1:16" s="187" customFormat="1" ht="15" hidden="1">
      <c r="A68" s="176"/>
      <c r="B68" s="177" t="s">
        <v>115</v>
      </c>
      <c r="C68" s="178"/>
      <c r="D68" s="179">
        <f t="shared" si="8"/>
        <v>0</v>
      </c>
      <c r="E68" s="180">
        <f t="shared" si="8"/>
        <v>0</v>
      </c>
      <c r="F68" s="181"/>
      <c r="G68" s="182" t="e">
        <f aca="true" t="shared" si="11" ref="G68:G75">E68/D68*100</f>
        <v>#DIV/0!</v>
      </c>
      <c r="H68" s="183"/>
      <c r="I68" s="180"/>
      <c r="J68" s="180"/>
      <c r="K68" s="183"/>
      <c r="L68" s="180"/>
      <c r="M68" s="180"/>
      <c r="N68" s="184"/>
      <c r="O68" s="185"/>
      <c r="P68" s="186"/>
    </row>
    <row r="69" spans="1:15" s="191" customFormat="1" ht="61.5" customHeight="1">
      <c r="A69" s="162" t="s">
        <v>155</v>
      </c>
      <c r="B69" s="189" t="s">
        <v>156</v>
      </c>
      <c r="C69" s="164">
        <f>SUM(C70:C71)</f>
        <v>14225500</v>
      </c>
      <c r="D69" s="165">
        <f>I69+L69</f>
        <v>14875702</v>
      </c>
      <c r="E69" s="166">
        <f>J69+M69</f>
        <v>6628826</v>
      </c>
      <c r="F69" s="136">
        <f>E69/C69*100</f>
        <v>46.59819338511827</v>
      </c>
      <c r="G69" s="167">
        <f t="shared" si="11"/>
        <v>44.5614331343825</v>
      </c>
      <c r="H69" s="229">
        <f>E69/E81*100</f>
        <v>5.017781344692151</v>
      </c>
      <c r="I69" s="166">
        <f>SUM(I70:I71)</f>
        <v>11981402</v>
      </c>
      <c r="J69" s="166">
        <f>SUM(J70:J71)</f>
        <v>4945319</v>
      </c>
      <c r="K69" s="138">
        <f>J69/I69*100</f>
        <v>41.27496097702089</v>
      </c>
      <c r="L69" s="166">
        <f>SUM(L70:L71)</f>
        <v>2894300</v>
      </c>
      <c r="M69" s="166">
        <f>SUM(M70:M71)</f>
        <v>1683507</v>
      </c>
      <c r="N69" s="169">
        <f>M69/L69*100</f>
        <v>58.16629236775731</v>
      </c>
      <c r="O69" s="170"/>
    </row>
    <row r="70" spans="1:15" s="152" customFormat="1" ht="17.25" customHeight="1">
      <c r="A70" s="154"/>
      <c r="B70" s="155" t="s">
        <v>114</v>
      </c>
      <c r="C70" s="156">
        <v>14225500</v>
      </c>
      <c r="D70" s="157">
        <f aca="true" t="shared" si="12" ref="D70:D75">I70+L70</f>
        <v>14875702</v>
      </c>
      <c r="E70" s="158">
        <f t="shared" si="8"/>
        <v>6628826</v>
      </c>
      <c r="F70" s="193">
        <f>E70/C70*100</f>
        <v>46.59819338511827</v>
      </c>
      <c r="G70" s="310">
        <f t="shared" si="11"/>
        <v>44.5614331343825</v>
      </c>
      <c r="H70" s="192"/>
      <c r="I70" s="158">
        <v>11981402</v>
      </c>
      <c r="J70" s="158">
        <v>4945319</v>
      </c>
      <c r="K70" s="192">
        <f>J70/I70*100</f>
        <v>41.27496097702089</v>
      </c>
      <c r="L70" s="158">
        <v>2894300</v>
      </c>
      <c r="M70" s="158">
        <v>1683507</v>
      </c>
      <c r="N70" s="161"/>
      <c r="O70" s="151"/>
    </row>
    <row r="71" spans="1:16" s="153" customFormat="1" ht="13.5" hidden="1">
      <c r="A71" s="154"/>
      <c r="B71" s="155" t="s">
        <v>115</v>
      </c>
      <c r="C71" s="156"/>
      <c r="D71" s="157">
        <f t="shared" si="12"/>
        <v>0</v>
      </c>
      <c r="E71" s="158">
        <f>J71+M71</f>
        <v>0</v>
      </c>
      <c r="F71" s="147" t="e">
        <f>E71/C71*100</f>
        <v>#DIV/0!</v>
      </c>
      <c r="G71" s="159" t="e">
        <f t="shared" si="11"/>
        <v>#DIV/0!</v>
      </c>
      <c r="H71" s="192"/>
      <c r="I71" s="158">
        <v>0</v>
      </c>
      <c r="J71" s="158"/>
      <c r="K71" s="192" t="e">
        <f>J71/I71*100</f>
        <v>#DIV/0!</v>
      </c>
      <c r="L71" s="158"/>
      <c r="M71" s="158"/>
      <c r="N71" s="161"/>
      <c r="O71" s="151"/>
      <c r="P71" s="152"/>
    </row>
    <row r="72" spans="1:15" s="191" customFormat="1" ht="57">
      <c r="A72" s="162" t="s">
        <v>157</v>
      </c>
      <c r="B72" s="189" t="s">
        <v>158</v>
      </c>
      <c r="C72" s="164">
        <f>SUM(C73:C75)</f>
        <v>14660101</v>
      </c>
      <c r="D72" s="165">
        <f t="shared" si="12"/>
        <v>15791540</v>
      </c>
      <c r="E72" s="166">
        <f>J72+M72</f>
        <v>7301001</v>
      </c>
      <c r="F72" s="136">
        <f>E72/C72*100</f>
        <v>49.80184652206693</v>
      </c>
      <c r="G72" s="167">
        <f t="shared" si="11"/>
        <v>46.23362255992765</v>
      </c>
      <c r="H72" s="229">
        <f>E72/E81*100</f>
        <v>5.526593489613204</v>
      </c>
      <c r="I72" s="166">
        <f>SUM(I73:I75)</f>
        <v>4417280</v>
      </c>
      <c r="J72" s="166">
        <f>SUM(J73:J75)</f>
        <v>2253980</v>
      </c>
      <c r="K72" s="138">
        <f>J72/I72*100</f>
        <v>51.02642350043466</v>
      </c>
      <c r="L72" s="166">
        <f>SUM(L73:L75)</f>
        <v>11374260</v>
      </c>
      <c r="M72" s="166">
        <f>SUM(M73:M74)</f>
        <v>5047021</v>
      </c>
      <c r="N72" s="169">
        <f>M72/L72*100</f>
        <v>44.3723020222854</v>
      </c>
      <c r="O72" s="170"/>
    </row>
    <row r="73" spans="1:15" s="152" customFormat="1" ht="13.5">
      <c r="A73" s="142"/>
      <c r="B73" s="143" t="s">
        <v>114</v>
      </c>
      <c r="C73" s="144">
        <v>14660101</v>
      </c>
      <c r="D73" s="145">
        <f t="shared" si="12"/>
        <v>15787540</v>
      </c>
      <c r="E73" s="146">
        <f>J73+M73</f>
        <v>7301001</v>
      </c>
      <c r="F73" s="147">
        <f>E73/C73*100</f>
        <v>49.80184652206693</v>
      </c>
      <c r="G73" s="148">
        <f t="shared" si="11"/>
        <v>46.24533651221153</v>
      </c>
      <c r="H73" s="175"/>
      <c r="I73" s="146">
        <v>4413280</v>
      </c>
      <c r="J73" s="146">
        <v>2253980</v>
      </c>
      <c r="K73" s="175">
        <f>J73/I73*100</f>
        <v>51.07267157307037</v>
      </c>
      <c r="L73" s="146">
        <v>11374260</v>
      </c>
      <c r="M73" s="146">
        <v>5047021</v>
      </c>
      <c r="N73" s="226">
        <f>M73/L73*100</f>
        <v>44.3723020222854</v>
      </c>
      <c r="O73" s="151"/>
    </row>
    <row r="74" spans="1:16" s="153" customFormat="1" ht="14.25" customHeight="1">
      <c r="A74" s="142"/>
      <c r="B74" s="143" t="s">
        <v>115</v>
      </c>
      <c r="C74" s="144"/>
      <c r="D74" s="145">
        <f t="shared" si="12"/>
        <v>4000</v>
      </c>
      <c r="E74" s="146">
        <f>J74+M74</f>
        <v>0</v>
      </c>
      <c r="F74" s="147"/>
      <c r="G74" s="148">
        <f t="shared" si="11"/>
        <v>0</v>
      </c>
      <c r="H74" s="175"/>
      <c r="I74" s="146">
        <v>4000</v>
      </c>
      <c r="J74" s="146"/>
      <c r="K74" s="175"/>
      <c r="L74" s="146"/>
      <c r="M74" s="146"/>
      <c r="N74" s="150"/>
      <c r="O74" s="151"/>
      <c r="P74" s="152"/>
    </row>
    <row r="75" spans="1:15" s="152" customFormat="1" ht="14.25" customHeight="1" hidden="1">
      <c r="A75" s="154"/>
      <c r="B75" s="155" t="s">
        <v>128</v>
      </c>
      <c r="C75" s="156"/>
      <c r="D75" s="157">
        <f t="shared" si="12"/>
        <v>0</v>
      </c>
      <c r="E75" s="158">
        <f>J75+M75</f>
        <v>0</v>
      </c>
      <c r="F75" s="193" t="e">
        <f>E75/C75*100</f>
        <v>#DIV/0!</v>
      </c>
      <c r="G75" s="159" t="e">
        <f t="shared" si="11"/>
        <v>#DIV/0!</v>
      </c>
      <c r="H75" s="192"/>
      <c r="I75" s="158"/>
      <c r="J75" s="158"/>
      <c r="K75" s="192"/>
      <c r="L75" s="158"/>
      <c r="M75" s="158"/>
      <c r="N75" s="161"/>
      <c r="O75" s="151"/>
    </row>
    <row r="76" spans="1:15" s="246" customFormat="1" ht="96.75" customHeight="1" hidden="1">
      <c r="A76" s="237" t="s">
        <v>159</v>
      </c>
      <c r="B76" s="189" t="s">
        <v>160</v>
      </c>
      <c r="C76" s="238">
        <f>SUM(C77:C78)</f>
        <v>0</v>
      </c>
      <c r="D76" s="239"/>
      <c r="E76" s="240"/>
      <c r="F76" s="228"/>
      <c r="G76" s="241"/>
      <c r="H76" s="242"/>
      <c r="I76" s="240"/>
      <c r="J76" s="240"/>
      <c r="K76" s="243"/>
      <c r="L76" s="240"/>
      <c r="M76" s="240"/>
      <c r="N76" s="244"/>
      <c r="O76" s="245"/>
    </row>
    <row r="77" spans="1:15" s="186" customFormat="1" ht="15" hidden="1">
      <c r="A77" s="194"/>
      <c r="B77" s="195" t="s">
        <v>114</v>
      </c>
      <c r="C77" s="196"/>
      <c r="D77" s="197"/>
      <c r="E77" s="198"/>
      <c r="F77" s="173"/>
      <c r="G77" s="247"/>
      <c r="H77" s="200"/>
      <c r="I77" s="198"/>
      <c r="J77" s="198"/>
      <c r="K77" s="200"/>
      <c r="L77" s="198"/>
      <c r="M77" s="198"/>
      <c r="N77" s="248"/>
      <c r="O77" s="185"/>
    </row>
    <row r="78" spans="1:16" s="153" customFormat="1" ht="13.5" hidden="1">
      <c r="A78" s="154"/>
      <c r="B78" s="155" t="s">
        <v>115</v>
      </c>
      <c r="C78" s="156"/>
      <c r="D78" s="157"/>
      <c r="E78" s="146"/>
      <c r="F78" s="173"/>
      <c r="G78" s="159"/>
      <c r="H78" s="192"/>
      <c r="I78" s="158"/>
      <c r="J78" s="158"/>
      <c r="K78" s="192"/>
      <c r="L78" s="158"/>
      <c r="M78" s="158"/>
      <c r="N78" s="161"/>
      <c r="O78" s="151"/>
      <c r="P78" s="152"/>
    </row>
    <row r="79" spans="1:16" s="188" customFormat="1" ht="39" customHeight="1">
      <c r="A79" s="131" t="s">
        <v>161</v>
      </c>
      <c r="B79" s="132" t="s">
        <v>162</v>
      </c>
      <c r="C79" s="133">
        <f>SUM(C80)</f>
        <v>11096220</v>
      </c>
      <c r="D79" s="134">
        <f>I79+L79</f>
        <v>13012415</v>
      </c>
      <c r="E79" s="135">
        <f>J79+M79</f>
        <v>2670925</v>
      </c>
      <c r="F79" s="136">
        <f>E79/C79*100</f>
        <v>24.070584397209142</v>
      </c>
      <c r="G79" s="167">
        <f>E79/D79*100</f>
        <v>20.525974617317384</v>
      </c>
      <c r="H79" s="249">
        <f>E79/E81*100</f>
        <v>2.0217935480689766</v>
      </c>
      <c r="I79" s="135">
        <f>SUM(I80)</f>
        <v>13012415</v>
      </c>
      <c r="J79" s="135">
        <f>SUM(J80)</f>
        <v>2670925</v>
      </c>
      <c r="K79" s="138">
        <f>J79/I79*100</f>
        <v>20.525974617317384</v>
      </c>
      <c r="L79" s="165"/>
      <c r="M79" s="166"/>
      <c r="N79" s="169"/>
      <c r="O79" s="140"/>
      <c r="P79" s="141"/>
    </row>
    <row r="80" spans="1:15" s="152" customFormat="1" ht="13.5" customHeight="1" thickBot="1">
      <c r="A80" s="142"/>
      <c r="B80" s="143" t="s">
        <v>114</v>
      </c>
      <c r="C80" s="144">
        <v>11096220</v>
      </c>
      <c r="D80" s="145">
        <f>I80+L80</f>
        <v>13012415</v>
      </c>
      <c r="E80" s="146">
        <f>J80+M80</f>
        <v>2670925</v>
      </c>
      <c r="F80" s="173"/>
      <c r="G80" s="174"/>
      <c r="H80" s="250"/>
      <c r="I80" s="146">
        <v>13012415</v>
      </c>
      <c r="J80" s="146">
        <v>2670925</v>
      </c>
      <c r="K80" s="175"/>
      <c r="L80" s="251"/>
      <c r="M80" s="252"/>
      <c r="N80" s="234"/>
      <c r="O80" s="151"/>
    </row>
    <row r="81" spans="1:15" s="265" customFormat="1" ht="18" thickTop="1">
      <c r="A81" s="253"/>
      <c r="B81" s="254" t="s">
        <v>102</v>
      </c>
      <c r="C81" s="255">
        <f>C8+C11+C20+C23+C27+C32+C42+C37+C45+C48+C54+C58+C66+C69+C72+C76+C16+C79+C52+C18+C14+C40+C63+C35</f>
        <v>307369996</v>
      </c>
      <c r="D81" s="256">
        <f>D8+D11+D20+D23+D27+D32+D42+D37+D45+D48+D54+D58+D66+D69+D72+D76+D16+D79+D52+D18+D14+D40+D63+D35</f>
        <v>323466100</v>
      </c>
      <c r="E81" s="257">
        <f>E8+E11+E20+E23+E27+E32+E42+E37+E45+E48+E54+E58+E66+E69+E72+E76+E16+E79+E52+E18+E14+E40+E63+E35</f>
        <v>132106713</v>
      </c>
      <c r="F81" s="258">
        <f>E81/C81*100</f>
        <v>42.979703523176674</v>
      </c>
      <c r="G81" s="259">
        <f>E81/D81*100</f>
        <v>40.840976225947635</v>
      </c>
      <c r="H81" s="260">
        <f>E81/E81*100</f>
        <v>100</v>
      </c>
      <c r="I81" s="261">
        <f>I8+I11+I20+I23+I27+I32+I42+I37+I45+I48+I54+I58+I66+I69+I72+I76+I16+I79+I52+I18+I14+I40+I63+I35</f>
        <v>219889197</v>
      </c>
      <c r="J81" s="257">
        <f>J8+J11+J20+J23+J27+J32+J42+J37+J45+J48+J54+J58+J66+J69+J72+J76+J16+J79+J52+J18+J14+J40+J63+J35</f>
        <v>85094388</v>
      </c>
      <c r="K81" s="262">
        <f>J81/I81*100</f>
        <v>38.698757902144685</v>
      </c>
      <c r="L81" s="261">
        <f>L8+L11+L20+L23+L27+L32+L42+L37+L45+L48+L54+L58+L66+L69+L72+L76+L16+L79+L52+L18+L14+L40+L63+L35</f>
        <v>103576903</v>
      </c>
      <c r="M81" s="257">
        <f>M8+M11+M20+M23+M27+M32+M42+M37+M45+M48+M54+M58+M66+M69+M72+M76+M16+M79+M52+M18+M14+M40+M63+M35</f>
        <v>47012325</v>
      </c>
      <c r="N81" s="263">
        <f>M81/L81*100</f>
        <v>45.38881124877812</v>
      </c>
      <c r="O81" s="264"/>
    </row>
    <row r="82" spans="1:15" s="277" customFormat="1" ht="15">
      <c r="A82" s="266"/>
      <c r="B82" s="267" t="s">
        <v>114</v>
      </c>
      <c r="C82" s="268">
        <f>C9+C12+C21+C24+C28+C33+C43+C38+C46+C49+C55+C59+C67+C70+C73+C77+C17+C80+C53+C19+C15+C41+C64</f>
        <v>274184471</v>
      </c>
      <c r="D82" s="269">
        <f>D9+D12+D21+D24+D28+D33+D43+D38+D46+D49+D55+D59+D67+D70+D73+D77+D17+D80+D53+D19+D15+D41+D64</f>
        <v>283206150</v>
      </c>
      <c r="E82" s="270">
        <f>E9+E12+E21+E24+E28+E33+E43+E38+E46+E49+E55+E59+E67+E70+E73+E77+E17+E80+E53+E19+E15+E41+E64</f>
        <v>118278850</v>
      </c>
      <c r="F82" s="271">
        <f>E82/C82*100</f>
        <v>43.13842048333948</v>
      </c>
      <c r="G82" s="271">
        <f>E82/D82*100</f>
        <v>41.764223693588576</v>
      </c>
      <c r="H82" s="272">
        <f>E82/E81*100</f>
        <v>89.53280822300074</v>
      </c>
      <c r="I82" s="273">
        <f>I9+I12+I21+I24+I28+I33+I43+I38+I46+I49+I55+I59+I67+I70+I73+I77+I17+I80+I53+I19+I15+I41+I64</f>
        <v>187529922</v>
      </c>
      <c r="J82" s="274">
        <f>J9+J12+J21+J24+J28+J33+J43+J38+J46+J49+J55+J59+J67+J70+J73+J77+J17+J80+J53+J19+J15+J41+J64</f>
        <v>75101684</v>
      </c>
      <c r="K82" s="275">
        <f>J82/I82*100</f>
        <v>40.047840472092766</v>
      </c>
      <c r="L82" s="273">
        <f>L9+L12+L21+L24+L28+L33+L43+L38+L46+L49+L55+L59+L67+L70+L73+L77+L17+L80+L53+L19+L15+L41+L64</f>
        <v>95676228</v>
      </c>
      <c r="M82" s="274">
        <f>M9+M12+M21+M24+M28+M33+M43+M38+M46+M49+M55+M59+M67+M70+M73+M77+M17+M80+M53+M19+M15+M41+M64</f>
        <v>43177166</v>
      </c>
      <c r="N82" s="233">
        <f>M82/L82*100</f>
        <v>45.12841580669338</v>
      </c>
      <c r="O82" s="276"/>
    </row>
    <row r="83" spans="1:15" s="277" customFormat="1" ht="12" customHeight="1">
      <c r="A83" s="266"/>
      <c r="B83" s="267" t="s">
        <v>115</v>
      </c>
      <c r="C83" s="268">
        <f>C10+C13+C22+C25+C29+C34+C44+C39+C47+C50+C56+C60+C68+C71+C74+C78+C65+C36</f>
        <v>33177025</v>
      </c>
      <c r="D83" s="269">
        <f>D10+D13+D22+D25+D29+D34+D44+D39+D47+D50+D56+D60+D68+D71+D74+D78+D65+D36</f>
        <v>38402418</v>
      </c>
      <c r="E83" s="270">
        <f>E10+E13+E22+E25+E29+E34+E44+E39+E47+E50+E56+E60+E68+E71+E74+E78+E65+E36</f>
        <v>12952609</v>
      </c>
      <c r="F83" s="271">
        <f>E83/C83*100</f>
        <v>39.040899538159316</v>
      </c>
      <c r="G83" s="271">
        <f>E83/D83*100</f>
        <v>33.72862875457477</v>
      </c>
      <c r="H83" s="272">
        <f>E83/E81*100</f>
        <v>9.804656179735545</v>
      </c>
      <c r="I83" s="273">
        <f>I10+I13+I22+I25+I29+I34+I44+I39+I47+I50+I56+I60+I68+I71+I74+I78+I65+I36</f>
        <v>32359275</v>
      </c>
      <c r="J83" s="274">
        <f>J10+J13+J22+J25+J29+J34+J44+J39+J47+J50+J56+J60+J68+J71+J74+J78+J65+J36</f>
        <v>9992704</v>
      </c>
      <c r="K83" s="275">
        <f>J83/I83*100</f>
        <v>30.880494077818494</v>
      </c>
      <c r="L83" s="273">
        <f>L10+L13+L22+L25+L29+L34+L44+L39+L47+L50+L56+L60+L68+L71+L74+L78+L65+L36</f>
        <v>6043143</v>
      </c>
      <c r="M83" s="274">
        <f>M10+M13+M22+M25+M29+M34+M44+M39+M47+M50+M56+M60+M68+M71+M74+M78+M65+M36</f>
        <v>2959905</v>
      </c>
      <c r="N83" s="233">
        <f>M83/L83*100</f>
        <v>48.97956245615899</v>
      </c>
      <c r="O83" s="276"/>
    </row>
    <row r="84" spans="1:15" s="277" customFormat="1" ht="45">
      <c r="A84" s="266"/>
      <c r="B84" s="2270" t="s">
        <v>497</v>
      </c>
      <c r="C84" s="268">
        <f>$C$26+$C$30+$C$75+$C$61</f>
        <v>8500</v>
      </c>
      <c r="D84" s="269">
        <f>$D$26+$D$30+$D$75+$D$61+$D$51</f>
        <v>8500</v>
      </c>
      <c r="E84" s="270">
        <f>$E$26+$E$30+$E$75+$E$61+$E$51</f>
        <v>6406</v>
      </c>
      <c r="F84" s="271"/>
      <c r="G84" s="271">
        <f>E84/D84*100</f>
        <v>75.36470588235295</v>
      </c>
      <c r="H84" s="272">
        <f>E84/E82*100</f>
        <v>0.005416014782017241</v>
      </c>
      <c r="I84" s="2271"/>
      <c r="J84" s="274"/>
      <c r="K84" s="275"/>
      <c r="L84" s="273">
        <f>$L$26+$L$30+$L$75+$L$61+$L$51</f>
        <v>8500</v>
      </c>
      <c r="M84" s="274">
        <f>$M$26+$M$30+$M$75+$M$61+$M$51</f>
        <v>6406</v>
      </c>
      <c r="N84" s="233">
        <f>M84/L84*100</f>
        <v>75.36470588235295</v>
      </c>
      <c r="O84" s="276"/>
    </row>
    <row r="85" spans="1:15" s="291" customFormat="1" ht="45.75" thickBot="1">
      <c r="A85" s="278"/>
      <c r="B85" s="279" t="s">
        <v>499</v>
      </c>
      <c r="C85" s="280"/>
      <c r="D85" s="281">
        <f>D31+D62</f>
        <v>1849032</v>
      </c>
      <c r="E85" s="282">
        <f>E31+E62</f>
        <v>868848</v>
      </c>
      <c r="F85" s="283" t="e">
        <f>E85/C85*100</f>
        <v>#DIV/0!</v>
      </c>
      <c r="G85" s="284">
        <f>E85/D85*100</f>
        <v>46.98934361330686</v>
      </c>
      <c r="H85" s="285">
        <f>E85/E82*100</f>
        <v>0.734575961805513</v>
      </c>
      <c r="I85" s="286"/>
      <c r="J85" s="287"/>
      <c r="K85" s="288"/>
      <c r="L85" s="2272">
        <f>L31+L62</f>
        <v>1849032</v>
      </c>
      <c r="M85" s="287">
        <f>M31+M62</f>
        <v>868848</v>
      </c>
      <c r="N85" s="289">
        <f>M85/L85*100</f>
        <v>46.98934361330686</v>
      </c>
      <c r="O85" s="290"/>
    </row>
    <row r="86" spans="1:15" s="291" customFormat="1" ht="15">
      <c r="A86" s="2273"/>
      <c r="B86" s="2274"/>
      <c r="C86" s="2271"/>
      <c r="D86" s="2271"/>
      <c r="E86" s="2271"/>
      <c r="F86" s="276"/>
      <c r="G86" s="276"/>
      <c r="H86" s="276"/>
      <c r="I86" s="2271"/>
      <c r="J86" s="2271"/>
      <c r="K86" s="276"/>
      <c r="L86" s="2271"/>
      <c r="M86" s="2271"/>
      <c r="N86" s="276"/>
      <c r="O86" s="290"/>
    </row>
    <row r="87" spans="1:15" s="298" customFormat="1" ht="21.75" customHeight="1">
      <c r="A87" s="292"/>
      <c r="B87" s="293"/>
      <c r="C87" s="293"/>
      <c r="D87" s="294"/>
      <c r="E87" s="294"/>
      <c r="F87" s="294"/>
      <c r="G87" s="295"/>
      <c r="H87" s="296"/>
      <c r="I87" s="294"/>
      <c r="J87" s="294"/>
      <c r="K87" s="295"/>
      <c r="L87" s="297"/>
      <c r="M87" s="297"/>
      <c r="N87" s="295"/>
      <c r="O87" s="294"/>
    </row>
    <row r="88" spans="1:15" s="300" customFormat="1" ht="18" customHeight="1">
      <c r="A88" s="299"/>
      <c r="D88" s="301"/>
      <c r="E88" s="301"/>
      <c r="F88" s="301"/>
      <c r="G88" s="302"/>
      <c r="H88" s="303"/>
      <c r="I88" s="301"/>
      <c r="J88" s="301"/>
      <c r="K88" s="302"/>
      <c r="L88" s="301"/>
      <c r="M88" s="301"/>
      <c r="N88" s="295"/>
      <c r="O88" s="294"/>
    </row>
    <row r="89" spans="1:15" ht="12.75">
      <c r="A89" s="82"/>
      <c r="D89" s="304"/>
      <c r="E89" s="304"/>
      <c r="F89" s="304"/>
      <c r="G89" s="305"/>
      <c r="H89" s="306"/>
      <c r="I89" s="304"/>
      <c r="J89" s="304"/>
      <c r="K89" s="305"/>
      <c r="L89" s="304"/>
      <c r="M89" s="304"/>
      <c r="N89" s="305"/>
      <c r="O89" s="307"/>
    </row>
    <row r="90" spans="1:15" ht="12.75">
      <c r="A90" s="82"/>
      <c r="D90" s="304"/>
      <c r="E90" s="304"/>
      <c r="F90" s="304"/>
      <c r="G90" s="305"/>
      <c r="H90" s="306"/>
      <c r="I90" s="304"/>
      <c r="J90" s="304"/>
      <c r="K90" s="305"/>
      <c r="L90" s="304"/>
      <c r="M90" s="304"/>
      <c r="N90" s="305"/>
      <c r="O90" s="307"/>
    </row>
    <row r="91" spans="1:15" ht="12.75">
      <c r="A91" s="82"/>
      <c r="D91" s="304"/>
      <c r="E91" s="304"/>
      <c r="F91" s="304"/>
      <c r="G91" s="305"/>
      <c r="H91" s="306"/>
      <c r="I91" s="304"/>
      <c r="J91" s="304"/>
      <c r="K91" s="305"/>
      <c r="L91" s="304"/>
      <c r="M91" s="304"/>
      <c r="N91" s="305"/>
      <c r="O91" s="307"/>
    </row>
    <row r="92" ht="12.75">
      <c r="A92" s="82"/>
    </row>
    <row r="93" ht="12.75">
      <c r="A93" s="82"/>
    </row>
    <row r="94" ht="12.75">
      <c r="A94" s="82"/>
    </row>
    <row r="95" ht="12.75">
      <c r="A95" s="82"/>
    </row>
    <row r="96" ht="12.75">
      <c r="A96" s="82"/>
    </row>
    <row r="97" ht="12.75">
      <c r="A97" s="82"/>
    </row>
    <row r="98" ht="12.75">
      <c r="A98" s="82"/>
    </row>
    <row r="99" ht="12.75">
      <c r="A99" s="82"/>
    </row>
    <row r="100" ht="12.75">
      <c r="A100" s="82"/>
    </row>
    <row r="101" ht="12.75">
      <c r="A101" s="82"/>
    </row>
    <row r="102" ht="12.75">
      <c r="A102" s="82"/>
    </row>
    <row r="103" ht="12.75">
      <c r="A103" s="82"/>
    </row>
    <row r="104" ht="12.75">
      <c r="A104" s="82"/>
    </row>
    <row r="105" ht="12.75">
      <c r="A105" s="82"/>
    </row>
    <row r="106" ht="12.75">
      <c r="A106" s="82"/>
    </row>
    <row r="107" ht="12.75">
      <c r="A107" s="82"/>
    </row>
    <row r="108" ht="12.75">
      <c r="A108" s="82"/>
    </row>
    <row r="109" ht="12.75">
      <c r="A109" s="82"/>
    </row>
    <row r="110" ht="12.75">
      <c r="A110" s="82"/>
    </row>
    <row r="111" ht="12.75">
      <c r="A111" s="82"/>
    </row>
    <row r="112" ht="12.75">
      <c r="A112" s="82"/>
    </row>
    <row r="113" ht="12.75">
      <c r="A113" s="82"/>
    </row>
    <row r="114" ht="12.75">
      <c r="A114" s="82"/>
    </row>
    <row r="115" ht="12.75">
      <c r="A115" s="82"/>
    </row>
    <row r="116" ht="12.75">
      <c r="A116" s="82"/>
    </row>
    <row r="117" ht="12.75">
      <c r="A117" s="82"/>
    </row>
    <row r="118" ht="12.75">
      <c r="A118" s="82"/>
    </row>
    <row r="119" ht="12.75">
      <c r="A119" s="82"/>
    </row>
    <row r="120" ht="12.75">
      <c r="A120" s="82"/>
    </row>
    <row r="121" ht="12.75">
      <c r="A121" s="82"/>
    </row>
    <row r="122" ht="12.75">
      <c r="A122" s="82"/>
    </row>
    <row r="123" ht="12.75">
      <c r="A123" s="82"/>
    </row>
    <row r="124" ht="12.75">
      <c r="A124" s="82"/>
    </row>
    <row r="125" ht="12.75">
      <c r="A125" s="82"/>
    </row>
    <row r="126" ht="12.75">
      <c r="A126" s="82"/>
    </row>
    <row r="127" ht="12.75">
      <c r="A127" s="82"/>
    </row>
    <row r="128" ht="12.75">
      <c r="A128" s="82"/>
    </row>
    <row r="129" ht="12.75">
      <c r="A129" s="82"/>
    </row>
    <row r="130" ht="12.75">
      <c r="A130" s="82"/>
    </row>
    <row r="131" ht="12.75">
      <c r="A131" s="82"/>
    </row>
    <row r="132" ht="12.75">
      <c r="A132" s="82"/>
    </row>
    <row r="133" ht="12.75">
      <c r="A133" s="82"/>
    </row>
    <row r="134" ht="12.75">
      <c r="A134" s="82"/>
    </row>
    <row r="135" ht="12.75">
      <c r="A135" s="82"/>
    </row>
    <row r="136" ht="12.75">
      <c r="A136" s="82"/>
    </row>
    <row r="137" ht="12.75">
      <c r="A137" s="82"/>
    </row>
    <row r="138" ht="12.75">
      <c r="A138" s="82"/>
    </row>
    <row r="139" ht="12.75">
      <c r="A139" s="82"/>
    </row>
    <row r="140" ht="12.75">
      <c r="A140" s="82"/>
    </row>
    <row r="141" ht="12.75">
      <c r="A141" s="82"/>
    </row>
    <row r="142" ht="12.75">
      <c r="A142" s="82"/>
    </row>
    <row r="143" ht="12.75">
      <c r="A143" s="82"/>
    </row>
    <row r="144" ht="12.75">
      <c r="A144" s="82"/>
    </row>
    <row r="145" ht="12.75">
      <c r="A145" s="82"/>
    </row>
    <row r="146" ht="12.75">
      <c r="A146" s="82"/>
    </row>
    <row r="147" ht="12.75">
      <c r="A147" s="82"/>
    </row>
    <row r="148" ht="12.75">
      <c r="A148" s="82"/>
    </row>
    <row r="149" ht="12.75">
      <c r="A149" s="82"/>
    </row>
    <row r="150" ht="12.75">
      <c r="A150" s="82"/>
    </row>
    <row r="151" ht="12.75">
      <c r="A151" s="82"/>
    </row>
    <row r="152" ht="12.75">
      <c r="A152" s="82"/>
    </row>
    <row r="153" ht="12.75">
      <c r="A153" s="82"/>
    </row>
    <row r="154" ht="12.75">
      <c r="A154" s="82"/>
    </row>
    <row r="155" ht="12.75">
      <c r="A155" s="82"/>
    </row>
    <row r="156" ht="12.75">
      <c r="A156" s="82"/>
    </row>
    <row r="157" ht="12.75">
      <c r="A157" s="82"/>
    </row>
    <row r="158" ht="12.75">
      <c r="A158" s="82"/>
    </row>
    <row r="159" ht="12.75">
      <c r="A159" s="82"/>
    </row>
    <row r="160" ht="12.75">
      <c r="A160" s="82"/>
    </row>
    <row r="161" ht="12.75">
      <c r="A161" s="82"/>
    </row>
    <row r="162" ht="12.75">
      <c r="A162" s="82"/>
    </row>
    <row r="163" ht="12.75">
      <c r="A163" s="82"/>
    </row>
    <row r="164" ht="12.75">
      <c r="A164" s="82"/>
    </row>
    <row r="165" ht="12.75">
      <c r="A165" s="82"/>
    </row>
    <row r="166" ht="12.75">
      <c r="A166" s="82"/>
    </row>
    <row r="167" ht="12.75">
      <c r="A167" s="82"/>
    </row>
    <row r="168" ht="12.75">
      <c r="A168" s="82"/>
    </row>
    <row r="169" ht="12.75">
      <c r="A169" s="82"/>
    </row>
    <row r="170" ht="12.75">
      <c r="A170" s="82"/>
    </row>
    <row r="171" ht="12.75">
      <c r="A171" s="82"/>
    </row>
    <row r="172" ht="12.75">
      <c r="A172" s="82"/>
    </row>
    <row r="173" ht="12.75">
      <c r="A173" s="82"/>
    </row>
    <row r="174" ht="12.75">
      <c r="A174" s="82"/>
    </row>
    <row r="175" ht="12.75">
      <c r="A175" s="82"/>
    </row>
    <row r="176" ht="12.75">
      <c r="A176" s="82"/>
    </row>
    <row r="177" ht="12.75">
      <c r="A177" s="82"/>
    </row>
    <row r="178" ht="12.75">
      <c r="A178" s="82"/>
    </row>
    <row r="179" ht="12.75">
      <c r="A179" s="82"/>
    </row>
    <row r="180" ht="12.75">
      <c r="A180" s="82"/>
    </row>
    <row r="181" ht="12.75">
      <c r="A181" s="82"/>
    </row>
    <row r="182" ht="12.75">
      <c r="A182" s="82"/>
    </row>
    <row r="183" ht="12.75">
      <c r="A183" s="82"/>
    </row>
    <row r="184" ht="12.75">
      <c r="A184" s="82"/>
    </row>
    <row r="185" ht="12.75">
      <c r="A185" s="82"/>
    </row>
    <row r="186" ht="12.75">
      <c r="A186" s="82"/>
    </row>
    <row r="187" ht="12.75">
      <c r="A187" s="82"/>
    </row>
    <row r="188" ht="12.75">
      <c r="A188" s="82"/>
    </row>
    <row r="189" ht="12.75">
      <c r="A189" s="82"/>
    </row>
    <row r="190" ht="12.75">
      <c r="A190" s="82"/>
    </row>
    <row r="191" ht="12.75">
      <c r="A191" s="82"/>
    </row>
    <row r="192" ht="12.75">
      <c r="A192" s="82"/>
    </row>
    <row r="193" ht="12.75">
      <c r="A193" s="82"/>
    </row>
    <row r="194" ht="12.75">
      <c r="A194" s="82"/>
    </row>
    <row r="195" ht="12.75">
      <c r="A195" s="82"/>
    </row>
    <row r="196" ht="12.75">
      <c r="A196" s="82"/>
    </row>
    <row r="197" ht="12.75">
      <c r="A197" s="82"/>
    </row>
    <row r="198" ht="12.75">
      <c r="A198" s="82"/>
    </row>
    <row r="199" ht="12.75">
      <c r="A199" s="82"/>
    </row>
    <row r="200" ht="12.75">
      <c r="A200" s="82"/>
    </row>
    <row r="201" ht="12.75">
      <c r="A201" s="82"/>
    </row>
    <row r="202" ht="12.75">
      <c r="A202" s="82"/>
    </row>
    <row r="203" ht="12.75">
      <c r="A203" s="82"/>
    </row>
    <row r="204" ht="12.75">
      <c r="A204" s="82"/>
    </row>
    <row r="205" ht="12.75">
      <c r="A205" s="82"/>
    </row>
    <row r="206" ht="12.75">
      <c r="A206" s="82"/>
    </row>
    <row r="207" ht="12.75">
      <c r="A207" s="82"/>
    </row>
    <row r="208" ht="12.75">
      <c r="A208" s="82"/>
    </row>
    <row r="209" ht="12.75">
      <c r="A209" s="82"/>
    </row>
    <row r="210" ht="12.75">
      <c r="A210" s="82"/>
    </row>
    <row r="211" ht="12.75">
      <c r="A211" s="82"/>
    </row>
    <row r="212" ht="12.75">
      <c r="A212" s="82"/>
    </row>
    <row r="213" ht="12.75">
      <c r="A213" s="82"/>
    </row>
    <row r="214" ht="12.75">
      <c r="A214" s="82"/>
    </row>
    <row r="215" ht="12.75">
      <c r="A215" s="82"/>
    </row>
    <row r="216" ht="12.75">
      <c r="A216" s="82"/>
    </row>
    <row r="217" ht="12.75">
      <c r="A217" s="82"/>
    </row>
    <row r="218" ht="12.75">
      <c r="A218" s="82"/>
    </row>
    <row r="219" ht="12.75">
      <c r="A219" s="82"/>
    </row>
    <row r="220" ht="12.75">
      <c r="A220" s="82"/>
    </row>
    <row r="221" ht="12.75">
      <c r="A221" s="82"/>
    </row>
    <row r="222" ht="12.75">
      <c r="A222" s="82"/>
    </row>
    <row r="223" ht="12.75">
      <c r="A223" s="82"/>
    </row>
    <row r="224" ht="12.75">
      <c r="A224" s="82"/>
    </row>
    <row r="225" ht="12.75">
      <c r="A225" s="82"/>
    </row>
    <row r="226" ht="12.75">
      <c r="A226" s="82"/>
    </row>
    <row r="227" ht="12.75">
      <c r="A227" s="82"/>
    </row>
    <row r="228" ht="12.75">
      <c r="A228" s="82"/>
    </row>
    <row r="229" ht="12.75">
      <c r="A229" s="82"/>
    </row>
    <row r="230" ht="12.75">
      <c r="A230" s="82"/>
    </row>
    <row r="231" ht="12.75">
      <c r="A231" s="82"/>
    </row>
    <row r="232" ht="12.75">
      <c r="A232" s="82"/>
    </row>
    <row r="233" ht="12.75">
      <c r="A233" s="82"/>
    </row>
    <row r="234" ht="12.75">
      <c r="A234" s="82"/>
    </row>
    <row r="235" ht="12.75">
      <c r="A235" s="82"/>
    </row>
    <row r="236" ht="12.75">
      <c r="A236" s="82"/>
    </row>
    <row r="237" ht="12.75">
      <c r="A237" s="82"/>
    </row>
    <row r="238" ht="12.75">
      <c r="A238" s="82"/>
    </row>
    <row r="239" ht="12.75">
      <c r="A239" s="82"/>
    </row>
    <row r="240" ht="12.75">
      <c r="A240" s="82"/>
    </row>
    <row r="241" ht="12.75">
      <c r="A241" s="82"/>
    </row>
    <row r="242" ht="12.75">
      <c r="A242" s="82"/>
    </row>
    <row r="243" ht="12.75">
      <c r="A243" s="82"/>
    </row>
    <row r="244" ht="12.75">
      <c r="A244" s="82"/>
    </row>
    <row r="245" ht="12.75">
      <c r="A245" s="82"/>
    </row>
    <row r="246" ht="12.75">
      <c r="A246" s="82"/>
    </row>
    <row r="247" ht="12.75">
      <c r="A247" s="82"/>
    </row>
    <row r="248" ht="12.75">
      <c r="A248" s="82"/>
    </row>
    <row r="249" ht="12.75">
      <c r="A249" s="82"/>
    </row>
    <row r="250" ht="12.75">
      <c r="A250" s="82"/>
    </row>
    <row r="251" ht="12.75">
      <c r="A251" s="82"/>
    </row>
    <row r="252" ht="12.75">
      <c r="A252" s="82"/>
    </row>
    <row r="253" ht="12.75">
      <c r="A253" s="82"/>
    </row>
    <row r="254" ht="12.75">
      <c r="A254" s="82"/>
    </row>
    <row r="255" ht="12.75">
      <c r="A255" s="82"/>
    </row>
    <row r="256" ht="12.75">
      <c r="A256" s="82"/>
    </row>
    <row r="257" ht="12.75">
      <c r="A257" s="82"/>
    </row>
    <row r="258" ht="12.75">
      <c r="A258" s="82"/>
    </row>
    <row r="259" ht="12.75">
      <c r="A259" s="82"/>
    </row>
    <row r="260" ht="12.75">
      <c r="A260" s="82"/>
    </row>
    <row r="261" ht="12.75">
      <c r="A261" s="82"/>
    </row>
    <row r="262" ht="12.75">
      <c r="A262" s="82"/>
    </row>
    <row r="263" ht="12.75">
      <c r="A263" s="82"/>
    </row>
    <row r="264" ht="12.75">
      <c r="A264" s="82"/>
    </row>
    <row r="265" ht="12.75">
      <c r="A265" s="82"/>
    </row>
    <row r="266" ht="12.75">
      <c r="A266" s="82"/>
    </row>
    <row r="267" ht="12.75">
      <c r="A267" s="82"/>
    </row>
    <row r="268" ht="12.75">
      <c r="A268" s="82"/>
    </row>
    <row r="269" ht="12.75">
      <c r="A269" s="82"/>
    </row>
    <row r="270" ht="12.75">
      <c r="A270" s="82"/>
    </row>
    <row r="271" ht="12.75">
      <c r="A271" s="82"/>
    </row>
    <row r="272" ht="12.75">
      <c r="A272" s="82"/>
    </row>
    <row r="273" ht="12.75">
      <c r="A273" s="82"/>
    </row>
    <row r="274" ht="12.75">
      <c r="A274" s="82"/>
    </row>
    <row r="275" ht="12.75">
      <c r="A275" s="82"/>
    </row>
    <row r="276" ht="12.75">
      <c r="A276" s="82"/>
    </row>
    <row r="277" ht="12.75">
      <c r="A277" s="82"/>
    </row>
    <row r="278" ht="12.75">
      <c r="A278" s="82"/>
    </row>
    <row r="279" ht="12.75">
      <c r="A279" s="82"/>
    </row>
    <row r="280" ht="12.75">
      <c r="A280" s="82"/>
    </row>
    <row r="281" ht="12.75">
      <c r="A281" s="82"/>
    </row>
    <row r="282" ht="12.75">
      <c r="A282" s="82"/>
    </row>
    <row r="283" ht="12.75">
      <c r="A283" s="82"/>
    </row>
    <row r="284" ht="12.75">
      <c r="A284" s="82"/>
    </row>
    <row r="285" ht="12.75">
      <c r="A285" s="82"/>
    </row>
    <row r="286" ht="12.75">
      <c r="A286" s="82"/>
    </row>
    <row r="287" ht="12.75">
      <c r="A287" s="82"/>
    </row>
  </sheetData>
  <printOptions horizontalCentered="1"/>
  <pageMargins left="0" right="0" top="0.984251968503937" bottom="0.5905511811023623" header="0.5118110236220472" footer="0.5118110236220472"/>
  <pageSetup firstPageNumber="22" useFirstPageNumber="1" horizontalDpi="600" verticalDpi="600" orientation="landscape" paperSize="9" scale="90" r:id="rId1"/>
  <headerFooter alignWithMargins="0">
    <oddHeader>&amp;C&amp;"Times New Roman CE,Normalny" &amp;P</oddHeader>
  </headerFooter>
</worksheet>
</file>

<file path=xl/worksheets/sheet6.xml><?xml version="1.0" encoding="utf-8"?>
<worksheet xmlns="http://schemas.openxmlformats.org/spreadsheetml/2006/main" xmlns:r="http://schemas.openxmlformats.org/officeDocument/2006/relationships">
  <dimension ref="A2:IO35"/>
  <sheetViews>
    <sheetView workbookViewId="0" topLeftCell="A1">
      <selection activeCell="G7" sqref="G7"/>
    </sheetView>
  </sheetViews>
  <sheetFormatPr defaultColWidth="9.00390625" defaultRowHeight="12.75"/>
  <cols>
    <col min="1" max="1" width="6.00390625" style="2275" customWidth="1"/>
    <col min="2" max="2" width="37.125" style="2275" customWidth="1"/>
    <col min="3" max="3" width="14.875" style="2275" customWidth="1"/>
    <col min="4" max="4" width="13.00390625" style="2275" customWidth="1"/>
    <col min="5" max="5" width="11.75390625" style="2275" customWidth="1"/>
    <col min="6" max="7" width="7.875" style="2275" customWidth="1"/>
    <col min="8" max="16384" width="10.00390625" style="2275" customWidth="1"/>
  </cols>
  <sheetData>
    <row r="1" ht="14.25" customHeight="1"/>
    <row r="2" spans="6:249" ht="14.25" customHeight="1">
      <c r="F2" s="2276" t="s">
        <v>500</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249" s="1" customFormat="1" ht="15" customHeight="1">
      <c r="A3" s="2277" t="s">
        <v>501</v>
      </c>
      <c r="G3" s="2278"/>
      <c r="H3" s="2278"/>
      <c r="I3" s="2278"/>
      <c r="J3" s="2278"/>
      <c r="K3" s="2278"/>
      <c r="L3" s="2278"/>
      <c r="M3" s="2278"/>
      <c r="N3" s="2278"/>
      <c r="O3" s="2278"/>
      <c r="P3" s="2278"/>
      <c r="Q3" s="2278"/>
      <c r="R3" s="2278"/>
      <c r="S3" s="2278"/>
      <c r="T3" s="2278"/>
      <c r="U3" s="2278"/>
      <c r="V3" s="2278"/>
      <c r="W3" s="2278"/>
      <c r="X3" s="2278"/>
      <c r="Y3" s="2278"/>
      <c r="Z3" s="2278"/>
      <c r="AA3" s="2278"/>
      <c r="AB3" s="2278"/>
      <c r="AC3" s="2278"/>
      <c r="AD3" s="2278"/>
      <c r="AE3" s="2278"/>
      <c r="AF3" s="2278"/>
      <c r="AG3" s="2278"/>
      <c r="AH3" s="2278"/>
      <c r="AI3" s="2278"/>
      <c r="AJ3" s="2278"/>
      <c r="AK3" s="2278"/>
      <c r="AL3" s="2278"/>
      <c r="AM3" s="2278"/>
      <c r="AN3" s="2278"/>
      <c r="AO3" s="2278"/>
      <c r="AP3" s="2278"/>
      <c r="AQ3" s="2278"/>
      <c r="AR3" s="2278"/>
      <c r="AS3" s="2278"/>
      <c r="AT3" s="2278"/>
      <c r="AU3" s="2278"/>
      <c r="AV3" s="2278"/>
      <c r="AW3" s="2278"/>
      <c r="AX3" s="2278"/>
      <c r="AY3" s="2278"/>
      <c r="AZ3" s="2278"/>
      <c r="BA3" s="2278"/>
      <c r="BB3" s="2278"/>
      <c r="BC3" s="2278"/>
      <c r="BD3" s="2278"/>
      <c r="BE3" s="2278"/>
      <c r="BF3" s="2278"/>
      <c r="BG3" s="2278"/>
      <c r="BH3" s="2278"/>
      <c r="BI3" s="2278"/>
      <c r="BJ3" s="2278"/>
      <c r="BK3" s="2278"/>
      <c r="BL3" s="2278"/>
      <c r="BM3" s="2278"/>
      <c r="BN3" s="2278"/>
      <c r="BO3" s="2278"/>
      <c r="BP3" s="2278"/>
      <c r="BQ3" s="2278"/>
      <c r="BR3" s="2278"/>
      <c r="BS3" s="2278"/>
      <c r="BT3" s="2278"/>
      <c r="BU3" s="2278"/>
      <c r="BV3" s="2278"/>
      <c r="BW3" s="2278"/>
      <c r="BX3" s="2278"/>
      <c r="BY3" s="2278"/>
      <c r="BZ3" s="2278"/>
      <c r="CA3" s="2278"/>
      <c r="CB3" s="2278"/>
      <c r="CC3" s="2278"/>
      <c r="CD3" s="2278"/>
      <c r="CE3" s="2278"/>
      <c r="CF3" s="2278"/>
      <c r="CG3" s="2278"/>
      <c r="CH3" s="2278"/>
      <c r="CI3" s="2278"/>
      <c r="CJ3" s="2278"/>
      <c r="CK3" s="2278"/>
      <c r="CL3" s="2278"/>
      <c r="CM3" s="2278"/>
      <c r="CN3" s="2278"/>
      <c r="CO3" s="2278"/>
      <c r="CP3" s="2278"/>
      <c r="CQ3" s="2278"/>
      <c r="CR3" s="2278"/>
      <c r="CS3" s="2278"/>
      <c r="CT3" s="2278"/>
      <c r="CU3" s="2278"/>
      <c r="CV3" s="2278"/>
      <c r="CW3" s="2278"/>
      <c r="CX3" s="2278"/>
      <c r="CY3" s="2278"/>
      <c r="CZ3" s="2278"/>
      <c r="DA3" s="2278"/>
      <c r="DB3" s="2278"/>
      <c r="DC3" s="2278"/>
      <c r="DD3" s="2278"/>
      <c r="DE3" s="2278"/>
      <c r="DF3" s="2278"/>
      <c r="DG3" s="2278"/>
      <c r="DH3" s="2278"/>
      <c r="DI3" s="2278"/>
      <c r="DJ3" s="2278"/>
      <c r="DK3" s="2278"/>
      <c r="DL3" s="2278"/>
      <c r="DM3" s="2278"/>
      <c r="DN3" s="2278"/>
      <c r="DO3" s="2278"/>
      <c r="DP3" s="2278"/>
      <c r="DQ3" s="2278"/>
      <c r="DR3" s="2278"/>
      <c r="DS3" s="2278"/>
      <c r="DT3" s="2278"/>
      <c r="DU3" s="2278"/>
      <c r="DV3" s="2278"/>
      <c r="DW3" s="2278"/>
      <c r="DX3" s="2278"/>
      <c r="DY3" s="2278"/>
      <c r="DZ3" s="2278"/>
      <c r="EA3" s="2278"/>
      <c r="EB3" s="2278"/>
      <c r="EC3" s="2278"/>
      <c r="ED3" s="2278"/>
      <c r="EE3" s="2278"/>
      <c r="EF3" s="2278"/>
      <c r="EG3" s="2278"/>
      <c r="EH3" s="2278"/>
      <c r="EI3" s="2278"/>
      <c r="EJ3" s="2278"/>
      <c r="EK3" s="2278"/>
      <c r="EL3" s="2278"/>
      <c r="EM3" s="2278"/>
      <c r="EN3" s="2278"/>
      <c r="EO3" s="2278"/>
      <c r="EP3" s="2278"/>
      <c r="EQ3" s="2278"/>
      <c r="ER3" s="2278"/>
      <c r="ES3" s="2278"/>
      <c r="ET3" s="2278"/>
      <c r="EU3" s="2278"/>
      <c r="EV3" s="2278"/>
      <c r="EW3" s="2278"/>
      <c r="EX3" s="2278"/>
      <c r="EY3" s="2278"/>
      <c r="EZ3" s="2278"/>
      <c r="FA3" s="2278"/>
      <c r="FB3" s="2278"/>
      <c r="FC3" s="2278"/>
      <c r="FD3" s="2278"/>
      <c r="FE3" s="2278"/>
      <c r="FF3" s="2278"/>
      <c r="FG3" s="2278"/>
      <c r="FH3" s="2278"/>
      <c r="FI3" s="2278"/>
      <c r="FJ3" s="2278"/>
      <c r="FK3" s="2278"/>
      <c r="FL3" s="2278"/>
      <c r="FM3" s="2278"/>
      <c r="FN3" s="2278"/>
      <c r="FO3" s="2278"/>
      <c r="FP3" s="2278"/>
      <c r="FQ3" s="2278"/>
      <c r="FR3" s="2278"/>
      <c r="FS3" s="2278"/>
      <c r="FT3" s="2278"/>
      <c r="FU3" s="2278"/>
      <c r="FV3" s="2278"/>
      <c r="FW3" s="2278"/>
      <c r="FX3" s="2278"/>
      <c r="FY3" s="2278"/>
      <c r="FZ3" s="2278"/>
      <c r="GA3" s="2278"/>
      <c r="GB3" s="2278"/>
      <c r="GC3" s="2278"/>
      <c r="GD3" s="2278"/>
      <c r="GE3" s="2278"/>
      <c r="GF3" s="2278"/>
      <c r="GG3" s="2278"/>
      <c r="GH3" s="2278"/>
      <c r="GI3" s="2278"/>
      <c r="GJ3" s="2278"/>
      <c r="GK3" s="2278"/>
      <c r="GL3" s="2278"/>
      <c r="GM3" s="2278"/>
      <c r="GN3" s="2278"/>
      <c r="GO3" s="2278"/>
      <c r="GP3" s="2278"/>
      <c r="GQ3" s="2278"/>
      <c r="GR3" s="2278"/>
      <c r="GS3" s="2278"/>
      <c r="GT3" s="2278"/>
      <c r="GU3" s="2278"/>
      <c r="GV3" s="2278"/>
      <c r="GW3" s="2278"/>
      <c r="GX3" s="2278"/>
      <c r="GY3" s="2278"/>
      <c r="GZ3" s="2278"/>
      <c r="HA3" s="2278"/>
      <c r="HB3" s="2278"/>
      <c r="HC3" s="2278"/>
      <c r="HD3" s="2278"/>
      <c r="HE3" s="2278"/>
      <c r="HF3" s="2278"/>
      <c r="HG3" s="2278"/>
      <c r="HH3" s="2278"/>
      <c r="HI3" s="2278"/>
      <c r="HJ3" s="2278"/>
      <c r="HK3" s="2278"/>
      <c r="HL3" s="2278"/>
      <c r="HM3" s="2278"/>
      <c r="HN3" s="2278"/>
      <c r="HO3" s="2278"/>
      <c r="HP3" s="2278"/>
      <c r="HQ3" s="2278"/>
      <c r="HR3" s="2278"/>
      <c r="HS3" s="2278"/>
      <c r="HT3" s="2278"/>
      <c r="HU3" s="2278"/>
      <c r="HV3" s="2278"/>
      <c r="HW3" s="2278"/>
      <c r="HX3" s="2278"/>
      <c r="HY3" s="2278"/>
      <c r="HZ3" s="2278"/>
      <c r="IA3" s="2278"/>
      <c r="IB3" s="2278"/>
      <c r="IC3" s="2278"/>
      <c r="ID3" s="2278"/>
      <c r="IE3" s="2278"/>
      <c r="IF3" s="2278"/>
      <c r="IG3" s="2278"/>
      <c r="IH3" s="2278"/>
      <c r="II3" s="2278"/>
      <c r="IJ3" s="2278"/>
      <c r="IK3" s="2278"/>
      <c r="IL3" s="2278"/>
      <c r="IM3" s="2278"/>
      <c r="IN3" s="2278"/>
      <c r="IO3" s="2278"/>
    </row>
    <row r="4" spans="1:249" ht="15" customHeight="1">
      <c r="A4" s="2279" t="s">
        <v>502</v>
      </c>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280"/>
      <c r="AP4" s="2280"/>
      <c r="AQ4" s="2280"/>
      <c r="AR4" s="2280"/>
      <c r="AS4" s="2280"/>
      <c r="AT4" s="2280"/>
      <c r="AU4" s="2280"/>
      <c r="AV4" s="2280"/>
      <c r="AW4" s="2280"/>
      <c r="AX4" s="2280"/>
      <c r="AY4" s="2280"/>
      <c r="AZ4" s="2280"/>
      <c r="BA4" s="2280"/>
      <c r="BB4" s="2280"/>
      <c r="BC4" s="2280"/>
      <c r="BD4" s="2280"/>
      <c r="BE4" s="2280"/>
      <c r="BF4" s="2280"/>
      <c r="BG4" s="2280"/>
      <c r="BH4" s="2280"/>
      <c r="BI4" s="2280"/>
      <c r="BJ4" s="2280"/>
      <c r="BK4" s="2280"/>
      <c r="BL4" s="2280"/>
      <c r="BM4" s="2280"/>
      <c r="BN4" s="2280"/>
      <c r="BO4" s="2280"/>
      <c r="BP4" s="2280"/>
      <c r="BQ4" s="2280"/>
      <c r="BR4" s="2280"/>
      <c r="BS4" s="2280"/>
      <c r="BT4" s="2280"/>
      <c r="BU4" s="2280"/>
      <c r="BV4" s="2280"/>
      <c r="BW4" s="2280"/>
      <c r="BX4" s="2280"/>
      <c r="BY4" s="2280"/>
      <c r="BZ4" s="2280"/>
      <c r="CA4" s="2280"/>
      <c r="CB4" s="2280"/>
      <c r="CC4" s="2280"/>
      <c r="CD4" s="2280"/>
      <c r="CE4" s="2280"/>
      <c r="CF4" s="2280"/>
      <c r="CG4" s="2280"/>
      <c r="CH4" s="2280"/>
      <c r="CI4" s="2280"/>
      <c r="CJ4" s="2280"/>
      <c r="CK4" s="2280"/>
      <c r="CL4" s="2280"/>
      <c r="CM4" s="2280"/>
      <c r="CN4" s="2280"/>
      <c r="CO4" s="2280"/>
      <c r="CP4" s="2280"/>
      <c r="CQ4" s="2280"/>
      <c r="CR4" s="2280"/>
      <c r="CS4" s="2280"/>
      <c r="CT4" s="2280"/>
      <c r="CU4" s="2280"/>
      <c r="CV4" s="2280"/>
      <c r="CW4" s="2280"/>
      <c r="CX4" s="2280"/>
      <c r="CY4" s="2280"/>
      <c r="CZ4" s="2280"/>
      <c r="DA4" s="2280"/>
      <c r="DB4" s="2280"/>
      <c r="DC4" s="2280"/>
      <c r="DD4" s="2280"/>
      <c r="DE4" s="2280"/>
      <c r="DF4" s="2280"/>
      <c r="DG4" s="2280"/>
      <c r="DH4" s="2280"/>
      <c r="DI4" s="2280"/>
      <c r="DJ4" s="2280"/>
      <c r="DK4" s="2280"/>
      <c r="DL4" s="2280"/>
      <c r="DM4" s="2280"/>
      <c r="DN4" s="2280"/>
      <c r="DO4" s="2280"/>
      <c r="DP4" s="2280"/>
      <c r="DQ4" s="2280"/>
      <c r="DR4" s="2280"/>
      <c r="DS4" s="2280"/>
      <c r="DT4" s="2280"/>
      <c r="DU4" s="2280"/>
      <c r="DV4" s="2280"/>
      <c r="DW4" s="2280"/>
      <c r="DX4" s="2280"/>
      <c r="DY4" s="2280"/>
      <c r="DZ4" s="2280"/>
      <c r="EA4" s="2280"/>
      <c r="EB4" s="2280"/>
      <c r="EC4" s="2280"/>
      <c r="ED4" s="2280"/>
      <c r="EE4" s="2280"/>
      <c r="EF4" s="2280"/>
      <c r="EG4" s="2280"/>
      <c r="EH4" s="2280"/>
      <c r="EI4" s="2280"/>
      <c r="EJ4" s="2280"/>
      <c r="EK4" s="2280"/>
      <c r="EL4" s="2280"/>
      <c r="EM4" s="2280"/>
      <c r="EN4" s="2280"/>
      <c r="EO4" s="2280"/>
      <c r="EP4" s="2280"/>
      <c r="EQ4" s="2280"/>
      <c r="ER4" s="2280"/>
      <c r="ES4" s="2280"/>
      <c r="ET4" s="2280"/>
      <c r="EU4" s="2280"/>
      <c r="EV4" s="2280"/>
      <c r="EW4" s="2280"/>
      <c r="EX4" s="2280"/>
      <c r="EY4" s="2280"/>
      <c r="EZ4" s="2280"/>
      <c r="FA4" s="2280"/>
      <c r="FB4" s="2280"/>
      <c r="FC4" s="2280"/>
      <c r="FD4" s="2280"/>
      <c r="FE4" s="2280"/>
      <c r="FF4" s="2280"/>
      <c r="FG4" s="2280"/>
      <c r="FH4" s="2280"/>
      <c r="FI4" s="2280"/>
      <c r="FJ4" s="2280"/>
      <c r="FK4" s="2280"/>
      <c r="FL4" s="2280"/>
      <c r="FM4" s="2280"/>
      <c r="FN4" s="2280"/>
      <c r="FO4" s="2280"/>
      <c r="FP4" s="2280"/>
      <c r="FQ4" s="2280"/>
      <c r="FR4" s="2280"/>
      <c r="FS4" s="2280"/>
      <c r="FT4" s="2280"/>
      <c r="FU4" s="2280"/>
      <c r="FV4" s="2280"/>
      <c r="FW4" s="2280"/>
      <c r="FX4" s="2280"/>
      <c r="FY4" s="2280"/>
      <c r="FZ4" s="2280"/>
      <c r="GA4" s="2280"/>
      <c r="GB4" s="2280"/>
      <c r="GC4" s="2280"/>
      <c r="GD4" s="2280"/>
      <c r="GE4" s="2280"/>
      <c r="GF4" s="2280"/>
      <c r="GG4" s="2280"/>
      <c r="GH4" s="2280"/>
      <c r="GI4" s="2280"/>
      <c r="GJ4" s="2280"/>
      <c r="GK4" s="2280"/>
      <c r="GL4" s="2280"/>
      <c r="GM4" s="2280"/>
      <c r="GN4" s="2280"/>
      <c r="GO4" s="2280"/>
      <c r="GP4" s="2280"/>
      <c r="GQ4" s="2280"/>
      <c r="GR4" s="2280"/>
      <c r="GS4" s="2280"/>
      <c r="GT4" s="2280"/>
      <c r="GU4" s="2280"/>
      <c r="GV4" s="2280"/>
      <c r="GW4" s="2280"/>
      <c r="GX4" s="2280"/>
      <c r="GY4" s="2280"/>
      <c r="GZ4" s="2280"/>
      <c r="HA4" s="2280"/>
      <c r="HB4" s="2280"/>
      <c r="HC4" s="2280"/>
      <c r="HD4" s="2280"/>
      <c r="HE4" s="2280"/>
      <c r="HF4" s="2280"/>
      <c r="HG4" s="2280"/>
      <c r="HH4" s="2280"/>
      <c r="HI4" s="2280"/>
      <c r="HJ4" s="2280"/>
      <c r="HK4" s="2280"/>
      <c r="HL4" s="2280"/>
      <c r="HM4" s="2280"/>
      <c r="HN4" s="2280"/>
      <c r="HO4" s="2280"/>
      <c r="HP4" s="2280"/>
      <c r="HQ4" s="2280"/>
      <c r="HR4" s="2280"/>
      <c r="HS4" s="2280"/>
      <c r="HT4" s="2280"/>
      <c r="HU4" s="2280"/>
      <c r="HV4" s="2280"/>
      <c r="HW4" s="2280"/>
      <c r="HX4" s="2280"/>
      <c r="HY4" s="2280"/>
      <c r="HZ4" s="2280"/>
      <c r="IA4" s="2280"/>
      <c r="IB4" s="2280"/>
      <c r="IC4" s="2280"/>
      <c r="ID4" s="2280"/>
      <c r="IE4" s="2280"/>
      <c r="IF4" s="2280"/>
      <c r="IG4" s="2280"/>
      <c r="IH4" s="2280"/>
      <c r="II4" s="2280"/>
      <c r="IJ4" s="2280"/>
      <c r="IK4" s="2280"/>
      <c r="IL4" s="2280"/>
      <c r="IM4" s="2280"/>
      <c r="IN4" s="2280"/>
      <c r="IO4" s="2280"/>
    </row>
    <row r="5" spans="1:249" s="1" customFormat="1" ht="15" customHeight="1">
      <c r="A5" s="2277"/>
      <c r="E5" s="2281"/>
      <c r="G5" s="2278"/>
      <c r="H5" s="2278"/>
      <c r="I5" s="2278"/>
      <c r="J5" s="2278"/>
      <c r="K5" s="2278"/>
      <c r="L5" s="2278"/>
      <c r="M5" s="2278"/>
      <c r="N5" s="2278"/>
      <c r="O5" s="2278"/>
      <c r="P5" s="2278"/>
      <c r="Q5" s="2278"/>
      <c r="R5" s="2278"/>
      <c r="S5" s="2278"/>
      <c r="T5" s="2278"/>
      <c r="U5" s="2278"/>
      <c r="V5" s="2278"/>
      <c r="W5" s="2278"/>
      <c r="X5" s="2278"/>
      <c r="Y5" s="2278"/>
      <c r="Z5" s="2278"/>
      <c r="AA5" s="2278"/>
      <c r="AB5" s="2278"/>
      <c r="AC5" s="2278"/>
      <c r="AD5" s="2278"/>
      <c r="AE5" s="2278"/>
      <c r="AF5" s="2278"/>
      <c r="AG5" s="2278"/>
      <c r="AH5" s="2278"/>
      <c r="AI5" s="2278"/>
      <c r="AJ5" s="2278"/>
      <c r="AK5" s="2278"/>
      <c r="AL5" s="2278"/>
      <c r="AM5" s="2278"/>
      <c r="AN5" s="2278"/>
      <c r="AO5" s="2278"/>
      <c r="AP5" s="2278"/>
      <c r="AQ5" s="2278"/>
      <c r="AR5" s="2278"/>
      <c r="AS5" s="2278"/>
      <c r="AT5" s="2278"/>
      <c r="AU5" s="2278"/>
      <c r="AV5" s="2278"/>
      <c r="AW5" s="2278"/>
      <c r="AX5" s="2278"/>
      <c r="AY5" s="2278"/>
      <c r="AZ5" s="2278"/>
      <c r="BA5" s="2278"/>
      <c r="BB5" s="2278"/>
      <c r="BC5" s="2278"/>
      <c r="BD5" s="2278"/>
      <c r="BE5" s="2278"/>
      <c r="BF5" s="2278"/>
      <c r="BG5" s="2278"/>
      <c r="BH5" s="2278"/>
      <c r="BI5" s="2278"/>
      <c r="BJ5" s="2278"/>
      <c r="BK5" s="2278"/>
      <c r="BL5" s="2278"/>
      <c r="BM5" s="2278"/>
      <c r="BN5" s="2278"/>
      <c r="BO5" s="2278"/>
      <c r="BP5" s="2278"/>
      <c r="BQ5" s="2278"/>
      <c r="BR5" s="2278"/>
      <c r="BS5" s="2278"/>
      <c r="BT5" s="2278"/>
      <c r="BU5" s="2278"/>
      <c r="BV5" s="2278"/>
      <c r="BW5" s="2278"/>
      <c r="BX5" s="2278"/>
      <c r="BY5" s="2278"/>
      <c r="BZ5" s="2278"/>
      <c r="CA5" s="2278"/>
      <c r="CB5" s="2278"/>
      <c r="CC5" s="2278"/>
      <c r="CD5" s="2278"/>
      <c r="CE5" s="2278"/>
      <c r="CF5" s="2278"/>
      <c r="CG5" s="2278"/>
      <c r="CH5" s="2278"/>
      <c r="CI5" s="2278"/>
      <c r="CJ5" s="2278"/>
      <c r="CK5" s="2278"/>
      <c r="CL5" s="2278"/>
      <c r="CM5" s="2278"/>
      <c r="CN5" s="2278"/>
      <c r="CO5" s="2278"/>
      <c r="CP5" s="2278"/>
      <c r="CQ5" s="2278"/>
      <c r="CR5" s="2278"/>
      <c r="CS5" s="2278"/>
      <c r="CT5" s="2278"/>
      <c r="CU5" s="2278"/>
      <c r="CV5" s="2278"/>
      <c r="CW5" s="2278"/>
      <c r="CX5" s="2278"/>
      <c r="CY5" s="2278"/>
      <c r="CZ5" s="2278"/>
      <c r="DA5" s="2278"/>
      <c r="DB5" s="2278"/>
      <c r="DC5" s="2278"/>
      <c r="DD5" s="2278"/>
      <c r="DE5" s="2278"/>
      <c r="DF5" s="2278"/>
      <c r="DG5" s="2278"/>
      <c r="DH5" s="2278"/>
      <c r="DI5" s="2278"/>
      <c r="DJ5" s="2278"/>
      <c r="DK5" s="2278"/>
      <c r="DL5" s="2278"/>
      <c r="DM5" s="2278"/>
      <c r="DN5" s="2278"/>
      <c r="DO5" s="2278"/>
      <c r="DP5" s="2278"/>
      <c r="DQ5" s="2278"/>
      <c r="DR5" s="2278"/>
      <c r="DS5" s="2278"/>
      <c r="DT5" s="2278"/>
      <c r="DU5" s="2278"/>
      <c r="DV5" s="2278"/>
      <c r="DW5" s="2278"/>
      <c r="DX5" s="2278"/>
      <c r="DY5" s="2278"/>
      <c r="DZ5" s="2278"/>
      <c r="EA5" s="2278"/>
      <c r="EB5" s="2278"/>
      <c r="EC5" s="2278"/>
      <c r="ED5" s="2278"/>
      <c r="EE5" s="2278"/>
      <c r="EF5" s="2278"/>
      <c r="EG5" s="2278"/>
      <c r="EH5" s="2278"/>
      <c r="EI5" s="2278"/>
      <c r="EJ5" s="2278"/>
      <c r="EK5" s="2278"/>
      <c r="EL5" s="2278"/>
      <c r="EM5" s="2278"/>
      <c r="EN5" s="2278"/>
      <c r="EO5" s="2278"/>
      <c r="EP5" s="2278"/>
      <c r="EQ5" s="2278"/>
      <c r="ER5" s="2278"/>
      <c r="ES5" s="2278"/>
      <c r="ET5" s="2278"/>
      <c r="EU5" s="2278"/>
      <c r="EV5" s="2278"/>
      <c r="EW5" s="2278"/>
      <c r="EX5" s="2278"/>
      <c r="EY5" s="2278"/>
      <c r="EZ5" s="2278"/>
      <c r="FA5" s="2278"/>
      <c r="FB5" s="2278"/>
      <c r="FC5" s="2278"/>
      <c r="FD5" s="2278"/>
      <c r="FE5" s="2278"/>
      <c r="FF5" s="2278"/>
      <c r="FG5" s="2278"/>
      <c r="FH5" s="2278"/>
      <c r="FI5" s="2278"/>
      <c r="FJ5" s="2278"/>
      <c r="FK5" s="2278"/>
      <c r="FL5" s="2278"/>
      <c r="FM5" s="2278"/>
      <c r="FN5" s="2278"/>
      <c r="FO5" s="2278"/>
      <c r="FP5" s="2278"/>
      <c r="FQ5" s="2278"/>
      <c r="FR5" s="2278"/>
      <c r="FS5" s="2278"/>
      <c r="FT5" s="2278"/>
      <c r="FU5" s="2278"/>
      <c r="FV5" s="2278"/>
      <c r="FW5" s="2278"/>
      <c r="FX5" s="2278"/>
      <c r="FY5" s="2278"/>
      <c r="FZ5" s="2278"/>
      <c r="GA5" s="2278"/>
      <c r="GB5" s="2278"/>
      <c r="GC5" s="2278"/>
      <c r="GD5" s="2278"/>
      <c r="GE5" s="2278"/>
      <c r="GF5" s="2278"/>
      <c r="GG5" s="2278"/>
      <c r="GH5" s="2278"/>
      <c r="GI5" s="2278"/>
      <c r="GJ5" s="2278"/>
      <c r="GK5" s="2278"/>
      <c r="GL5" s="2278"/>
      <c r="GM5" s="2278"/>
      <c r="GN5" s="2278"/>
      <c r="GO5" s="2278"/>
      <c r="GP5" s="2278"/>
      <c r="GQ5" s="2278"/>
      <c r="GR5" s="2278"/>
      <c r="GS5" s="2278"/>
      <c r="GT5" s="2278"/>
      <c r="GU5" s="2278"/>
      <c r="GV5" s="2278"/>
      <c r="GW5" s="2278"/>
      <c r="GX5" s="2278"/>
      <c r="GY5" s="2278"/>
      <c r="GZ5" s="2278"/>
      <c r="HA5" s="2278"/>
      <c r="HB5" s="2278"/>
      <c r="HC5" s="2278"/>
      <c r="HD5" s="2278"/>
      <c r="HE5" s="2278"/>
      <c r="HF5" s="2278"/>
      <c r="HG5" s="2278"/>
      <c r="HH5" s="2278"/>
      <c r="HI5" s="2278"/>
      <c r="HJ5" s="2278"/>
      <c r="HK5" s="2278"/>
      <c r="HL5" s="2278"/>
      <c r="HM5" s="2278"/>
      <c r="HN5" s="2278"/>
      <c r="HO5" s="2278"/>
      <c r="HP5" s="2278"/>
      <c r="HQ5" s="2278"/>
      <c r="HR5" s="2278"/>
      <c r="HS5" s="2278"/>
      <c r="HT5" s="2278"/>
      <c r="HU5" s="2278"/>
      <c r="HV5" s="2278"/>
      <c r="HW5" s="2278"/>
      <c r="HX5" s="2278"/>
      <c r="HY5" s="2278"/>
      <c r="HZ5" s="2278"/>
      <c r="IA5" s="2278"/>
      <c r="IB5" s="2278"/>
      <c r="IC5" s="2278"/>
      <c r="ID5" s="2278"/>
      <c r="IE5" s="2278"/>
      <c r="IF5" s="2278"/>
      <c r="IG5" s="2278"/>
      <c r="IH5" s="2278"/>
      <c r="II5" s="2278"/>
      <c r="IJ5" s="2278"/>
      <c r="IK5" s="2278"/>
      <c r="IL5" s="2278"/>
      <c r="IM5" s="2278"/>
      <c r="IN5" s="2278"/>
      <c r="IO5" s="2278"/>
    </row>
    <row r="6" spans="1:249" ht="21" customHeight="1" thickBot="1">
      <c r="A6" s="2282" t="s">
        <v>503</v>
      </c>
      <c r="B6" s="2283"/>
      <c r="C6" s="2283"/>
      <c r="D6" s="2283"/>
      <c r="E6" s="2276" t="s">
        <v>68</v>
      </c>
      <c r="F6" s="2283"/>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21" customHeight="1" thickTop="1">
      <c r="A7" s="2284"/>
      <c r="B7" s="2285"/>
      <c r="C7" s="2286"/>
      <c r="D7" s="2287" t="s">
        <v>504</v>
      </c>
      <c r="E7" s="2288"/>
      <c r="F7" s="2289"/>
      <c r="G7" s="2290"/>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7" s="2298" customFormat="1" ht="28.5" customHeight="1">
      <c r="A8" s="2291"/>
      <c r="B8" s="2292"/>
      <c r="C8" s="2293" t="s">
        <v>385</v>
      </c>
      <c r="D8" s="2294" t="s">
        <v>170</v>
      </c>
      <c r="E8" s="2295" t="s">
        <v>385</v>
      </c>
      <c r="F8" s="2296" t="s">
        <v>505</v>
      </c>
      <c r="G8" s="2297" t="s">
        <v>506</v>
      </c>
    </row>
    <row r="9" spans="1:7" s="2298" customFormat="1" ht="19.5" customHeight="1" thickBot="1">
      <c r="A9" s="2299" t="s">
        <v>105</v>
      </c>
      <c r="B9" s="2300" t="s">
        <v>106</v>
      </c>
      <c r="C9" s="2301" t="s">
        <v>507</v>
      </c>
      <c r="D9" s="2302" t="s">
        <v>508</v>
      </c>
      <c r="E9" s="2303" t="s">
        <v>509</v>
      </c>
      <c r="F9" s="2304" t="s">
        <v>510</v>
      </c>
      <c r="G9" s="2305" t="s">
        <v>511</v>
      </c>
    </row>
    <row r="10" spans="1:7" s="28" customFormat="1" ht="11.25" customHeight="1" thickBot="1" thickTop="1">
      <c r="A10" s="2306">
        <v>1</v>
      </c>
      <c r="B10" s="2307">
        <v>2</v>
      </c>
      <c r="C10" s="2306">
        <v>3</v>
      </c>
      <c r="D10" s="2308">
        <v>4</v>
      </c>
      <c r="E10" s="2307">
        <v>5</v>
      </c>
      <c r="F10" s="2307">
        <v>6</v>
      </c>
      <c r="G10" s="2309">
        <v>7</v>
      </c>
    </row>
    <row r="11" spans="1:7" s="2317" customFormat="1" ht="15.75" thickTop="1">
      <c r="A11" s="2310" t="s">
        <v>112</v>
      </c>
      <c r="B11" s="2311" t="s">
        <v>113</v>
      </c>
      <c r="C11" s="2312">
        <v>478</v>
      </c>
      <c r="D11" s="2313">
        <v>1600</v>
      </c>
      <c r="E11" s="2314">
        <v>668</v>
      </c>
      <c r="F11" s="2315">
        <f>E11/C11*100</f>
        <v>139.7489539748954</v>
      </c>
      <c r="G11" s="2316">
        <f>E11/D11*100</f>
        <v>41.75</v>
      </c>
    </row>
    <row r="12" spans="1:7" s="2317" customFormat="1" ht="15" hidden="1">
      <c r="A12" s="2310" t="s">
        <v>116</v>
      </c>
      <c r="B12" s="2311" t="s">
        <v>117</v>
      </c>
      <c r="C12" s="2312">
        <v>0</v>
      </c>
      <c r="D12" s="2313"/>
      <c r="E12" s="2314">
        <v>0</v>
      </c>
      <c r="F12" s="2315" t="e">
        <f aca="true" t="shared" si="0" ref="F12:F33">E12/C12*100</f>
        <v>#DIV/0!</v>
      </c>
      <c r="G12" s="2316" t="e">
        <f aca="true" t="shared" si="1" ref="G12:G33">E12/D12*100</f>
        <v>#DIV/0!</v>
      </c>
    </row>
    <row r="13" spans="1:7" s="2317" customFormat="1" ht="15">
      <c r="A13" s="2310">
        <v>500</v>
      </c>
      <c r="B13" s="2311" t="s">
        <v>180</v>
      </c>
      <c r="C13" s="2312">
        <v>224690</v>
      </c>
      <c r="D13" s="2313">
        <v>354000</v>
      </c>
      <c r="E13" s="2314">
        <v>58487</v>
      </c>
      <c r="F13" s="2315">
        <f t="shared" si="0"/>
        <v>26.030085896123552</v>
      </c>
      <c r="G13" s="2318">
        <f t="shared" si="1"/>
        <v>16.521751412429378</v>
      </c>
    </row>
    <row r="14" spans="1:7" s="2317" customFormat="1" ht="15">
      <c r="A14" s="2310" t="s">
        <v>120</v>
      </c>
      <c r="B14" s="2311" t="s">
        <v>121</v>
      </c>
      <c r="C14" s="2312">
        <v>6393049</v>
      </c>
      <c r="D14" s="2313">
        <v>45744559</v>
      </c>
      <c r="E14" s="2314">
        <v>11283099</v>
      </c>
      <c r="F14" s="2315">
        <f t="shared" si="0"/>
        <v>176.4901066767985</v>
      </c>
      <c r="G14" s="2318">
        <f t="shared" si="1"/>
        <v>24.66544491116419</v>
      </c>
    </row>
    <row r="15" spans="1:249" ht="15">
      <c r="A15" s="2310" t="s">
        <v>122</v>
      </c>
      <c r="B15" s="2311" t="s">
        <v>512</v>
      </c>
      <c r="C15" s="2312">
        <v>57955</v>
      </c>
      <c r="D15" s="2313">
        <v>420305</v>
      </c>
      <c r="E15" s="2314">
        <v>227506</v>
      </c>
      <c r="F15" s="2315">
        <f t="shared" si="0"/>
        <v>392.556293676128</v>
      </c>
      <c r="G15" s="2318">
        <f t="shared" si="1"/>
        <v>54.12878742817716</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7" s="2317" customFormat="1" ht="15">
      <c r="A16" s="2310" t="s">
        <v>124</v>
      </c>
      <c r="B16" s="2311" t="s">
        <v>513</v>
      </c>
      <c r="C16" s="2312">
        <v>1318537</v>
      </c>
      <c r="D16" s="2313">
        <v>19930400</v>
      </c>
      <c r="E16" s="2314">
        <v>3255881</v>
      </c>
      <c r="F16" s="2315">
        <f t="shared" si="0"/>
        <v>246.9313337433838</v>
      </c>
      <c r="G16" s="2318">
        <f t="shared" si="1"/>
        <v>16.336255167984586</v>
      </c>
    </row>
    <row r="17" spans="1:7" s="2317" customFormat="1" ht="15">
      <c r="A17" s="2310" t="s">
        <v>126</v>
      </c>
      <c r="B17" s="2311" t="s">
        <v>127</v>
      </c>
      <c r="C17" s="2312">
        <v>687518</v>
      </c>
      <c r="D17" s="2313">
        <v>3151300</v>
      </c>
      <c r="E17" s="2314">
        <v>741492</v>
      </c>
      <c r="F17" s="2315">
        <f t="shared" si="0"/>
        <v>107.85055809447898</v>
      </c>
      <c r="G17" s="2318">
        <f t="shared" si="1"/>
        <v>23.529717894202392</v>
      </c>
    </row>
    <row r="18" spans="1:7" s="2317" customFormat="1" ht="15">
      <c r="A18" s="2310" t="s">
        <v>129</v>
      </c>
      <c r="B18" s="2311" t="s">
        <v>130</v>
      </c>
      <c r="C18" s="2312">
        <v>11246901</v>
      </c>
      <c r="D18" s="2313">
        <v>26878097</v>
      </c>
      <c r="E18" s="2314">
        <v>13247794</v>
      </c>
      <c r="F18" s="2315">
        <f t="shared" si="0"/>
        <v>117.79061627731942</v>
      </c>
      <c r="G18" s="2318">
        <f t="shared" si="1"/>
        <v>49.28843734733155</v>
      </c>
    </row>
    <row r="19" spans="1:7" s="2317" customFormat="1" ht="62.25" customHeight="1">
      <c r="A19" s="2310" t="s">
        <v>131</v>
      </c>
      <c r="B19" s="2319" t="s">
        <v>132</v>
      </c>
      <c r="C19" s="2312">
        <v>4208</v>
      </c>
      <c r="D19" s="2313">
        <v>17750</v>
      </c>
      <c r="E19" s="2314">
        <v>3954</v>
      </c>
      <c r="F19" s="2315">
        <f t="shared" si="0"/>
        <v>93.9638783269962</v>
      </c>
      <c r="G19" s="2318">
        <f t="shared" si="1"/>
        <v>22.27605633802817</v>
      </c>
    </row>
    <row r="20" spans="1:7" s="2317" customFormat="1" ht="15" hidden="1">
      <c r="A20" s="2310" t="s">
        <v>133</v>
      </c>
      <c r="B20" s="2319" t="s">
        <v>134</v>
      </c>
      <c r="C20" s="2312">
        <v>0</v>
      </c>
      <c r="D20" s="2313"/>
      <c r="E20" s="2314">
        <v>0</v>
      </c>
      <c r="F20" s="2315" t="e">
        <f t="shared" si="0"/>
        <v>#DIV/0!</v>
      </c>
      <c r="G20" s="2318" t="e">
        <f t="shared" si="1"/>
        <v>#DIV/0!</v>
      </c>
    </row>
    <row r="21" spans="1:7" s="2317" customFormat="1" ht="30.75" customHeight="1">
      <c r="A21" s="2320" t="s">
        <v>135</v>
      </c>
      <c r="B21" s="2321" t="s">
        <v>136</v>
      </c>
      <c r="C21" s="2312">
        <v>2803688</v>
      </c>
      <c r="D21" s="2313">
        <v>6341700</v>
      </c>
      <c r="E21" s="2314">
        <v>3286676</v>
      </c>
      <c r="F21" s="2315">
        <f t="shared" si="0"/>
        <v>117.22688116509397</v>
      </c>
      <c r="G21" s="2318">
        <f t="shared" si="1"/>
        <v>51.82641878360692</v>
      </c>
    </row>
    <row r="22" spans="1:7" s="2317" customFormat="1" ht="57" customHeight="1">
      <c r="A22" s="2310" t="s">
        <v>137</v>
      </c>
      <c r="B22" s="2322" t="s">
        <v>138</v>
      </c>
      <c r="C22" s="2312">
        <v>185152</v>
      </c>
      <c r="D22" s="2313">
        <v>467900</v>
      </c>
      <c r="E22" s="2314">
        <v>182142</v>
      </c>
      <c r="F22" s="2315">
        <f t="shared" si="0"/>
        <v>98.37430867611477</v>
      </c>
      <c r="G22" s="2318">
        <f t="shared" si="1"/>
        <v>38.92754862150032</v>
      </c>
    </row>
    <row r="23" spans="1:7" s="2317" customFormat="1" ht="15">
      <c r="A23" s="2310" t="s">
        <v>139</v>
      </c>
      <c r="B23" s="2311" t="s">
        <v>140</v>
      </c>
      <c r="C23" s="2312">
        <v>1323066</v>
      </c>
      <c r="D23" s="2313">
        <v>3770000</v>
      </c>
      <c r="E23" s="2314">
        <v>1417017</v>
      </c>
      <c r="F23" s="2315">
        <f t="shared" si="0"/>
        <v>107.10100629900549</v>
      </c>
      <c r="G23" s="2318">
        <f t="shared" si="1"/>
        <v>37.58665782493369</v>
      </c>
    </row>
    <row r="24" spans="1:7" s="2317" customFormat="1" ht="15">
      <c r="A24" s="2310" t="s">
        <v>141</v>
      </c>
      <c r="B24" s="2311" t="s">
        <v>142</v>
      </c>
      <c r="C24" s="2312">
        <v>869460</v>
      </c>
      <c r="D24" s="2313">
        <v>4775062</v>
      </c>
      <c r="E24" s="2314">
        <v>623400</v>
      </c>
      <c r="F24" s="2315">
        <f t="shared" si="0"/>
        <v>71.69967566075495</v>
      </c>
      <c r="G24" s="2318">
        <f t="shared" si="1"/>
        <v>13.055327867994174</v>
      </c>
    </row>
    <row r="25" spans="1:7" s="2317" customFormat="1" ht="15">
      <c r="A25" s="2310" t="s">
        <v>143</v>
      </c>
      <c r="B25" s="2311" t="s">
        <v>144</v>
      </c>
      <c r="C25" s="2312">
        <v>48664865</v>
      </c>
      <c r="D25" s="2313">
        <v>98394545</v>
      </c>
      <c r="E25" s="2314">
        <v>52875100</v>
      </c>
      <c r="F25" s="2315">
        <f t="shared" si="0"/>
        <v>108.65148809104885</v>
      </c>
      <c r="G25" s="2318">
        <f t="shared" si="1"/>
        <v>53.73783678759834</v>
      </c>
    </row>
    <row r="26" spans="1:7" s="2317" customFormat="1" ht="15">
      <c r="A26" s="2310" t="s">
        <v>145</v>
      </c>
      <c r="B26" s="2311" t="s">
        <v>146</v>
      </c>
      <c r="C26" s="2312">
        <v>60794</v>
      </c>
      <c r="D26" s="2313">
        <v>54710</v>
      </c>
      <c r="E26" s="2314">
        <v>42485</v>
      </c>
      <c r="F26" s="2315">
        <f t="shared" si="0"/>
        <v>69.88354113892818</v>
      </c>
      <c r="G26" s="2318">
        <f t="shared" si="1"/>
        <v>77.65490769511972</v>
      </c>
    </row>
    <row r="27" spans="1:7" s="2317" customFormat="1" ht="15">
      <c r="A27" s="2310" t="s">
        <v>147</v>
      </c>
      <c r="B27" s="2311" t="s">
        <v>148</v>
      </c>
      <c r="C27" s="2312">
        <v>1068071</v>
      </c>
      <c r="D27" s="2313">
        <v>2686500</v>
      </c>
      <c r="E27" s="2314">
        <v>835345</v>
      </c>
      <c r="F27" s="2315">
        <f t="shared" si="0"/>
        <v>78.21062457458352</v>
      </c>
      <c r="G27" s="2318">
        <f t="shared" si="1"/>
        <v>31.094174576586635</v>
      </c>
    </row>
    <row r="28" spans="1:7" s="2317" customFormat="1" ht="15">
      <c r="A28" s="2310" t="s">
        <v>149</v>
      </c>
      <c r="B28" s="2311" t="s">
        <v>514</v>
      </c>
      <c r="C28" s="2312">
        <v>20518819</v>
      </c>
      <c r="D28" s="2313">
        <v>55122461</v>
      </c>
      <c r="E28" s="2314">
        <v>21317754</v>
      </c>
      <c r="F28" s="2315">
        <f t="shared" si="0"/>
        <v>103.89366951382533</v>
      </c>
      <c r="G28" s="2318">
        <f t="shared" si="1"/>
        <v>38.6734438435178</v>
      </c>
    </row>
    <row r="29" spans="1:7" s="2317" customFormat="1" ht="30">
      <c r="A29" s="2310" t="s">
        <v>151</v>
      </c>
      <c r="B29" s="2319" t="s">
        <v>152</v>
      </c>
      <c r="C29" s="2312">
        <v>1019652</v>
      </c>
      <c r="D29" s="2313">
        <v>2213605</v>
      </c>
      <c r="E29" s="2314">
        <v>1110370</v>
      </c>
      <c r="F29" s="2315">
        <f t="shared" si="0"/>
        <v>108.89695700101602</v>
      </c>
      <c r="G29" s="2318">
        <f t="shared" si="1"/>
        <v>50.1611624476815</v>
      </c>
    </row>
    <row r="30" spans="1:7" s="2317" customFormat="1" ht="28.5" customHeight="1">
      <c r="A30" s="2310" t="s">
        <v>153</v>
      </c>
      <c r="B30" s="2319" t="s">
        <v>154</v>
      </c>
      <c r="C30" s="2312">
        <v>4889621</v>
      </c>
      <c r="D30" s="2313">
        <v>9461949</v>
      </c>
      <c r="E30" s="2314">
        <v>4996791</v>
      </c>
      <c r="F30" s="2315">
        <f t="shared" si="0"/>
        <v>102.19178541649751</v>
      </c>
      <c r="G30" s="2318">
        <f t="shared" si="1"/>
        <v>52.80932078581273</v>
      </c>
    </row>
    <row r="31" spans="1:7" s="2317" customFormat="1" ht="30">
      <c r="A31" s="2310" t="s">
        <v>155</v>
      </c>
      <c r="B31" s="2319" t="s">
        <v>156</v>
      </c>
      <c r="C31" s="2312">
        <v>3923466</v>
      </c>
      <c r="D31" s="2313">
        <v>14875702</v>
      </c>
      <c r="E31" s="2314">
        <v>6628826</v>
      </c>
      <c r="F31" s="2315">
        <f t="shared" si="0"/>
        <v>168.95331831599918</v>
      </c>
      <c r="G31" s="2318">
        <f t="shared" si="1"/>
        <v>44.5614331343825</v>
      </c>
    </row>
    <row r="32" spans="1:7" s="2317" customFormat="1" ht="30">
      <c r="A32" s="2310" t="s">
        <v>157</v>
      </c>
      <c r="B32" s="2319" t="s">
        <v>158</v>
      </c>
      <c r="C32" s="2312">
        <v>6679045</v>
      </c>
      <c r="D32" s="2313">
        <v>15791540</v>
      </c>
      <c r="E32" s="2314">
        <v>7301001</v>
      </c>
      <c r="F32" s="2315">
        <f t="shared" si="0"/>
        <v>109.31204985143835</v>
      </c>
      <c r="G32" s="2318">
        <f t="shared" si="1"/>
        <v>46.23362255992765</v>
      </c>
    </row>
    <row r="33" spans="1:7" s="2317" customFormat="1" ht="18.75" customHeight="1" thickBot="1">
      <c r="A33" s="2323" t="s">
        <v>161</v>
      </c>
      <c r="B33" s="2319" t="s">
        <v>162</v>
      </c>
      <c r="C33" s="2312">
        <v>4415597</v>
      </c>
      <c r="D33" s="2313">
        <v>13012415</v>
      </c>
      <c r="E33" s="2314">
        <v>2670925</v>
      </c>
      <c r="F33" s="2315">
        <f t="shared" si="0"/>
        <v>60.48842319622918</v>
      </c>
      <c r="G33" s="2324">
        <f t="shared" si="1"/>
        <v>20.525974617317384</v>
      </c>
    </row>
    <row r="34" spans="1:7" s="2332" customFormat="1" ht="18" customHeight="1" thickBot="1" thickTop="1">
      <c r="A34" s="2325"/>
      <c r="B34" s="2326" t="s">
        <v>102</v>
      </c>
      <c r="C34" s="2327">
        <f>SUM(C11:C33)</f>
        <v>116354632</v>
      </c>
      <c r="D34" s="2328">
        <f>SUM(D11:D33)</f>
        <v>323466100</v>
      </c>
      <c r="E34" s="2329">
        <f>SUM(E11:E33)</f>
        <v>132106713</v>
      </c>
      <c r="F34" s="2330">
        <f>E34/C34*100</f>
        <v>113.53799219613363</v>
      </c>
      <c r="G34" s="2331">
        <f>E34/D34*100</f>
        <v>40.840976225947635</v>
      </c>
    </row>
    <row r="35" spans="3:4" ht="15.75" thickTop="1">
      <c r="C35" s="2333"/>
      <c r="D35" s="2333"/>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115"/>
  <sheetViews>
    <sheetView workbookViewId="0" topLeftCell="A1">
      <selection activeCell="H13" sqref="H13"/>
    </sheetView>
  </sheetViews>
  <sheetFormatPr defaultColWidth="9.00390625" defaultRowHeight="12.75"/>
  <cols>
    <col min="1" max="1" width="6.125" style="502" customWidth="1"/>
    <col min="2" max="2" width="20.75390625" style="503" customWidth="1"/>
    <col min="3" max="3" width="12.875" style="503" hidden="1" customWidth="1"/>
    <col min="4" max="4" width="15.25390625" style="504" customWidth="1"/>
    <col min="5" max="5" width="14.125" style="505" customWidth="1"/>
    <col min="6" max="6" width="2.25390625" style="505" hidden="1" customWidth="1"/>
    <col min="7" max="7" width="5.75390625" style="505" customWidth="1"/>
    <col min="8" max="8" width="12.75390625" style="505" customWidth="1"/>
    <col min="9" max="9" width="12.375" style="505" customWidth="1"/>
    <col min="10" max="10" width="12.625" style="505" customWidth="1"/>
    <col min="11" max="11" width="11.75390625" style="505" customWidth="1"/>
    <col min="12" max="12" width="11.25390625" style="505" bestFit="1" customWidth="1"/>
    <col min="13" max="13" width="11.375" style="79" customWidth="1"/>
    <col min="14" max="15" width="11.375" style="505" customWidth="1"/>
    <col min="16" max="16384" width="11.375" style="79" customWidth="1"/>
  </cols>
  <sheetData>
    <row r="1" spans="1:15" s="316" customFormat="1" ht="15" customHeight="1">
      <c r="A1" s="311" t="s">
        <v>515</v>
      </c>
      <c r="B1" s="312"/>
      <c r="C1" s="312"/>
      <c r="D1" s="313"/>
      <c r="E1" s="314"/>
      <c r="F1" s="314"/>
      <c r="G1" s="314"/>
      <c r="H1" s="314"/>
      <c r="I1" s="314"/>
      <c r="J1" s="314"/>
      <c r="K1" s="314"/>
      <c r="L1" s="314"/>
      <c r="M1" s="314"/>
      <c r="N1" s="314"/>
      <c r="O1" s="315"/>
    </row>
    <row r="2" spans="1:15" s="316" customFormat="1" ht="15" customHeight="1">
      <c r="A2" s="311" t="s">
        <v>164</v>
      </c>
      <c r="B2" s="312"/>
      <c r="C2" s="312"/>
      <c r="D2" s="313"/>
      <c r="E2" s="314"/>
      <c r="F2" s="314"/>
      <c r="G2" s="314"/>
      <c r="H2" s="314"/>
      <c r="I2" s="314"/>
      <c r="J2" s="314"/>
      <c r="K2" s="314"/>
      <c r="L2" s="314"/>
      <c r="M2" s="314"/>
      <c r="N2" s="314"/>
      <c r="O2" s="317" t="s">
        <v>101</v>
      </c>
    </row>
    <row r="3" spans="1:15" s="82" customFormat="1" ht="19.5" customHeight="1" thickBot="1">
      <c r="A3" s="318"/>
      <c r="B3" s="319"/>
      <c r="C3" s="319"/>
      <c r="D3" s="320"/>
      <c r="E3" s="319"/>
      <c r="F3" s="319"/>
      <c r="G3" s="319"/>
      <c r="H3" s="317"/>
      <c r="I3" s="317"/>
      <c r="J3" s="317"/>
      <c r="K3" s="317"/>
      <c r="L3" s="319"/>
      <c r="N3" s="319"/>
      <c r="O3" s="321" t="s">
        <v>68</v>
      </c>
    </row>
    <row r="4" spans="1:15" s="332" customFormat="1" ht="28.5" customHeight="1" thickBot="1">
      <c r="A4" s="322"/>
      <c r="B4" s="323"/>
      <c r="C4" s="324" t="s">
        <v>102</v>
      </c>
      <c r="D4" s="325" t="s">
        <v>102</v>
      </c>
      <c r="E4" s="326"/>
      <c r="F4" s="326"/>
      <c r="G4" s="327"/>
      <c r="H4" s="326" t="s">
        <v>165</v>
      </c>
      <c r="I4" s="327"/>
      <c r="J4" s="326" t="s">
        <v>166</v>
      </c>
      <c r="K4" s="328"/>
      <c r="L4" s="329" t="s">
        <v>167</v>
      </c>
      <c r="M4" s="330"/>
      <c r="N4" s="326" t="s">
        <v>168</v>
      </c>
      <c r="O4" s="331"/>
    </row>
    <row r="5" spans="1:15" s="342" customFormat="1" ht="47.25" customHeight="1" thickBot="1" thickTop="1">
      <c r="A5" s="333" t="s">
        <v>105</v>
      </c>
      <c r="B5" s="334" t="s">
        <v>106</v>
      </c>
      <c r="C5" s="335" t="s">
        <v>169</v>
      </c>
      <c r="D5" s="336" t="s">
        <v>170</v>
      </c>
      <c r="E5" s="337" t="s">
        <v>171</v>
      </c>
      <c r="F5" s="116" t="s">
        <v>172</v>
      </c>
      <c r="G5" s="338" t="s">
        <v>173</v>
      </c>
      <c r="H5" s="339" t="s">
        <v>170</v>
      </c>
      <c r="I5" s="340" t="s">
        <v>174</v>
      </c>
      <c r="J5" s="339" t="s">
        <v>170</v>
      </c>
      <c r="K5" s="340" t="s">
        <v>175</v>
      </c>
      <c r="L5" s="339" t="s">
        <v>170</v>
      </c>
      <c r="M5" s="340" t="s">
        <v>174</v>
      </c>
      <c r="N5" s="339" t="s">
        <v>170</v>
      </c>
      <c r="O5" s="341" t="s">
        <v>176</v>
      </c>
    </row>
    <row r="6" spans="1:15" s="353" customFormat="1" ht="9.75" customHeight="1" thickBot="1" thickTop="1">
      <c r="A6" s="343">
        <v>1</v>
      </c>
      <c r="B6" s="344">
        <v>2</v>
      </c>
      <c r="C6" s="344">
        <v>3</v>
      </c>
      <c r="D6" s="345">
        <v>4</v>
      </c>
      <c r="E6" s="346">
        <v>5</v>
      </c>
      <c r="F6" s="347">
        <v>6</v>
      </c>
      <c r="G6" s="348">
        <v>7</v>
      </c>
      <c r="H6" s="349">
        <v>8</v>
      </c>
      <c r="I6" s="350">
        <v>9</v>
      </c>
      <c r="J6" s="351">
        <v>10</v>
      </c>
      <c r="K6" s="350">
        <v>11</v>
      </c>
      <c r="L6" s="351">
        <v>12</v>
      </c>
      <c r="M6" s="350">
        <v>13</v>
      </c>
      <c r="N6" s="351">
        <v>14</v>
      </c>
      <c r="O6" s="352">
        <v>15</v>
      </c>
    </row>
    <row r="7" spans="1:15" s="364" customFormat="1" ht="27" customHeight="1" thickTop="1">
      <c r="A7" s="354" t="s">
        <v>112</v>
      </c>
      <c r="B7" s="355" t="s">
        <v>113</v>
      </c>
      <c r="C7" s="356">
        <f>SUM(C8:C9)</f>
        <v>1113044</v>
      </c>
      <c r="D7" s="357">
        <f aca="true" t="shared" si="0" ref="D7:E26">H7+L7+N7+J7</f>
        <v>1600</v>
      </c>
      <c r="E7" s="358">
        <f>I7+M7+O7+K7</f>
        <v>668</v>
      </c>
      <c r="F7" s="359">
        <f>E7/C7*100</f>
        <v>0.06001559686768897</v>
      </c>
      <c r="G7" s="360">
        <f aca="true" t="shared" si="1" ref="G7:G12">E7/D7*100</f>
        <v>41.75</v>
      </c>
      <c r="H7" s="361">
        <f>SUM(H8)</f>
        <v>1600</v>
      </c>
      <c r="I7" s="356">
        <f>SUM(I8)</f>
        <v>668</v>
      </c>
      <c r="J7" s="362"/>
      <c r="K7" s="356"/>
      <c r="L7" s="361"/>
      <c r="M7" s="356"/>
      <c r="N7" s="362"/>
      <c r="O7" s="363"/>
    </row>
    <row r="8" spans="1:15" s="374" customFormat="1" ht="12">
      <c r="A8" s="365"/>
      <c r="B8" s="366" t="s">
        <v>516</v>
      </c>
      <c r="C8" s="367">
        <v>1107044</v>
      </c>
      <c r="D8" s="368">
        <f t="shared" si="0"/>
        <v>1600</v>
      </c>
      <c r="E8" s="369">
        <f t="shared" si="0"/>
        <v>668</v>
      </c>
      <c r="F8" s="370">
        <f>E8/C8*100</f>
        <v>0.060340871726869034</v>
      </c>
      <c r="G8" s="371">
        <f t="shared" si="1"/>
        <v>41.75</v>
      </c>
      <c r="H8" s="372">
        <v>1600</v>
      </c>
      <c r="I8" s="367">
        <v>668</v>
      </c>
      <c r="J8" s="372"/>
      <c r="K8" s="367"/>
      <c r="L8" s="372"/>
      <c r="M8" s="367"/>
      <c r="N8" s="372"/>
      <c r="O8" s="373"/>
    </row>
    <row r="9" spans="1:15" s="374" customFormat="1" ht="14.25" customHeight="1" hidden="1">
      <c r="A9" s="365"/>
      <c r="B9" s="366" t="s">
        <v>178</v>
      </c>
      <c r="C9" s="367">
        <v>6000</v>
      </c>
      <c r="D9" s="368">
        <f>H9+L9+N9+J9</f>
        <v>0</v>
      </c>
      <c r="E9" s="369">
        <f>I9+M9+O9+K9</f>
        <v>0</v>
      </c>
      <c r="F9" s="370">
        <f>E9/C9*100</f>
        <v>0</v>
      </c>
      <c r="G9" s="375" t="s">
        <v>179</v>
      </c>
      <c r="H9" s="372"/>
      <c r="I9" s="367"/>
      <c r="J9" s="372"/>
      <c r="K9" s="367"/>
      <c r="L9" s="372"/>
      <c r="M9" s="367"/>
      <c r="N9" s="372"/>
      <c r="O9" s="373"/>
    </row>
    <row r="10" spans="1:15" s="364" customFormat="1" ht="13.5" customHeight="1" hidden="1">
      <c r="A10" s="376" t="s">
        <v>116</v>
      </c>
      <c r="B10" s="355" t="s">
        <v>117</v>
      </c>
      <c r="C10" s="356">
        <f>SUM(C11)</f>
        <v>1000</v>
      </c>
      <c r="D10" s="357">
        <f t="shared" si="0"/>
        <v>0</v>
      </c>
      <c r="E10" s="358">
        <f>I10+M10+O10+K10</f>
        <v>0</v>
      </c>
      <c r="F10" s="359">
        <f>E10/C10*100</f>
        <v>0</v>
      </c>
      <c r="G10" s="360" t="e">
        <f t="shared" si="1"/>
        <v>#DIV/0!</v>
      </c>
      <c r="H10" s="361"/>
      <c r="I10" s="356"/>
      <c r="J10" s="361">
        <f>SUM(J11)</f>
        <v>0</v>
      </c>
      <c r="K10" s="356">
        <f>SUM(K11)</f>
        <v>0</v>
      </c>
      <c r="L10" s="361"/>
      <c r="M10" s="356"/>
      <c r="N10" s="361"/>
      <c r="O10" s="363"/>
    </row>
    <row r="11" spans="1:15" s="374" customFormat="1" ht="15.75" customHeight="1" hidden="1">
      <c r="A11" s="365"/>
      <c r="B11" s="366" t="s">
        <v>177</v>
      </c>
      <c r="C11" s="367">
        <v>1000</v>
      </c>
      <c r="D11" s="368">
        <f t="shared" si="0"/>
        <v>0</v>
      </c>
      <c r="E11" s="369">
        <f t="shared" si="0"/>
        <v>0</v>
      </c>
      <c r="F11" s="370"/>
      <c r="G11" s="371"/>
      <c r="H11" s="372"/>
      <c r="I11" s="367"/>
      <c r="J11" s="372"/>
      <c r="K11" s="367"/>
      <c r="L11" s="372"/>
      <c r="M11" s="367"/>
      <c r="N11" s="372"/>
      <c r="O11" s="373"/>
    </row>
    <row r="12" spans="1:15" s="364" customFormat="1" ht="16.5" customHeight="1">
      <c r="A12" s="376" t="s">
        <v>118</v>
      </c>
      <c r="B12" s="355" t="s">
        <v>180</v>
      </c>
      <c r="C12" s="356">
        <f>SUM(C13)</f>
        <v>132684</v>
      </c>
      <c r="D12" s="357">
        <f t="shared" si="0"/>
        <v>354000</v>
      </c>
      <c r="E12" s="358">
        <f t="shared" si="0"/>
        <v>58487</v>
      </c>
      <c r="F12" s="359"/>
      <c r="G12" s="360">
        <f t="shared" si="1"/>
        <v>16.521751412429378</v>
      </c>
      <c r="H12" s="361">
        <f>SUM(H13)</f>
        <v>354000</v>
      </c>
      <c r="I12" s="356">
        <f>SUM(I13)</f>
        <v>58487</v>
      </c>
      <c r="J12" s="361"/>
      <c r="K12" s="356"/>
      <c r="L12" s="361"/>
      <c r="M12" s="356"/>
      <c r="N12" s="361"/>
      <c r="O12" s="363"/>
    </row>
    <row r="13" spans="1:15" s="374" customFormat="1" ht="12">
      <c r="A13" s="365"/>
      <c r="B13" s="366" t="s">
        <v>516</v>
      </c>
      <c r="C13" s="367">
        <v>132684</v>
      </c>
      <c r="D13" s="368">
        <f t="shared" si="0"/>
        <v>354000</v>
      </c>
      <c r="E13" s="369">
        <f t="shared" si="0"/>
        <v>58487</v>
      </c>
      <c r="F13" s="370"/>
      <c r="G13" s="371"/>
      <c r="H13" s="372">
        <v>354000</v>
      </c>
      <c r="I13" s="367">
        <v>58487</v>
      </c>
      <c r="J13" s="372"/>
      <c r="K13" s="367"/>
      <c r="L13" s="372"/>
      <c r="M13" s="367"/>
      <c r="N13" s="372"/>
      <c r="O13" s="373"/>
    </row>
    <row r="14" spans="1:15" s="364" customFormat="1" ht="27" customHeight="1">
      <c r="A14" s="376" t="s">
        <v>120</v>
      </c>
      <c r="B14" s="355" t="s">
        <v>181</v>
      </c>
      <c r="C14" s="356">
        <f>SUM(C15:C18)</f>
        <v>13679038</v>
      </c>
      <c r="D14" s="357">
        <f>H14+L14+N14+J14</f>
        <v>45744559</v>
      </c>
      <c r="E14" s="358">
        <f t="shared" si="0"/>
        <v>11283099</v>
      </c>
      <c r="F14" s="359">
        <f>E14/C14*100</f>
        <v>82.4845943113836</v>
      </c>
      <c r="G14" s="360">
        <f aca="true" t="shared" si="2" ref="G14:G20">E14/D14*100</f>
        <v>24.66544491116419</v>
      </c>
      <c r="H14" s="361">
        <f>SUM(H15:H16)</f>
        <v>21333121</v>
      </c>
      <c r="I14" s="356">
        <f>SUM(I15:I16)</f>
        <v>4659615</v>
      </c>
      <c r="J14" s="361">
        <f>SUM(J15:J16)</f>
        <v>24411438</v>
      </c>
      <c r="K14" s="356">
        <f>SUM(K15:K16)</f>
        <v>6623484</v>
      </c>
      <c r="L14" s="361"/>
      <c r="M14" s="356"/>
      <c r="N14" s="361"/>
      <c r="O14" s="363"/>
    </row>
    <row r="15" spans="1:15" s="374" customFormat="1" ht="12">
      <c r="A15" s="365"/>
      <c r="B15" s="366" t="s">
        <v>516</v>
      </c>
      <c r="C15" s="367">
        <v>10509305</v>
      </c>
      <c r="D15" s="368">
        <f t="shared" si="0"/>
        <v>12527452</v>
      </c>
      <c r="E15" s="369">
        <f t="shared" si="0"/>
        <v>4875796</v>
      </c>
      <c r="F15" s="370">
        <f>E15/C15*100</f>
        <v>46.39503754054146</v>
      </c>
      <c r="G15" s="371">
        <f t="shared" si="2"/>
        <v>38.92089149493449</v>
      </c>
      <c r="H15" s="372">
        <v>10127452</v>
      </c>
      <c r="I15" s="367">
        <v>4003758</v>
      </c>
      <c r="J15" s="372">
        <v>2400000</v>
      </c>
      <c r="K15" s="367">
        <v>872038</v>
      </c>
      <c r="L15" s="372"/>
      <c r="M15" s="367"/>
      <c r="N15" s="372"/>
      <c r="O15" s="373"/>
    </row>
    <row r="16" spans="1:15" s="374" customFormat="1" ht="12">
      <c r="A16" s="365"/>
      <c r="B16" s="366" t="s">
        <v>517</v>
      </c>
      <c r="C16" s="367"/>
      <c r="D16" s="368">
        <f>H16+L16+N16+J16</f>
        <v>33217107</v>
      </c>
      <c r="E16" s="369">
        <f>I16+M16+O16+K16</f>
        <v>6407303</v>
      </c>
      <c r="F16" s="370" t="e">
        <f>E16/C16*100</f>
        <v>#DIV/0!</v>
      </c>
      <c r="G16" s="371">
        <f>E16/D16*100</f>
        <v>19.289166272065778</v>
      </c>
      <c r="H16" s="372">
        <f>SUM(H17:H19)</f>
        <v>11205669</v>
      </c>
      <c r="I16" s="367">
        <f>SUM(I17:I19)</f>
        <v>655857</v>
      </c>
      <c r="J16" s="372">
        <f>SUM(J17:J19)</f>
        <v>22011438</v>
      </c>
      <c r="K16" s="367">
        <f>SUM(K17:K19)</f>
        <v>5751446</v>
      </c>
      <c r="L16" s="372"/>
      <c r="M16" s="367"/>
      <c r="N16" s="372"/>
      <c r="O16" s="373"/>
    </row>
    <row r="17" spans="1:15" s="374" customFormat="1" ht="12">
      <c r="A17" s="365"/>
      <c r="B17" s="366" t="s">
        <v>178</v>
      </c>
      <c r="C17" s="367">
        <v>33563</v>
      </c>
      <c r="D17" s="368">
        <f>H17+L17+N17+J17</f>
        <v>23000</v>
      </c>
      <c r="E17" s="369">
        <f>I17+M17+O17+K17</f>
        <v>15796</v>
      </c>
      <c r="F17" s="370">
        <f>E17/C17*100</f>
        <v>47.063730894139375</v>
      </c>
      <c r="G17" s="371">
        <f t="shared" si="2"/>
        <v>68.67826086956522</v>
      </c>
      <c r="H17" s="372">
        <v>23000</v>
      </c>
      <c r="I17" s="367">
        <v>15796</v>
      </c>
      <c r="J17" s="372"/>
      <c r="K17" s="367"/>
      <c r="L17" s="372"/>
      <c r="M17" s="367"/>
      <c r="N17" s="372"/>
      <c r="O17" s="373"/>
    </row>
    <row r="18" spans="1:15" s="374" customFormat="1" ht="12">
      <c r="A18" s="365"/>
      <c r="B18" s="366" t="s">
        <v>182</v>
      </c>
      <c r="C18" s="367">
        <v>3136170</v>
      </c>
      <c r="D18" s="368">
        <f t="shared" si="0"/>
        <v>29194107</v>
      </c>
      <c r="E18" s="369">
        <f t="shared" si="0"/>
        <v>6391507</v>
      </c>
      <c r="F18" s="370">
        <f>E18/C18*100</f>
        <v>203.79976213024165</v>
      </c>
      <c r="G18" s="371">
        <f t="shared" si="2"/>
        <v>21.89314096848381</v>
      </c>
      <c r="H18" s="372">
        <v>7182669</v>
      </c>
      <c r="I18" s="367">
        <v>640061</v>
      </c>
      <c r="J18" s="372">
        <v>22011438</v>
      </c>
      <c r="K18" s="367">
        <v>5751446</v>
      </c>
      <c r="L18" s="372"/>
      <c r="M18" s="367"/>
      <c r="N18" s="372"/>
      <c r="O18" s="373"/>
    </row>
    <row r="19" spans="1:15" s="374" customFormat="1" ht="12">
      <c r="A19" s="365"/>
      <c r="B19" s="366" t="s">
        <v>184</v>
      </c>
      <c r="C19" s="367"/>
      <c r="D19" s="368">
        <f t="shared" si="0"/>
        <v>4000000</v>
      </c>
      <c r="E19" s="369">
        <f t="shared" si="0"/>
        <v>0</v>
      </c>
      <c r="F19" s="370"/>
      <c r="G19" s="371">
        <f t="shared" si="2"/>
        <v>0</v>
      </c>
      <c r="H19" s="372">
        <v>4000000</v>
      </c>
      <c r="I19" s="367"/>
      <c r="J19" s="372"/>
      <c r="K19" s="367"/>
      <c r="L19" s="372"/>
      <c r="M19" s="367"/>
      <c r="N19" s="372"/>
      <c r="O19" s="373"/>
    </row>
    <row r="20" spans="1:15" s="364" customFormat="1" ht="14.25" customHeight="1">
      <c r="A20" s="376" t="s">
        <v>122</v>
      </c>
      <c r="B20" s="355" t="s">
        <v>123</v>
      </c>
      <c r="C20" s="356">
        <f>SUM(C21)</f>
        <v>197142</v>
      </c>
      <c r="D20" s="357">
        <f t="shared" si="0"/>
        <v>420305</v>
      </c>
      <c r="E20" s="358">
        <f t="shared" si="0"/>
        <v>227506</v>
      </c>
      <c r="F20" s="359">
        <f>E20/C20*100</f>
        <v>115.40209595114182</v>
      </c>
      <c r="G20" s="360">
        <f t="shared" si="2"/>
        <v>54.12878742817716</v>
      </c>
      <c r="H20" s="361">
        <f>SUM(H21)</f>
        <v>420305</v>
      </c>
      <c r="I20" s="356">
        <f>SUM(I21)</f>
        <v>227506</v>
      </c>
      <c r="J20" s="361"/>
      <c r="K20" s="356"/>
      <c r="L20" s="361"/>
      <c r="M20" s="356"/>
      <c r="N20" s="361"/>
      <c r="O20" s="363"/>
    </row>
    <row r="21" spans="1:15" s="374" customFormat="1" ht="12">
      <c r="A21" s="365"/>
      <c r="B21" s="366" t="s">
        <v>516</v>
      </c>
      <c r="C21" s="367">
        <v>197142</v>
      </c>
      <c r="D21" s="368">
        <f t="shared" si="0"/>
        <v>420305</v>
      </c>
      <c r="E21" s="369">
        <f t="shared" si="0"/>
        <v>227506</v>
      </c>
      <c r="F21" s="370"/>
      <c r="G21" s="371"/>
      <c r="H21" s="372">
        <v>420305</v>
      </c>
      <c r="I21" s="367">
        <v>227506</v>
      </c>
      <c r="J21" s="372"/>
      <c r="K21" s="367"/>
      <c r="L21" s="372"/>
      <c r="M21" s="367"/>
      <c r="N21" s="372"/>
      <c r="O21" s="373"/>
    </row>
    <row r="22" spans="1:15" s="364" customFormat="1" ht="28.5" customHeight="1">
      <c r="A22" s="376" t="s">
        <v>124</v>
      </c>
      <c r="B22" s="355" t="s">
        <v>125</v>
      </c>
      <c r="C22" s="377">
        <f>SUM(C23:C27)</f>
        <v>9005875</v>
      </c>
      <c r="D22" s="357">
        <f t="shared" si="0"/>
        <v>19930400</v>
      </c>
      <c r="E22" s="358">
        <f t="shared" si="0"/>
        <v>3255881</v>
      </c>
      <c r="F22" s="359">
        <f aca="true" t="shared" si="3" ref="F22:F29">E22/C22*100</f>
        <v>36.15285577470262</v>
      </c>
      <c r="G22" s="360">
        <f aca="true" t="shared" si="4" ref="G22:G43">E22/D22*100</f>
        <v>16.336255167984586</v>
      </c>
      <c r="H22" s="378">
        <f>SUM(H23:H24)</f>
        <v>19890400</v>
      </c>
      <c r="I22" s="379">
        <f>SUM(I23:I24)</f>
        <v>3250020</v>
      </c>
      <c r="J22" s="361"/>
      <c r="K22" s="356"/>
      <c r="L22" s="361"/>
      <c r="M22" s="356"/>
      <c r="N22" s="361">
        <f>SUM(N23:N24)</f>
        <v>40000</v>
      </c>
      <c r="O22" s="380">
        <f>SUM(O23:O24)</f>
        <v>5861</v>
      </c>
    </row>
    <row r="23" spans="1:15" s="374" customFormat="1" ht="12">
      <c r="A23" s="365"/>
      <c r="B23" s="366" t="s">
        <v>516</v>
      </c>
      <c r="C23" s="367">
        <v>5534630</v>
      </c>
      <c r="D23" s="368">
        <f t="shared" si="0"/>
        <v>1656400</v>
      </c>
      <c r="E23" s="369">
        <f t="shared" si="0"/>
        <v>304585</v>
      </c>
      <c r="F23" s="370">
        <f t="shared" si="3"/>
        <v>5.503258573743864</v>
      </c>
      <c r="G23" s="371">
        <f t="shared" si="4"/>
        <v>18.388372373822747</v>
      </c>
      <c r="H23" s="372">
        <v>1616400</v>
      </c>
      <c r="I23" s="367">
        <v>298724</v>
      </c>
      <c r="J23" s="372"/>
      <c r="K23" s="367"/>
      <c r="L23" s="372"/>
      <c r="M23" s="367"/>
      <c r="N23" s="372">
        <v>40000</v>
      </c>
      <c r="O23" s="373">
        <v>5861</v>
      </c>
    </row>
    <row r="24" spans="1:15" s="374" customFormat="1" ht="12">
      <c r="A24" s="365"/>
      <c r="B24" s="366" t="s">
        <v>517</v>
      </c>
      <c r="C24" s="367"/>
      <c r="D24" s="368">
        <f>H24+L24+N24+J24</f>
        <v>18274000</v>
      </c>
      <c r="E24" s="369">
        <f>I24+M24+O24+K24</f>
        <v>2951296</v>
      </c>
      <c r="F24" s="370" t="e">
        <f>E24/C24*100</f>
        <v>#DIV/0!</v>
      </c>
      <c r="G24" s="371">
        <f>E24/D24*100</f>
        <v>16.15024625150487</v>
      </c>
      <c r="H24" s="372">
        <f>SUM(H25:H27)</f>
        <v>18274000</v>
      </c>
      <c r="I24" s="367">
        <f>SUM(I25:I27)</f>
        <v>2951296</v>
      </c>
      <c r="J24" s="372"/>
      <c r="K24" s="367"/>
      <c r="L24" s="372"/>
      <c r="M24" s="367"/>
      <c r="N24" s="372"/>
      <c r="O24" s="373"/>
    </row>
    <row r="25" spans="1:15" s="374" customFormat="1" ht="12">
      <c r="A25" s="365"/>
      <c r="B25" s="366" t="s">
        <v>183</v>
      </c>
      <c r="C25" s="367">
        <v>515496</v>
      </c>
      <c r="D25" s="368">
        <f t="shared" si="0"/>
        <v>700000</v>
      </c>
      <c r="E25" s="369">
        <f t="shared" si="0"/>
        <v>68343</v>
      </c>
      <c r="F25" s="370">
        <f t="shared" si="3"/>
        <v>13.257716839703898</v>
      </c>
      <c r="G25" s="371">
        <f t="shared" si="4"/>
        <v>9.763285714285715</v>
      </c>
      <c r="H25" s="372">
        <v>700000</v>
      </c>
      <c r="I25" s="367">
        <v>68343</v>
      </c>
      <c r="J25" s="372"/>
      <c r="K25" s="367"/>
      <c r="L25" s="372"/>
      <c r="M25" s="367"/>
      <c r="N25" s="372"/>
      <c r="O25" s="373"/>
    </row>
    <row r="26" spans="1:15" s="374" customFormat="1" ht="12">
      <c r="A26" s="365"/>
      <c r="B26" s="366" t="s">
        <v>182</v>
      </c>
      <c r="C26" s="367">
        <v>2335749</v>
      </c>
      <c r="D26" s="368">
        <f t="shared" si="0"/>
        <v>12004000</v>
      </c>
      <c r="E26" s="369">
        <f t="shared" si="0"/>
        <v>2882953</v>
      </c>
      <c r="F26" s="370">
        <f t="shared" si="3"/>
        <v>123.42734600335909</v>
      </c>
      <c r="G26" s="371">
        <f t="shared" si="4"/>
        <v>24.016602799066977</v>
      </c>
      <c r="H26" s="372">
        <v>12004000</v>
      </c>
      <c r="I26" s="367">
        <v>2882953</v>
      </c>
      <c r="J26" s="372"/>
      <c r="K26" s="367"/>
      <c r="L26" s="372"/>
      <c r="M26" s="367"/>
      <c r="N26" s="372"/>
      <c r="O26" s="373"/>
    </row>
    <row r="27" spans="1:15" s="374" customFormat="1" ht="12">
      <c r="A27" s="365"/>
      <c r="B27" s="366" t="s">
        <v>184</v>
      </c>
      <c r="C27" s="367">
        <v>620000</v>
      </c>
      <c r="D27" s="368">
        <f aca="true" t="shared" si="5" ref="D27:E36">H27+L27+N27+J27</f>
        <v>5570000</v>
      </c>
      <c r="E27" s="369">
        <f t="shared" si="5"/>
        <v>0</v>
      </c>
      <c r="F27" s="370">
        <f t="shared" si="3"/>
        <v>0</v>
      </c>
      <c r="G27" s="371">
        <f t="shared" si="4"/>
        <v>0</v>
      </c>
      <c r="H27" s="372">
        <v>5570000</v>
      </c>
      <c r="I27" s="367"/>
      <c r="J27" s="372"/>
      <c r="K27" s="367"/>
      <c r="L27" s="372"/>
      <c r="M27" s="367"/>
      <c r="N27" s="381"/>
      <c r="O27" s="382"/>
    </row>
    <row r="28" spans="1:15" s="364" customFormat="1" ht="26.25" customHeight="1">
      <c r="A28" s="383" t="s">
        <v>126</v>
      </c>
      <c r="B28" s="355" t="s">
        <v>127</v>
      </c>
      <c r="C28" s="356">
        <f>C29+C32+C34</f>
        <v>871686</v>
      </c>
      <c r="D28" s="357">
        <f>H28+L28+N28+J28</f>
        <v>3151300</v>
      </c>
      <c r="E28" s="358">
        <f>I28+M28+O28+K28</f>
        <v>741492</v>
      </c>
      <c r="F28" s="359">
        <f t="shared" si="3"/>
        <v>85.06411712474447</v>
      </c>
      <c r="G28" s="360">
        <f t="shared" si="4"/>
        <v>23.529717894202392</v>
      </c>
      <c r="H28" s="361">
        <f>H29+H31</f>
        <v>2717200</v>
      </c>
      <c r="I28" s="356">
        <f>I29+I31</f>
        <v>579933</v>
      </c>
      <c r="J28" s="361">
        <f>SUM(J29)+J31</f>
        <v>144000</v>
      </c>
      <c r="K28" s="356">
        <f>SUM(K29)+K31</f>
        <v>64313</v>
      </c>
      <c r="L28" s="361"/>
      <c r="M28" s="356"/>
      <c r="N28" s="361">
        <f>SUM(N29:N31)</f>
        <v>290100</v>
      </c>
      <c r="O28" s="384">
        <f>SUM(O29:O31)</f>
        <v>97246</v>
      </c>
    </row>
    <row r="29" spans="1:15" s="374" customFormat="1" ht="12">
      <c r="A29" s="365"/>
      <c r="B29" s="366" t="s">
        <v>516</v>
      </c>
      <c r="C29" s="367">
        <v>728057</v>
      </c>
      <c r="D29" s="368">
        <f t="shared" si="5"/>
        <v>2951300</v>
      </c>
      <c r="E29" s="369">
        <f t="shared" si="5"/>
        <v>741492</v>
      </c>
      <c r="F29" s="370">
        <f t="shared" si="3"/>
        <v>101.84532255029484</v>
      </c>
      <c r="G29" s="371">
        <f t="shared" si="4"/>
        <v>25.12425033036289</v>
      </c>
      <c r="H29" s="372">
        <f>2717200-200000</f>
        <v>2517200</v>
      </c>
      <c r="I29" s="367">
        <v>579933</v>
      </c>
      <c r="J29" s="372">
        <v>144000</v>
      </c>
      <c r="K29" s="367">
        <v>64313</v>
      </c>
      <c r="L29" s="372"/>
      <c r="M29" s="367"/>
      <c r="N29" s="372">
        <v>290100</v>
      </c>
      <c r="O29" s="373">
        <v>97246</v>
      </c>
    </row>
    <row r="30" spans="1:15" s="392" customFormat="1" ht="24.75" customHeight="1" hidden="1">
      <c r="A30" s="385"/>
      <c r="B30" s="386" t="s">
        <v>185</v>
      </c>
      <c r="C30" s="387">
        <v>16977</v>
      </c>
      <c r="D30" s="368">
        <f t="shared" si="5"/>
        <v>0</v>
      </c>
      <c r="E30" s="369">
        <f t="shared" si="5"/>
        <v>0</v>
      </c>
      <c r="F30" s="370">
        <f>E30/C30*100</f>
        <v>0</v>
      </c>
      <c r="G30" s="371" t="e">
        <f>E30/D30*100</f>
        <v>#DIV/0!</v>
      </c>
      <c r="H30" s="390"/>
      <c r="I30" s="387"/>
      <c r="J30" s="390"/>
      <c r="K30" s="387"/>
      <c r="L30" s="390"/>
      <c r="M30" s="387"/>
      <c r="N30" s="390"/>
      <c r="O30" s="391"/>
    </row>
    <row r="31" spans="1:15" s="2339" customFormat="1" ht="12">
      <c r="A31" s="2334"/>
      <c r="B31" s="2335" t="s">
        <v>517</v>
      </c>
      <c r="C31" s="2336"/>
      <c r="D31" s="368">
        <f>H31+L31+N31+J31</f>
        <v>200000</v>
      </c>
      <c r="E31" s="369">
        <f>I31+M31+O31+K31</f>
        <v>0</v>
      </c>
      <c r="F31" s="370" t="e">
        <f>E31/C31*100</f>
        <v>#DIV/0!</v>
      </c>
      <c r="G31" s="371">
        <f>E31/D31*100</f>
        <v>0</v>
      </c>
      <c r="H31" s="2337">
        <f>SUM(H32:H34)</f>
        <v>200000</v>
      </c>
      <c r="I31" s="2336">
        <f>SUM(I32:I34)</f>
        <v>0</v>
      </c>
      <c r="J31" s="2337"/>
      <c r="K31" s="2336"/>
      <c r="L31" s="2337"/>
      <c r="M31" s="2336"/>
      <c r="N31" s="2337"/>
      <c r="O31" s="2338"/>
    </row>
    <row r="32" spans="1:15" s="374" customFormat="1" ht="12.75" customHeight="1" hidden="1">
      <c r="A32" s="365"/>
      <c r="B32" s="366" t="s">
        <v>183</v>
      </c>
      <c r="C32" s="367">
        <v>3629</v>
      </c>
      <c r="D32" s="368">
        <f t="shared" si="5"/>
        <v>0</v>
      </c>
      <c r="E32" s="369">
        <f t="shared" si="5"/>
        <v>0</v>
      </c>
      <c r="F32" s="370">
        <f>E32/C32*100</f>
        <v>0</v>
      </c>
      <c r="G32" s="371" t="e">
        <f>E32/D32*100</f>
        <v>#DIV/0!</v>
      </c>
      <c r="H32" s="372"/>
      <c r="I32" s="367"/>
      <c r="J32" s="372"/>
      <c r="K32" s="367"/>
      <c r="L32" s="372"/>
      <c r="M32" s="367"/>
      <c r="N32" s="372"/>
      <c r="O32" s="373"/>
    </row>
    <row r="33" spans="1:15" s="374" customFormat="1" ht="12">
      <c r="A33" s="365"/>
      <c r="B33" s="366" t="s">
        <v>182</v>
      </c>
      <c r="C33" s="367"/>
      <c r="D33" s="368">
        <f t="shared" si="5"/>
        <v>200000</v>
      </c>
      <c r="E33" s="369">
        <f t="shared" si="5"/>
        <v>0</v>
      </c>
      <c r="F33" s="370" t="e">
        <f>E33/C33*100</f>
        <v>#DIV/0!</v>
      </c>
      <c r="G33" s="371">
        <f>E33/D33*100</f>
        <v>0</v>
      </c>
      <c r="H33" s="372">
        <v>200000</v>
      </c>
      <c r="I33" s="367"/>
      <c r="J33" s="372"/>
      <c r="K33" s="367"/>
      <c r="L33" s="372"/>
      <c r="M33" s="367"/>
      <c r="N33" s="372"/>
      <c r="O33" s="373"/>
    </row>
    <row r="34" spans="1:15" s="374" customFormat="1" ht="12.75" customHeight="1" hidden="1">
      <c r="A34" s="365"/>
      <c r="B34" s="366" t="s">
        <v>184</v>
      </c>
      <c r="C34" s="367">
        <v>140000</v>
      </c>
      <c r="D34" s="368">
        <f t="shared" si="5"/>
        <v>0</v>
      </c>
      <c r="E34" s="369">
        <f t="shared" si="5"/>
        <v>0</v>
      </c>
      <c r="F34" s="393" t="s">
        <v>179</v>
      </c>
      <c r="G34" s="375" t="s">
        <v>179</v>
      </c>
      <c r="H34" s="372"/>
      <c r="I34" s="367"/>
      <c r="J34" s="372"/>
      <c r="K34" s="367"/>
      <c r="L34" s="372"/>
      <c r="M34" s="367"/>
      <c r="N34" s="381"/>
      <c r="O34" s="382"/>
    </row>
    <row r="35" spans="1:15" s="364" customFormat="1" ht="27" customHeight="1">
      <c r="A35" s="383" t="s">
        <v>129</v>
      </c>
      <c r="B35" s="394" t="s">
        <v>130</v>
      </c>
      <c r="C35" s="356">
        <f>C36+C41+C42</f>
        <v>21287464</v>
      </c>
      <c r="D35" s="357">
        <f t="shared" si="5"/>
        <v>26878097</v>
      </c>
      <c r="E35" s="358">
        <f t="shared" si="5"/>
        <v>13247794</v>
      </c>
      <c r="F35" s="359">
        <f aca="true" t="shared" si="6" ref="F35:F43">E35/C35*100</f>
        <v>62.23284276605236</v>
      </c>
      <c r="G35" s="360">
        <f t="shared" si="4"/>
        <v>49.28843734733155</v>
      </c>
      <c r="H35" s="361">
        <f aca="true" t="shared" si="7" ref="H35:N35">H36+H40</f>
        <v>22155605</v>
      </c>
      <c r="I35" s="356">
        <f t="shared" si="7"/>
        <v>10789991</v>
      </c>
      <c r="J35" s="361">
        <f t="shared" si="7"/>
        <v>3727492</v>
      </c>
      <c r="K35" s="356">
        <f t="shared" si="7"/>
        <v>1918155</v>
      </c>
      <c r="L35" s="361">
        <f t="shared" si="7"/>
        <v>727000</v>
      </c>
      <c r="M35" s="356">
        <f t="shared" si="7"/>
        <v>387000</v>
      </c>
      <c r="N35" s="395">
        <f t="shared" si="7"/>
        <v>268000</v>
      </c>
      <c r="O35" s="363">
        <f>SUM(O36)+O40</f>
        <v>152648</v>
      </c>
    </row>
    <row r="36" spans="1:15" s="374" customFormat="1" ht="12">
      <c r="A36" s="365"/>
      <c r="B36" s="366" t="s">
        <v>516</v>
      </c>
      <c r="C36" s="367">
        <v>20748086</v>
      </c>
      <c r="D36" s="368">
        <f t="shared" si="5"/>
        <v>26184697</v>
      </c>
      <c r="E36" s="369">
        <f t="shared" si="5"/>
        <v>13213994</v>
      </c>
      <c r="F36" s="370">
        <f t="shared" si="6"/>
        <v>63.6877734167865</v>
      </c>
      <c r="G36" s="371">
        <f t="shared" si="4"/>
        <v>50.46456714775046</v>
      </c>
      <c r="H36" s="372">
        <v>21462205</v>
      </c>
      <c r="I36" s="367">
        <v>10756191</v>
      </c>
      <c r="J36" s="372">
        <v>3727492</v>
      </c>
      <c r="K36" s="367">
        <v>1918155</v>
      </c>
      <c r="L36" s="372">
        <v>727000</v>
      </c>
      <c r="M36" s="367">
        <v>387000</v>
      </c>
      <c r="N36" s="372">
        <v>268000</v>
      </c>
      <c r="O36" s="373">
        <v>152648</v>
      </c>
    </row>
    <row r="37" spans="1:15" s="374" customFormat="1" ht="12">
      <c r="A37" s="365"/>
      <c r="B37" s="2340" t="s">
        <v>518</v>
      </c>
      <c r="C37" s="367"/>
      <c r="D37" s="368"/>
      <c r="E37" s="369"/>
      <c r="F37" s="370"/>
      <c r="G37" s="371"/>
      <c r="H37" s="372"/>
      <c r="I37" s="367"/>
      <c r="J37" s="372"/>
      <c r="K37" s="367"/>
      <c r="L37" s="372"/>
      <c r="M37" s="367"/>
      <c r="N37" s="372"/>
      <c r="O37" s="373"/>
    </row>
    <row r="38" spans="1:15" s="374" customFormat="1" ht="36">
      <c r="A38" s="365"/>
      <c r="B38" s="386" t="s">
        <v>519</v>
      </c>
      <c r="C38" s="367">
        <v>9460</v>
      </c>
      <c r="D38" s="389">
        <f aca="true" t="shared" si="8" ref="D38:E53">H38+L38+N38+J38</f>
        <v>8500</v>
      </c>
      <c r="E38" s="389">
        <f t="shared" si="8"/>
        <v>6406</v>
      </c>
      <c r="F38" s="370">
        <f t="shared" si="6"/>
        <v>67.71670190274841</v>
      </c>
      <c r="G38" s="371">
        <f>E38/D38*100</f>
        <v>75.36470588235295</v>
      </c>
      <c r="H38" s="372"/>
      <c r="I38" s="367"/>
      <c r="J38" s="372">
        <v>8500</v>
      </c>
      <c r="K38" s="367">
        <v>6406</v>
      </c>
      <c r="L38" s="372"/>
      <c r="M38" s="367"/>
      <c r="N38" s="372"/>
      <c r="O38" s="373"/>
    </row>
    <row r="39" spans="1:15" s="374" customFormat="1" ht="36">
      <c r="A39" s="365"/>
      <c r="B39" s="386" t="s">
        <v>520</v>
      </c>
      <c r="C39" s="367"/>
      <c r="D39" s="389">
        <f t="shared" si="8"/>
        <v>1168472</v>
      </c>
      <c r="E39" s="389">
        <f t="shared" si="8"/>
        <v>584238</v>
      </c>
      <c r="F39" s="370"/>
      <c r="G39" s="371">
        <f>E39/D39*100</f>
        <v>50.00017116370782</v>
      </c>
      <c r="H39" s="372"/>
      <c r="I39" s="367"/>
      <c r="J39" s="372">
        <v>1168472</v>
      </c>
      <c r="K39" s="367">
        <v>584238</v>
      </c>
      <c r="L39" s="372"/>
      <c r="M39" s="367"/>
      <c r="N39" s="372"/>
      <c r="O39" s="373"/>
    </row>
    <row r="40" spans="1:15" s="374" customFormat="1" ht="12">
      <c r="A40" s="365"/>
      <c r="B40" s="386" t="s">
        <v>517</v>
      </c>
      <c r="C40" s="367"/>
      <c r="D40" s="368">
        <f>H40+L40+N40+J40</f>
        <v>693400</v>
      </c>
      <c r="E40" s="369">
        <f>I40+M40+O40+K40</f>
        <v>33800</v>
      </c>
      <c r="F40" s="370" t="e">
        <f>E40/C40*100</f>
        <v>#DIV/0!</v>
      </c>
      <c r="G40" s="371">
        <f>E40/D40*100</f>
        <v>4.874531295067782</v>
      </c>
      <c r="H40" s="372">
        <f>SUM(H41)</f>
        <v>693400</v>
      </c>
      <c r="I40" s="367">
        <f>SUM(I41)</f>
        <v>33800</v>
      </c>
      <c r="J40" s="372"/>
      <c r="K40" s="367"/>
      <c r="L40" s="372"/>
      <c r="M40" s="367"/>
      <c r="N40" s="372"/>
      <c r="O40" s="373"/>
    </row>
    <row r="41" spans="1:15" s="374" customFormat="1" ht="12">
      <c r="A41" s="365"/>
      <c r="B41" s="366" t="s">
        <v>183</v>
      </c>
      <c r="C41" s="367">
        <v>539378</v>
      </c>
      <c r="D41" s="368">
        <f t="shared" si="8"/>
        <v>693400</v>
      </c>
      <c r="E41" s="369">
        <f t="shared" si="8"/>
        <v>33800</v>
      </c>
      <c r="F41" s="370">
        <f t="shared" si="6"/>
        <v>6.266477312756545</v>
      </c>
      <c r="G41" s="371">
        <f t="shared" si="4"/>
        <v>4.874531295067782</v>
      </c>
      <c r="H41" s="372">
        <v>693400</v>
      </c>
      <c r="I41" s="367">
        <v>33800</v>
      </c>
      <c r="J41" s="372"/>
      <c r="K41" s="367"/>
      <c r="L41" s="2341"/>
      <c r="M41" s="419"/>
      <c r="N41" s="425"/>
      <c r="O41" s="426"/>
    </row>
    <row r="42" spans="1:15" s="374" customFormat="1" ht="14.25" customHeight="1" hidden="1">
      <c r="A42" s="365"/>
      <c r="B42" s="366" t="s">
        <v>186</v>
      </c>
      <c r="C42" s="367"/>
      <c r="D42" s="368">
        <f t="shared" si="8"/>
        <v>0</v>
      </c>
      <c r="E42" s="369">
        <f t="shared" si="8"/>
        <v>0</v>
      </c>
      <c r="F42" s="370" t="e">
        <f t="shared" si="6"/>
        <v>#DIV/0!</v>
      </c>
      <c r="G42" s="371" t="e">
        <f>E42/D42*100</f>
        <v>#DIV/0!</v>
      </c>
      <c r="H42" s="372"/>
      <c r="I42" s="397"/>
      <c r="J42" s="372"/>
      <c r="K42" s="397"/>
      <c r="L42" s="372"/>
      <c r="M42" s="397"/>
      <c r="N42" s="396"/>
      <c r="O42" s="373"/>
    </row>
    <row r="43" spans="1:15" s="364" customFormat="1" ht="102">
      <c r="A43" s="376" t="s">
        <v>131</v>
      </c>
      <c r="B43" s="355" t="s">
        <v>132</v>
      </c>
      <c r="C43" s="356">
        <f>SUM(C44)</f>
        <v>150745</v>
      </c>
      <c r="D43" s="357">
        <f t="shared" si="8"/>
        <v>17750</v>
      </c>
      <c r="E43" s="358">
        <f t="shared" si="8"/>
        <v>3954</v>
      </c>
      <c r="F43" s="359">
        <f t="shared" si="6"/>
        <v>2.62297256957113</v>
      </c>
      <c r="G43" s="360">
        <f t="shared" si="4"/>
        <v>22.27605633802817</v>
      </c>
      <c r="H43" s="361"/>
      <c r="I43" s="356"/>
      <c r="J43" s="361"/>
      <c r="K43" s="356"/>
      <c r="L43" s="361">
        <f>SUM(L44)</f>
        <v>17750</v>
      </c>
      <c r="M43" s="356">
        <f>SUM(M44)</f>
        <v>3954</v>
      </c>
      <c r="N43" s="362"/>
      <c r="O43" s="398"/>
    </row>
    <row r="44" spans="1:15" s="374" customFormat="1" ht="12">
      <c r="A44" s="365"/>
      <c r="B44" s="366" t="s">
        <v>516</v>
      </c>
      <c r="C44" s="367">
        <v>150745</v>
      </c>
      <c r="D44" s="368">
        <f t="shared" si="8"/>
        <v>17750</v>
      </c>
      <c r="E44" s="369">
        <f t="shared" si="8"/>
        <v>3954</v>
      </c>
      <c r="F44" s="370"/>
      <c r="G44" s="371"/>
      <c r="H44" s="372"/>
      <c r="I44" s="367"/>
      <c r="J44" s="372"/>
      <c r="K44" s="367"/>
      <c r="L44" s="372">
        <v>17750</v>
      </c>
      <c r="M44" s="367">
        <v>3954</v>
      </c>
      <c r="N44" s="396"/>
      <c r="O44" s="373"/>
    </row>
    <row r="45" spans="1:15" s="364" customFormat="1" ht="22.5" customHeight="1" hidden="1">
      <c r="A45" s="376" t="s">
        <v>133</v>
      </c>
      <c r="B45" s="355" t="s">
        <v>134</v>
      </c>
      <c r="C45" s="356">
        <f>SUM(C46)</f>
        <v>150745</v>
      </c>
      <c r="D45" s="357">
        <f t="shared" si="8"/>
        <v>0</v>
      </c>
      <c r="E45" s="358">
        <f t="shared" si="8"/>
        <v>0</v>
      </c>
      <c r="F45" s="359">
        <f>E45/C45*100</f>
        <v>0</v>
      </c>
      <c r="G45" s="360" t="e">
        <f>E45/D45*100</f>
        <v>#DIV/0!</v>
      </c>
      <c r="H45" s="361"/>
      <c r="I45" s="356"/>
      <c r="J45" s="361"/>
      <c r="K45" s="356"/>
      <c r="L45" s="361"/>
      <c r="M45" s="356"/>
      <c r="N45" s="361">
        <f>SUM(N46)</f>
        <v>0</v>
      </c>
      <c r="O45" s="380">
        <f>SUM(O46)</f>
        <v>0</v>
      </c>
    </row>
    <row r="46" spans="1:15" s="374" customFormat="1" ht="12.75" customHeight="1" hidden="1">
      <c r="A46" s="365"/>
      <c r="B46" s="366" t="s">
        <v>177</v>
      </c>
      <c r="C46" s="367">
        <v>150745</v>
      </c>
      <c r="D46" s="368">
        <f t="shared" si="8"/>
        <v>0</v>
      </c>
      <c r="E46" s="369">
        <f t="shared" si="8"/>
        <v>0</v>
      </c>
      <c r="F46" s="370"/>
      <c r="G46" s="371"/>
      <c r="H46" s="372"/>
      <c r="I46" s="367"/>
      <c r="J46" s="372"/>
      <c r="K46" s="367"/>
      <c r="L46" s="372"/>
      <c r="M46" s="367">
        <v>0</v>
      </c>
      <c r="N46" s="372"/>
      <c r="O46" s="399">
        <v>0</v>
      </c>
    </row>
    <row r="47" spans="1:15" s="364" customFormat="1" ht="51.75" customHeight="1">
      <c r="A47" s="376" t="s">
        <v>135</v>
      </c>
      <c r="B47" s="355" t="s">
        <v>136</v>
      </c>
      <c r="C47" s="356">
        <f>SUM(C48:C51)</f>
        <v>21696179</v>
      </c>
      <c r="D47" s="357">
        <f t="shared" si="8"/>
        <v>6341700</v>
      </c>
      <c r="E47" s="358">
        <f t="shared" si="8"/>
        <v>3286676</v>
      </c>
      <c r="F47" s="359">
        <f>E47/C47*100</f>
        <v>15.148639767398675</v>
      </c>
      <c r="G47" s="360">
        <f aca="true" t="shared" si="9" ref="G47:G55">E47/D47*100</f>
        <v>51.82641878360692</v>
      </c>
      <c r="H47" s="361">
        <f aca="true" t="shared" si="10" ref="H47:O47">SUM(H48:H49)</f>
        <v>45500</v>
      </c>
      <c r="I47" s="356">
        <f t="shared" si="10"/>
        <v>16260</v>
      </c>
      <c r="J47" s="361">
        <f t="shared" si="10"/>
        <v>970000</v>
      </c>
      <c r="K47" s="356">
        <f t="shared" si="10"/>
        <v>630000</v>
      </c>
      <c r="L47" s="361">
        <f t="shared" si="10"/>
        <v>5000</v>
      </c>
      <c r="M47" s="356">
        <f t="shared" si="10"/>
        <v>0</v>
      </c>
      <c r="N47" s="362">
        <f t="shared" si="10"/>
        <v>5321200</v>
      </c>
      <c r="O47" s="380">
        <f t="shared" si="10"/>
        <v>2640416</v>
      </c>
    </row>
    <row r="48" spans="1:15" s="374" customFormat="1" ht="12">
      <c r="A48" s="365"/>
      <c r="B48" s="366" t="s">
        <v>516</v>
      </c>
      <c r="C48" s="367">
        <v>21530998</v>
      </c>
      <c r="D48" s="368">
        <f t="shared" si="8"/>
        <v>5606700</v>
      </c>
      <c r="E48" s="369">
        <f t="shared" si="8"/>
        <v>2880786</v>
      </c>
      <c r="F48" s="370">
        <f>E48/C48*100</f>
        <v>13.379714214826457</v>
      </c>
      <c r="G48" s="371">
        <f t="shared" si="9"/>
        <v>51.38113328696024</v>
      </c>
      <c r="H48" s="372">
        <v>45500</v>
      </c>
      <c r="I48" s="367">
        <v>16260</v>
      </c>
      <c r="J48" s="372">
        <v>265000</v>
      </c>
      <c r="K48" s="367">
        <v>225000</v>
      </c>
      <c r="L48" s="372">
        <v>5000</v>
      </c>
      <c r="M48" s="367"/>
      <c r="N48" s="396">
        <v>5291200</v>
      </c>
      <c r="O48" s="373">
        <v>2639526</v>
      </c>
    </row>
    <row r="49" spans="1:15" s="374" customFormat="1" ht="12">
      <c r="A49" s="365"/>
      <c r="B49" s="366" t="s">
        <v>517</v>
      </c>
      <c r="C49" s="367"/>
      <c r="D49" s="368">
        <f t="shared" si="8"/>
        <v>735000</v>
      </c>
      <c r="E49" s="369">
        <f t="shared" si="8"/>
        <v>405890</v>
      </c>
      <c r="F49" s="370" t="e">
        <f>E49/C49*100</f>
        <v>#DIV/0!</v>
      </c>
      <c r="G49" s="371">
        <f>E49/D49*100</f>
        <v>55.223129251700676</v>
      </c>
      <c r="H49" s="372"/>
      <c r="I49" s="367"/>
      <c r="J49" s="372">
        <f>SUM(J50:J51)</f>
        <v>705000</v>
      </c>
      <c r="K49" s="367">
        <f>SUM(K50:K51)</f>
        <v>405000</v>
      </c>
      <c r="L49" s="372"/>
      <c r="M49" s="367"/>
      <c r="N49" s="396">
        <f>SUM(N50:N51)</f>
        <v>30000</v>
      </c>
      <c r="O49" s="373">
        <f>SUM(O50:O51)</f>
        <v>890</v>
      </c>
    </row>
    <row r="50" spans="1:15" s="374" customFormat="1" ht="12">
      <c r="A50" s="365"/>
      <c r="B50" s="366" t="s">
        <v>183</v>
      </c>
      <c r="C50" s="367">
        <v>165181</v>
      </c>
      <c r="D50" s="368">
        <f t="shared" si="8"/>
        <v>485000</v>
      </c>
      <c r="E50" s="369">
        <f t="shared" si="8"/>
        <v>155890</v>
      </c>
      <c r="F50" s="370">
        <f>E50/C50*100</f>
        <v>94.37526107724254</v>
      </c>
      <c r="G50" s="371">
        <f t="shared" si="9"/>
        <v>32.14226804123712</v>
      </c>
      <c r="H50" s="372"/>
      <c r="I50" s="367"/>
      <c r="J50" s="372">
        <f>315000+140000</f>
        <v>455000</v>
      </c>
      <c r="K50" s="367">
        <f>15000+140000</f>
        <v>155000</v>
      </c>
      <c r="L50" s="372"/>
      <c r="M50" s="367"/>
      <c r="N50" s="396">
        <v>30000</v>
      </c>
      <c r="O50" s="373">
        <v>890</v>
      </c>
    </row>
    <row r="51" spans="1:15" s="374" customFormat="1" ht="11.25" customHeight="1">
      <c r="A51" s="365"/>
      <c r="B51" s="366" t="s">
        <v>182</v>
      </c>
      <c r="C51" s="367"/>
      <c r="D51" s="368">
        <f t="shared" si="8"/>
        <v>250000</v>
      </c>
      <c r="E51" s="369">
        <f t="shared" si="8"/>
        <v>250000</v>
      </c>
      <c r="F51" s="393" t="s">
        <v>179</v>
      </c>
      <c r="G51" s="371">
        <f t="shared" si="9"/>
        <v>100</v>
      </c>
      <c r="H51" s="372"/>
      <c r="I51" s="367"/>
      <c r="J51" s="372">
        <v>250000</v>
      </c>
      <c r="K51" s="367">
        <v>250000</v>
      </c>
      <c r="L51" s="372"/>
      <c r="M51" s="367"/>
      <c r="N51" s="396"/>
      <c r="O51" s="373"/>
    </row>
    <row r="52" spans="1:15" s="364" customFormat="1" ht="102">
      <c r="A52" s="400" t="s">
        <v>137</v>
      </c>
      <c r="B52" s="401" t="s">
        <v>188</v>
      </c>
      <c r="C52" s="402"/>
      <c r="D52" s="378">
        <f t="shared" si="8"/>
        <v>467900</v>
      </c>
      <c r="E52" s="358">
        <f t="shared" si="8"/>
        <v>182142</v>
      </c>
      <c r="F52" s="403"/>
      <c r="G52" s="404">
        <f t="shared" si="9"/>
        <v>38.92754862150032</v>
      </c>
      <c r="H52" s="361">
        <f>H53</f>
        <v>467900</v>
      </c>
      <c r="I52" s="356">
        <f>I53</f>
        <v>182142</v>
      </c>
      <c r="J52" s="395"/>
      <c r="K52" s="356"/>
      <c r="L52" s="395"/>
      <c r="M52" s="356"/>
      <c r="N52" s="395"/>
      <c r="O52" s="363"/>
    </row>
    <row r="53" spans="1:15" s="374" customFormat="1" ht="11.25" customHeight="1">
      <c r="A53" s="365"/>
      <c r="B53" s="366" t="s">
        <v>516</v>
      </c>
      <c r="C53" s="367"/>
      <c r="D53" s="368">
        <f t="shared" si="8"/>
        <v>467900</v>
      </c>
      <c r="E53" s="369">
        <f t="shared" si="8"/>
        <v>182142</v>
      </c>
      <c r="F53" s="393"/>
      <c r="G53" s="371">
        <f t="shared" si="9"/>
        <v>38.92754862150032</v>
      </c>
      <c r="H53" s="372">
        <v>467900</v>
      </c>
      <c r="I53" s="367">
        <v>182142</v>
      </c>
      <c r="J53" s="372"/>
      <c r="K53" s="367"/>
      <c r="L53" s="372"/>
      <c r="M53" s="367"/>
      <c r="N53" s="396"/>
      <c r="O53" s="373"/>
    </row>
    <row r="54" spans="1:15" s="364" customFormat="1" ht="24.75" customHeight="1">
      <c r="A54" s="376" t="s">
        <v>139</v>
      </c>
      <c r="B54" s="355" t="s">
        <v>140</v>
      </c>
      <c r="C54" s="356">
        <f>C55+C56</f>
        <v>1224938</v>
      </c>
      <c r="D54" s="357">
        <f>H54+L54+N54+J54</f>
        <v>3770000</v>
      </c>
      <c r="E54" s="358">
        <f>I54+M54+O54+K54</f>
        <v>1417017</v>
      </c>
      <c r="F54" s="359">
        <f>E54/C54*100</f>
        <v>115.68071200338304</v>
      </c>
      <c r="G54" s="360">
        <f t="shared" si="9"/>
        <v>37.58665782493369</v>
      </c>
      <c r="H54" s="361">
        <f>H55+H56</f>
        <v>3770000</v>
      </c>
      <c r="I54" s="356">
        <f>I55+I56</f>
        <v>1417017</v>
      </c>
      <c r="J54" s="361"/>
      <c r="K54" s="356"/>
      <c r="L54" s="361"/>
      <c r="M54" s="356"/>
      <c r="N54" s="362"/>
      <c r="O54" s="380"/>
    </row>
    <row r="55" spans="1:15" s="406" customFormat="1" ht="12">
      <c r="A55" s="365"/>
      <c r="B55" s="366" t="s">
        <v>516</v>
      </c>
      <c r="C55" s="367">
        <v>1224938</v>
      </c>
      <c r="D55" s="368">
        <f aca="true" t="shared" si="11" ref="D55:E68">H55+L55+N55+J55</f>
        <v>3770000</v>
      </c>
      <c r="E55" s="369">
        <f t="shared" si="11"/>
        <v>1417017</v>
      </c>
      <c r="F55" s="370"/>
      <c r="G55" s="371">
        <f t="shared" si="9"/>
        <v>37.58665782493369</v>
      </c>
      <c r="H55" s="405">
        <v>3770000</v>
      </c>
      <c r="I55" s="367">
        <v>1417017</v>
      </c>
      <c r="J55" s="405"/>
      <c r="K55" s="367"/>
      <c r="L55" s="405"/>
      <c r="M55" s="367"/>
      <c r="N55" s="396"/>
      <c r="O55" s="373"/>
    </row>
    <row r="56" spans="1:15" s="416" customFormat="1" ht="12.75" customHeight="1" hidden="1">
      <c r="A56" s="407"/>
      <c r="B56" s="408" t="s">
        <v>183</v>
      </c>
      <c r="C56" s="409"/>
      <c r="D56" s="410">
        <f t="shared" si="11"/>
        <v>0</v>
      </c>
      <c r="E56" s="411">
        <f t="shared" si="11"/>
        <v>0</v>
      </c>
      <c r="F56" s="370"/>
      <c r="G56" s="412"/>
      <c r="H56" s="413"/>
      <c r="I56" s="414"/>
      <c r="J56" s="413"/>
      <c r="K56" s="414"/>
      <c r="L56" s="413"/>
      <c r="M56" s="414"/>
      <c r="N56" s="415"/>
      <c r="O56" s="398"/>
    </row>
    <row r="57" spans="1:15" s="364" customFormat="1" ht="14.25" customHeight="1">
      <c r="A57" s="376" t="s">
        <v>141</v>
      </c>
      <c r="B57" s="355" t="s">
        <v>142</v>
      </c>
      <c r="C57" s="356">
        <f>SUM(C58:C58)</f>
        <v>0</v>
      </c>
      <c r="D57" s="357">
        <f t="shared" si="11"/>
        <v>4775062</v>
      </c>
      <c r="E57" s="358">
        <f t="shared" si="11"/>
        <v>623400</v>
      </c>
      <c r="F57" s="417" t="s">
        <v>179</v>
      </c>
      <c r="G57" s="360">
        <f aca="true" t="shared" si="12" ref="G57:G65">E57/D57*100</f>
        <v>13.055327867994174</v>
      </c>
      <c r="H57" s="361">
        <f>SUM(H58:H58)</f>
        <v>3528287</v>
      </c>
      <c r="I57" s="356">
        <f>SUM(I58:I58)</f>
        <v>0</v>
      </c>
      <c r="J57" s="361">
        <f>J58</f>
        <v>1246775</v>
      </c>
      <c r="K57" s="356">
        <f>K58</f>
        <v>623400</v>
      </c>
      <c r="L57" s="361"/>
      <c r="M57" s="356"/>
      <c r="N57" s="362"/>
      <c r="O57" s="380"/>
    </row>
    <row r="58" spans="1:15" s="374" customFormat="1" ht="12">
      <c r="A58" s="365"/>
      <c r="B58" s="366" t="s">
        <v>516</v>
      </c>
      <c r="C58" s="367">
        <v>0</v>
      </c>
      <c r="D58" s="368">
        <f t="shared" si="11"/>
        <v>4775062</v>
      </c>
      <c r="E58" s="369">
        <f t="shared" si="11"/>
        <v>623400</v>
      </c>
      <c r="F58" s="370"/>
      <c r="G58" s="371"/>
      <c r="H58" s="372">
        <v>3528287</v>
      </c>
      <c r="I58" s="367"/>
      <c r="J58" s="372">
        <v>1246775</v>
      </c>
      <c r="K58" s="367">
        <v>623400</v>
      </c>
      <c r="L58" s="372"/>
      <c r="M58" s="367"/>
      <c r="N58" s="396"/>
      <c r="O58" s="373"/>
    </row>
    <row r="59" spans="1:15" s="364" customFormat="1" ht="27" customHeight="1">
      <c r="A59" s="376" t="s">
        <v>143</v>
      </c>
      <c r="B59" s="355" t="s">
        <v>144</v>
      </c>
      <c r="C59" s="356">
        <f>SUM(C60:C64)</f>
        <v>71840954</v>
      </c>
      <c r="D59" s="357">
        <f t="shared" si="11"/>
        <v>98394545</v>
      </c>
      <c r="E59" s="358">
        <f t="shared" si="11"/>
        <v>52875100</v>
      </c>
      <c r="F59" s="359">
        <f>E59/C59*100</f>
        <v>73.60021972982152</v>
      </c>
      <c r="G59" s="360">
        <f t="shared" si="12"/>
        <v>53.73783678759834</v>
      </c>
      <c r="H59" s="361">
        <f>SUM(H60)+H62</f>
        <v>57567016</v>
      </c>
      <c r="I59" s="356">
        <f>SUM(I60)+I62</f>
        <v>31440658</v>
      </c>
      <c r="J59" s="361">
        <f>SUM(J60)+J62</f>
        <v>40827529</v>
      </c>
      <c r="K59" s="356">
        <f>SUM(K60)+K62</f>
        <v>21434442</v>
      </c>
      <c r="L59" s="361"/>
      <c r="M59" s="356"/>
      <c r="N59" s="362"/>
      <c r="O59" s="380"/>
    </row>
    <row r="60" spans="1:15" s="374" customFormat="1" ht="11.25" customHeight="1">
      <c r="A60" s="365"/>
      <c r="B60" s="366" t="s">
        <v>516</v>
      </c>
      <c r="C60" s="367">
        <v>70511255</v>
      </c>
      <c r="D60" s="368">
        <f t="shared" si="11"/>
        <v>96570945</v>
      </c>
      <c r="E60" s="369">
        <f t="shared" si="11"/>
        <v>52677319</v>
      </c>
      <c r="F60" s="370">
        <f>E60/C60*100</f>
        <v>74.70767468257372</v>
      </c>
      <c r="G60" s="371">
        <f t="shared" si="12"/>
        <v>54.5477928169803</v>
      </c>
      <c r="H60" s="372">
        <v>56504616</v>
      </c>
      <c r="I60" s="367">
        <v>31294466</v>
      </c>
      <c r="J60" s="372">
        <v>40066329</v>
      </c>
      <c r="K60" s="367">
        <v>21382853</v>
      </c>
      <c r="L60" s="372"/>
      <c r="M60" s="367"/>
      <c r="N60" s="396"/>
      <c r="O60" s="373"/>
    </row>
    <row r="61" spans="1:15" s="374" customFormat="1" ht="24" hidden="1">
      <c r="A61" s="365"/>
      <c r="B61" s="386" t="s">
        <v>185</v>
      </c>
      <c r="C61" s="367"/>
      <c r="D61" s="368">
        <f t="shared" si="11"/>
        <v>0</v>
      </c>
      <c r="E61" s="369">
        <f t="shared" si="11"/>
        <v>0</v>
      </c>
      <c r="F61" s="393" t="s">
        <v>179</v>
      </c>
      <c r="G61" s="371" t="e">
        <f t="shared" si="12"/>
        <v>#DIV/0!</v>
      </c>
      <c r="H61" s="372"/>
      <c r="I61" s="367"/>
      <c r="J61" s="372"/>
      <c r="K61" s="367"/>
      <c r="L61" s="372"/>
      <c r="M61" s="367"/>
      <c r="N61" s="396"/>
      <c r="O61" s="373"/>
    </row>
    <row r="62" spans="1:15" s="374" customFormat="1" ht="12">
      <c r="A62" s="365"/>
      <c r="B62" s="386" t="s">
        <v>517</v>
      </c>
      <c r="C62" s="367"/>
      <c r="D62" s="368">
        <f>H62+L62+N62+J62</f>
        <v>1823600</v>
      </c>
      <c r="E62" s="368">
        <f>I62+M62+O62+K62</f>
        <v>197781</v>
      </c>
      <c r="F62" s="393"/>
      <c r="G62" s="371">
        <f>E62/D62*100</f>
        <v>10.845635007677123</v>
      </c>
      <c r="H62" s="372">
        <f>SUM(H63:H64)</f>
        <v>1062400</v>
      </c>
      <c r="I62" s="367">
        <f>SUM(I63:I64)</f>
        <v>146192</v>
      </c>
      <c r="J62" s="372">
        <f>SUM(J63:J64)</f>
        <v>761200</v>
      </c>
      <c r="K62" s="367">
        <f>SUM(K63:K64)</f>
        <v>51589</v>
      </c>
      <c r="L62" s="372"/>
      <c r="M62" s="367"/>
      <c r="N62" s="396"/>
      <c r="O62" s="373"/>
    </row>
    <row r="63" spans="1:15" s="374" customFormat="1" ht="12">
      <c r="A63" s="365"/>
      <c r="B63" s="366" t="s">
        <v>183</v>
      </c>
      <c r="C63" s="367"/>
      <c r="D63" s="368">
        <f t="shared" si="11"/>
        <v>17000</v>
      </c>
      <c r="E63" s="368">
        <f t="shared" si="11"/>
        <v>4953</v>
      </c>
      <c r="F63" s="393"/>
      <c r="G63" s="371">
        <f t="shared" si="12"/>
        <v>29.13529411764706</v>
      </c>
      <c r="H63" s="372">
        <v>7000</v>
      </c>
      <c r="I63" s="367">
        <v>4953</v>
      </c>
      <c r="J63" s="372">
        <v>10000</v>
      </c>
      <c r="K63" s="367"/>
      <c r="L63" s="372"/>
      <c r="M63" s="367"/>
      <c r="N63" s="396"/>
      <c r="O63" s="373"/>
    </row>
    <row r="64" spans="1:15" s="374" customFormat="1" ht="12">
      <c r="A64" s="365"/>
      <c r="B64" s="366" t="s">
        <v>182</v>
      </c>
      <c r="C64" s="367">
        <v>1329699</v>
      </c>
      <c r="D64" s="368">
        <f t="shared" si="11"/>
        <v>1806600</v>
      </c>
      <c r="E64" s="369">
        <f t="shared" si="11"/>
        <v>192828</v>
      </c>
      <c r="F64" s="370">
        <f>E64/C64*100</f>
        <v>14.501627812008582</v>
      </c>
      <c r="G64" s="371">
        <f t="shared" si="12"/>
        <v>10.673530388575223</v>
      </c>
      <c r="H64" s="372">
        <v>1055400</v>
      </c>
      <c r="I64" s="367">
        <v>141239</v>
      </c>
      <c r="J64" s="372">
        <v>751200</v>
      </c>
      <c r="K64" s="367">
        <v>51589</v>
      </c>
      <c r="L64" s="372"/>
      <c r="M64" s="367"/>
      <c r="N64" s="396"/>
      <c r="O64" s="373"/>
    </row>
    <row r="65" spans="1:15" s="364" customFormat="1" ht="24" customHeight="1">
      <c r="A65" s="376" t="s">
        <v>145</v>
      </c>
      <c r="B65" s="355" t="s">
        <v>146</v>
      </c>
      <c r="C65" s="356">
        <f>SUM(C66)</f>
        <v>7420</v>
      </c>
      <c r="D65" s="357">
        <f t="shared" si="11"/>
        <v>54710</v>
      </c>
      <c r="E65" s="358">
        <f t="shared" si="11"/>
        <v>42485</v>
      </c>
      <c r="F65" s="359">
        <f>E65/C65*100</f>
        <v>572.5741239892184</v>
      </c>
      <c r="G65" s="360">
        <f t="shared" si="12"/>
        <v>77.65490769511972</v>
      </c>
      <c r="H65" s="361">
        <f>SUM(H66)</f>
        <v>54710</v>
      </c>
      <c r="I65" s="356">
        <f>SUM(I66)</f>
        <v>42485</v>
      </c>
      <c r="J65" s="361"/>
      <c r="K65" s="356"/>
      <c r="L65" s="361"/>
      <c r="M65" s="356"/>
      <c r="N65" s="362"/>
      <c r="O65" s="380"/>
    </row>
    <row r="66" spans="1:15" s="374" customFormat="1" ht="12">
      <c r="A66" s="365"/>
      <c r="B66" s="418" t="s">
        <v>516</v>
      </c>
      <c r="C66" s="419">
        <v>7420</v>
      </c>
      <c r="D66" s="420">
        <f t="shared" si="11"/>
        <v>54710</v>
      </c>
      <c r="E66" s="421">
        <f t="shared" si="11"/>
        <v>42485</v>
      </c>
      <c r="F66" s="422"/>
      <c r="G66" s="423"/>
      <c r="H66" s="424">
        <v>54710</v>
      </c>
      <c r="I66" s="419">
        <v>42485</v>
      </c>
      <c r="J66" s="424"/>
      <c r="K66" s="419"/>
      <c r="L66" s="424"/>
      <c r="M66" s="419"/>
      <c r="N66" s="425"/>
      <c r="O66" s="426"/>
    </row>
    <row r="67" spans="1:15" s="364" customFormat="1" ht="14.25" customHeight="1">
      <c r="A67" s="376" t="s">
        <v>147</v>
      </c>
      <c r="B67" s="427" t="s">
        <v>148</v>
      </c>
      <c r="C67" s="402">
        <f>SUM(C68:C70)</f>
        <v>2692095</v>
      </c>
      <c r="D67" s="428">
        <f t="shared" si="11"/>
        <v>2686500</v>
      </c>
      <c r="E67" s="429">
        <f t="shared" si="11"/>
        <v>835345</v>
      </c>
      <c r="F67" s="430">
        <f>E67/C67*100</f>
        <v>31.02955133455543</v>
      </c>
      <c r="G67" s="431">
        <f aca="true" t="shared" si="13" ref="G67:G97">E67/D67*100</f>
        <v>31.094174576586635</v>
      </c>
      <c r="H67" s="432">
        <f>SUM(H68:H69)</f>
        <v>2679500</v>
      </c>
      <c r="I67" s="402">
        <f>SUM(I68:I69)</f>
        <v>831943</v>
      </c>
      <c r="J67" s="432"/>
      <c r="K67" s="402"/>
      <c r="L67" s="432"/>
      <c r="M67" s="402"/>
      <c r="N67" s="433">
        <f>SUM(N68:N69)</f>
        <v>7000</v>
      </c>
      <c r="O67" s="434">
        <f>SUM(O68:O69)</f>
        <v>3402</v>
      </c>
    </row>
    <row r="68" spans="1:15" s="374" customFormat="1" ht="12">
      <c r="A68" s="365"/>
      <c r="B68" s="366" t="s">
        <v>516</v>
      </c>
      <c r="C68" s="367">
        <v>2692095</v>
      </c>
      <c r="D68" s="368">
        <f t="shared" si="11"/>
        <v>2566500</v>
      </c>
      <c r="E68" s="369">
        <f t="shared" si="11"/>
        <v>785345</v>
      </c>
      <c r="F68" s="370">
        <f>E68/C68*100</f>
        <v>29.172261751535515</v>
      </c>
      <c r="G68" s="371">
        <f t="shared" si="13"/>
        <v>30.599844145723747</v>
      </c>
      <c r="H68" s="372">
        <v>2559500</v>
      </c>
      <c r="I68" s="367">
        <v>781943</v>
      </c>
      <c r="J68" s="372"/>
      <c r="K68" s="367"/>
      <c r="L68" s="372"/>
      <c r="M68" s="367"/>
      <c r="N68" s="396">
        <v>7000</v>
      </c>
      <c r="O68" s="373">
        <v>3402</v>
      </c>
    </row>
    <row r="69" spans="1:15" s="374" customFormat="1" ht="12">
      <c r="A69" s="365"/>
      <c r="B69" s="366" t="s">
        <v>517</v>
      </c>
      <c r="C69" s="367"/>
      <c r="D69" s="368">
        <f>H69+L69+N69+J69</f>
        <v>120000</v>
      </c>
      <c r="E69" s="369">
        <f>I69+M69+O69+K69</f>
        <v>50000</v>
      </c>
      <c r="F69" s="370" t="e">
        <f>E69/C69*100</f>
        <v>#DIV/0!</v>
      </c>
      <c r="G69" s="371">
        <f>E69/D69*100</f>
        <v>41.66666666666667</v>
      </c>
      <c r="H69" s="372">
        <f>SUM(H70)</f>
        <v>120000</v>
      </c>
      <c r="I69" s="367">
        <f>SUM(I70)</f>
        <v>50000</v>
      </c>
      <c r="J69" s="372"/>
      <c r="K69" s="367"/>
      <c r="L69" s="372"/>
      <c r="M69" s="367"/>
      <c r="N69" s="396"/>
      <c r="O69" s="373"/>
    </row>
    <row r="70" spans="1:15" s="374" customFormat="1" ht="12">
      <c r="A70" s="435"/>
      <c r="B70" s="366" t="s">
        <v>182</v>
      </c>
      <c r="C70" s="419"/>
      <c r="D70" s="368">
        <f>H70+L70+N70+J70</f>
        <v>120000</v>
      </c>
      <c r="E70" s="369">
        <f>I70+M70+O70+K70</f>
        <v>50000</v>
      </c>
      <c r="F70" s="436"/>
      <c r="G70" s="371">
        <f t="shared" si="13"/>
        <v>41.66666666666667</v>
      </c>
      <c r="H70" s="424">
        <v>120000</v>
      </c>
      <c r="I70" s="419">
        <v>50000</v>
      </c>
      <c r="J70" s="424"/>
      <c r="K70" s="419"/>
      <c r="L70" s="424"/>
      <c r="M70" s="419"/>
      <c r="N70" s="425"/>
      <c r="O70" s="426"/>
    </row>
    <row r="71" spans="1:15" s="364" customFormat="1" ht="18" customHeight="1">
      <c r="A71" s="376" t="s">
        <v>149</v>
      </c>
      <c r="B71" s="355" t="s">
        <v>150</v>
      </c>
      <c r="C71" s="356">
        <f>C72+C77+C78</f>
        <v>25325112</v>
      </c>
      <c r="D71" s="357">
        <f aca="true" t="shared" si="14" ref="D71:E113">H71+L71+N71+J71</f>
        <v>55122461</v>
      </c>
      <c r="E71" s="358">
        <f t="shared" si="14"/>
        <v>21317754</v>
      </c>
      <c r="F71" s="359">
        <f aca="true" t="shared" si="15" ref="F71:F83">E71/C71*100</f>
        <v>84.176346386938</v>
      </c>
      <c r="G71" s="360">
        <f t="shared" si="13"/>
        <v>38.6734438435178</v>
      </c>
      <c r="H71" s="361">
        <f aca="true" t="shared" si="16" ref="H71:M71">H72+H76</f>
        <v>19216437</v>
      </c>
      <c r="I71" s="356">
        <f t="shared" si="16"/>
        <v>9614415</v>
      </c>
      <c r="J71" s="361">
        <f t="shared" si="16"/>
        <v>4300499</v>
      </c>
      <c r="K71" s="356">
        <f t="shared" si="16"/>
        <v>2101589</v>
      </c>
      <c r="L71" s="361">
        <f t="shared" si="16"/>
        <v>31605525</v>
      </c>
      <c r="M71" s="356">
        <f t="shared" si="16"/>
        <v>9601750</v>
      </c>
      <c r="N71" s="362"/>
      <c r="O71" s="380"/>
    </row>
    <row r="72" spans="1:15" s="374" customFormat="1" ht="12" customHeight="1">
      <c r="A72" s="365"/>
      <c r="B72" s="366" t="s">
        <v>516</v>
      </c>
      <c r="C72" s="367">
        <v>24482518</v>
      </c>
      <c r="D72" s="368">
        <f t="shared" si="14"/>
        <v>53617461</v>
      </c>
      <c r="E72" s="369">
        <f t="shared" si="14"/>
        <v>21003606</v>
      </c>
      <c r="F72" s="370">
        <f t="shared" si="15"/>
        <v>85.79021978049806</v>
      </c>
      <c r="G72" s="371">
        <f t="shared" si="13"/>
        <v>39.17307087704135</v>
      </c>
      <c r="H72" s="372">
        <v>17721637</v>
      </c>
      <c r="I72" s="367">
        <v>9300267</v>
      </c>
      <c r="J72" s="372">
        <v>4290299</v>
      </c>
      <c r="K72" s="367">
        <v>2101589</v>
      </c>
      <c r="L72" s="372">
        <v>31605525</v>
      </c>
      <c r="M72" s="367">
        <v>9601750</v>
      </c>
      <c r="N72" s="396"/>
      <c r="O72" s="373"/>
    </row>
    <row r="73" spans="1:15" s="374" customFormat="1" ht="12">
      <c r="A73" s="365"/>
      <c r="B73" s="2340" t="s">
        <v>466</v>
      </c>
      <c r="C73" s="367"/>
      <c r="D73" s="368"/>
      <c r="E73" s="369"/>
      <c r="F73" s="370"/>
      <c r="G73" s="371"/>
      <c r="H73" s="372"/>
      <c r="I73" s="367"/>
      <c r="J73" s="372"/>
      <c r="K73" s="367"/>
      <c r="L73" s="372"/>
      <c r="M73" s="367"/>
      <c r="N73" s="396"/>
      <c r="O73" s="373"/>
    </row>
    <row r="74" spans="1:15" s="374" customFormat="1" ht="11.25" customHeight="1" hidden="1">
      <c r="A74" s="365"/>
      <c r="B74" s="386" t="s">
        <v>128</v>
      </c>
      <c r="C74" s="367">
        <v>23666</v>
      </c>
      <c r="D74" s="388">
        <f>H74+L74+N74+J74</f>
        <v>0</v>
      </c>
      <c r="E74" s="389">
        <f>I74+M74+O74+K74</f>
        <v>0</v>
      </c>
      <c r="F74" s="370">
        <f t="shared" si="15"/>
        <v>0</v>
      </c>
      <c r="G74" s="371" t="e">
        <f t="shared" si="13"/>
        <v>#DIV/0!</v>
      </c>
      <c r="H74" s="372"/>
      <c r="I74" s="367"/>
      <c r="J74" s="372"/>
      <c r="K74" s="367"/>
      <c r="L74" s="372"/>
      <c r="M74" s="367"/>
      <c r="N74" s="396"/>
      <c r="O74" s="373"/>
    </row>
    <row r="75" spans="1:15" s="374" customFormat="1" ht="36">
      <c r="A75" s="365"/>
      <c r="B75" s="386" t="s">
        <v>520</v>
      </c>
      <c r="C75" s="367"/>
      <c r="D75" s="2342">
        <f t="shared" si="14"/>
        <v>680560</v>
      </c>
      <c r="E75" s="2343">
        <f t="shared" si="14"/>
        <v>284610</v>
      </c>
      <c r="F75" s="2344"/>
      <c r="G75" s="2345">
        <f t="shared" si="13"/>
        <v>41.819971787939345</v>
      </c>
      <c r="H75" s="372"/>
      <c r="I75" s="367"/>
      <c r="J75" s="2346">
        <v>680560</v>
      </c>
      <c r="K75" s="2347">
        <v>284610</v>
      </c>
      <c r="L75" s="372"/>
      <c r="M75" s="367"/>
      <c r="N75" s="396"/>
      <c r="O75" s="373"/>
    </row>
    <row r="76" spans="1:15" s="2339" customFormat="1" ht="12">
      <c r="A76" s="2334"/>
      <c r="B76" s="2335" t="s">
        <v>517</v>
      </c>
      <c r="C76" s="2336"/>
      <c r="D76" s="368">
        <f>H76+L76+N76+J76</f>
        <v>1505000</v>
      </c>
      <c r="E76" s="369">
        <f>I76+M76+O76+K76</f>
        <v>314148</v>
      </c>
      <c r="F76" s="370" t="e">
        <f>E76/C76*100</f>
        <v>#DIV/0!</v>
      </c>
      <c r="G76" s="371">
        <f>E76/D76*100</f>
        <v>20.87362126245847</v>
      </c>
      <c r="H76" s="2337">
        <f>SUM(H77:H78)</f>
        <v>1494800</v>
      </c>
      <c r="I76" s="2336">
        <f>SUM(I77:I78)</f>
        <v>314148</v>
      </c>
      <c r="J76" s="2337">
        <f>SUM(J77:J78)</f>
        <v>10200</v>
      </c>
      <c r="K76" s="2336">
        <f>SUM(K77:K78)</f>
        <v>0</v>
      </c>
      <c r="L76" s="2337"/>
      <c r="M76" s="2336"/>
      <c r="N76" s="2348"/>
      <c r="O76" s="2338"/>
    </row>
    <row r="77" spans="1:15" s="374" customFormat="1" ht="12">
      <c r="A77" s="365"/>
      <c r="B77" s="366" t="s">
        <v>183</v>
      </c>
      <c r="C77" s="367">
        <v>27040</v>
      </c>
      <c r="D77" s="368">
        <f t="shared" si="14"/>
        <v>130000</v>
      </c>
      <c r="E77" s="369">
        <f t="shared" si="14"/>
        <v>24931</v>
      </c>
      <c r="F77" s="370">
        <f t="shared" si="15"/>
        <v>92.20044378698225</v>
      </c>
      <c r="G77" s="371">
        <f t="shared" si="13"/>
        <v>19.177692307692308</v>
      </c>
      <c r="H77" s="372">
        <v>119800</v>
      </c>
      <c r="I77" s="367">
        <v>24931</v>
      </c>
      <c r="J77" s="372">
        <v>10200</v>
      </c>
      <c r="K77" s="367"/>
      <c r="L77" s="372"/>
      <c r="M77" s="367"/>
      <c r="N77" s="396"/>
      <c r="O77" s="373"/>
    </row>
    <row r="78" spans="1:15" s="374" customFormat="1" ht="12">
      <c r="A78" s="365"/>
      <c r="B78" s="366" t="s">
        <v>182</v>
      </c>
      <c r="C78" s="367">
        <v>815554</v>
      </c>
      <c r="D78" s="368">
        <f t="shared" si="14"/>
        <v>1375000</v>
      </c>
      <c r="E78" s="369">
        <f t="shared" si="14"/>
        <v>289217</v>
      </c>
      <c r="F78" s="370">
        <f t="shared" si="15"/>
        <v>35.46264257179782</v>
      </c>
      <c r="G78" s="371">
        <f t="shared" si="13"/>
        <v>21.033963636363637</v>
      </c>
      <c r="H78" s="372">
        <v>1375000</v>
      </c>
      <c r="I78" s="367">
        <v>289217</v>
      </c>
      <c r="J78" s="372"/>
      <c r="K78" s="367"/>
      <c r="L78" s="372"/>
      <c r="M78" s="367"/>
      <c r="N78" s="396"/>
      <c r="O78" s="373"/>
    </row>
    <row r="79" spans="1:15" s="364" customFormat="1" ht="51">
      <c r="A79" s="376" t="s">
        <v>151</v>
      </c>
      <c r="B79" s="401" t="s">
        <v>152</v>
      </c>
      <c r="C79" s="402"/>
      <c r="D79" s="378">
        <f t="shared" si="14"/>
        <v>2213605</v>
      </c>
      <c r="E79" s="437">
        <f t="shared" si="14"/>
        <v>1110370</v>
      </c>
      <c r="F79" s="438"/>
      <c r="G79" s="404">
        <f t="shared" si="13"/>
        <v>50.1611624476815</v>
      </c>
      <c r="H79" s="395">
        <f>H80</f>
        <v>2049340</v>
      </c>
      <c r="I79" s="356">
        <f>I80</f>
        <v>1023054</v>
      </c>
      <c r="J79" s="395">
        <f>SUM(J80:J81)</f>
        <v>47422</v>
      </c>
      <c r="K79" s="356">
        <f>SUM(K80:K81)</f>
        <v>26984</v>
      </c>
      <c r="L79" s="395"/>
      <c r="M79" s="356"/>
      <c r="N79" s="395">
        <f>N80</f>
        <v>116843</v>
      </c>
      <c r="O79" s="363">
        <f>O80</f>
        <v>60332</v>
      </c>
    </row>
    <row r="80" spans="1:15" s="374" customFormat="1" ht="12">
      <c r="A80" s="365"/>
      <c r="B80" s="366" t="s">
        <v>516</v>
      </c>
      <c r="C80" s="367"/>
      <c r="D80" s="368">
        <f t="shared" si="14"/>
        <v>2213605</v>
      </c>
      <c r="E80" s="369">
        <f t="shared" si="14"/>
        <v>1110370</v>
      </c>
      <c r="F80" s="370"/>
      <c r="G80" s="371">
        <f t="shared" si="13"/>
        <v>50.1611624476815</v>
      </c>
      <c r="H80" s="372">
        <v>2049340</v>
      </c>
      <c r="I80" s="367">
        <v>1023054</v>
      </c>
      <c r="J80" s="372">
        <v>47422</v>
      </c>
      <c r="K80" s="367">
        <v>26984</v>
      </c>
      <c r="L80" s="372"/>
      <c r="M80" s="367"/>
      <c r="N80" s="396">
        <v>116843</v>
      </c>
      <c r="O80" s="373">
        <v>60332</v>
      </c>
    </row>
    <row r="81" spans="1:15" s="374" customFormat="1" ht="15" customHeight="1" hidden="1">
      <c r="A81" s="365"/>
      <c r="B81" s="366" t="s">
        <v>183</v>
      </c>
      <c r="C81" s="367">
        <v>27040</v>
      </c>
      <c r="D81" s="368">
        <f>H81+L81+N81+J81</f>
        <v>0</v>
      </c>
      <c r="E81" s="369">
        <f>I81+M81+O81+K81</f>
        <v>0</v>
      </c>
      <c r="F81" s="370">
        <f>E81/C81*100</f>
        <v>0</v>
      </c>
      <c r="G81" s="371" t="e">
        <f>E81/D81*100</f>
        <v>#DIV/0!</v>
      </c>
      <c r="H81" s="372"/>
      <c r="I81" s="367"/>
      <c r="J81" s="372"/>
      <c r="K81" s="367"/>
      <c r="L81" s="372"/>
      <c r="M81" s="367"/>
      <c r="N81" s="396"/>
      <c r="O81" s="373"/>
    </row>
    <row r="82" spans="1:15" s="364" customFormat="1" ht="34.5" customHeight="1">
      <c r="A82" s="376" t="s">
        <v>153</v>
      </c>
      <c r="B82" s="355" t="s">
        <v>154</v>
      </c>
      <c r="C82" s="356">
        <f>SUM(C83:C86)</f>
        <v>16526185</v>
      </c>
      <c r="D82" s="357">
        <f t="shared" si="14"/>
        <v>9461949</v>
      </c>
      <c r="E82" s="358">
        <f t="shared" si="14"/>
        <v>4996791</v>
      </c>
      <c r="F82" s="359">
        <f t="shared" si="15"/>
        <v>30.235598839054507</v>
      </c>
      <c r="G82" s="360">
        <f t="shared" si="13"/>
        <v>52.80932078581273</v>
      </c>
      <c r="H82" s="361">
        <f>SUM(H83:H84)</f>
        <v>1871904</v>
      </c>
      <c r="I82" s="356">
        <f>SUM(I83:I84)</f>
        <v>1097266</v>
      </c>
      <c r="J82" s="361">
        <f>SUM(J83:J84)</f>
        <v>7590045</v>
      </c>
      <c r="K82" s="356">
        <f>SUM(K83:K84)</f>
        <v>3899525</v>
      </c>
      <c r="L82" s="361"/>
      <c r="M82" s="356"/>
      <c r="N82" s="362"/>
      <c r="O82" s="380"/>
    </row>
    <row r="83" spans="1:15" s="374" customFormat="1" ht="12">
      <c r="A83" s="365"/>
      <c r="B83" s="366" t="s">
        <v>516</v>
      </c>
      <c r="C83" s="367">
        <v>16526185</v>
      </c>
      <c r="D83" s="368">
        <f t="shared" si="14"/>
        <v>9266949</v>
      </c>
      <c r="E83" s="369">
        <f t="shared" si="14"/>
        <v>4996791</v>
      </c>
      <c r="F83" s="439">
        <f t="shared" si="15"/>
        <v>30.235598839054507</v>
      </c>
      <c r="G83" s="371">
        <f t="shared" si="13"/>
        <v>53.9205622044537</v>
      </c>
      <c r="H83" s="405">
        <v>1871904</v>
      </c>
      <c r="I83" s="367">
        <v>1097266</v>
      </c>
      <c r="J83" s="405">
        <v>7395045</v>
      </c>
      <c r="K83" s="367">
        <v>3899525</v>
      </c>
      <c r="L83" s="405"/>
      <c r="M83" s="367"/>
      <c r="N83" s="396"/>
      <c r="O83" s="373"/>
    </row>
    <row r="84" spans="1:15" s="374" customFormat="1" ht="12">
      <c r="A84" s="365"/>
      <c r="B84" s="366" t="s">
        <v>517</v>
      </c>
      <c r="C84" s="397"/>
      <c r="D84" s="368">
        <f>H84+L84+N84+J84</f>
        <v>195000</v>
      </c>
      <c r="E84" s="369">
        <f>I84+M84+O84+K84</f>
        <v>0</v>
      </c>
      <c r="F84" s="370"/>
      <c r="G84" s="371">
        <f>E84/D84*100</f>
        <v>0</v>
      </c>
      <c r="H84" s="405"/>
      <c r="I84" s="367"/>
      <c r="J84" s="405">
        <f>SUM(J85:J86)</f>
        <v>195000</v>
      </c>
      <c r="K84" s="367">
        <f>SUM(K85:K86)</f>
        <v>0</v>
      </c>
      <c r="L84" s="405"/>
      <c r="M84" s="367"/>
      <c r="N84" s="396"/>
      <c r="O84" s="373"/>
    </row>
    <row r="85" spans="1:15" s="374" customFormat="1" ht="12.75" customHeight="1" hidden="1">
      <c r="A85" s="365"/>
      <c r="B85" s="366" t="s">
        <v>183</v>
      </c>
      <c r="C85" s="397"/>
      <c r="D85" s="368">
        <f t="shared" si="14"/>
        <v>0</v>
      </c>
      <c r="E85" s="369">
        <f t="shared" si="14"/>
        <v>0</v>
      </c>
      <c r="F85" s="370"/>
      <c r="G85" s="371" t="e">
        <f t="shared" si="13"/>
        <v>#DIV/0!</v>
      </c>
      <c r="H85" s="405"/>
      <c r="I85" s="367"/>
      <c r="J85" s="405"/>
      <c r="K85" s="367"/>
      <c r="L85" s="405"/>
      <c r="M85" s="367"/>
      <c r="N85" s="396"/>
      <c r="O85" s="373"/>
    </row>
    <row r="86" spans="1:15" s="374" customFormat="1" ht="12">
      <c r="A86" s="440"/>
      <c r="B86" s="366" t="s">
        <v>182</v>
      </c>
      <c r="C86" s="441"/>
      <c r="D86" s="368">
        <f t="shared" si="14"/>
        <v>195000</v>
      </c>
      <c r="E86" s="369">
        <f t="shared" si="14"/>
        <v>0</v>
      </c>
      <c r="F86" s="370"/>
      <c r="G86" s="371">
        <f t="shared" si="13"/>
        <v>0</v>
      </c>
      <c r="H86" s="405"/>
      <c r="I86" s="367"/>
      <c r="J86" s="405">
        <v>195000</v>
      </c>
      <c r="K86" s="367"/>
      <c r="L86" s="405"/>
      <c r="M86" s="367"/>
      <c r="N86" s="396"/>
      <c r="O86" s="373"/>
    </row>
    <row r="87" spans="1:15" s="442" customFormat="1" ht="50.25" customHeight="1">
      <c r="A87" s="376" t="s">
        <v>155</v>
      </c>
      <c r="B87" s="355" t="s">
        <v>156</v>
      </c>
      <c r="C87" s="377">
        <f>SUM(C88:C92)</f>
        <v>12319589</v>
      </c>
      <c r="D87" s="357">
        <f t="shared" si="14"/>
        <v>14875702</v>
      </c>
      <c r="E87" s="358">
        <f t="shared" si="14"/>
        <v>6628826</v>
      </c>
      <c r="F87" s="359">
        <f aca="true" t="shared" si="17" ref="F87:F98">E87/C87*100</f>
        <v>53.80720087334082</v>
      </c>
      <c r="G87" s="360">
        <f t="shared" si="13"/>
        <v>44.5614331343825</v>
      </c>
      <c r="H87" s="361">
        <f>SUM(H88:H89)</f>
        <v>11981402</v>
      </c>
      <c r="I87" s="356">
        <f>SUM(I88:I89)</f>
        <v>4945319</v>
      </c>
      <c r="J87" s="361">
        <f>SUM(J88:J89)</f>
        <v>2894300</v>
      </c>
      <c r="K87" s="356">
        <f>SUM(K88:K89)</f>
        <v>1683507</v>
      </c>
      <c r="L87" s="361"/>
      <c r="M87" s="356"/>
      <c r="N87" s="362"/>
      <c r="O87" s="380"/>
    </row>
    <row r="88" spans="1:15" s="374" customFormat="1" ht="11.25" customHeight="1">
      <c r="A88" s="365"/>
      <c r="B88" s="366" t="s">
        <v>516</v>
      </c>
      <c r="C88" s="367">
        <v>7396799</v>
      </c>
      <c r="D88" s="368">
        <f t="shared" si="14"/>
        <v>8248202</v>
      </c>
      <c r="E88" s="369">
        <f t="shared" si="14"/>
        <v>3813340</v>
      </c>
      <c r="F88" s="370">
        <f t="shared" si="17"/>
        <v>51.55392217633601</v>
      </c>
      <c r="G88" s="371">
        <f t="shared" si="13"/>
        <v>46.23237888693802</v>
      </c>
      <c r="H88" s="372">
        <v>5353902</v>
      </c>
      <c r="I88" s="367">
        <f>2129832+1</f>
        <v>2129833</v>
      </c>
      <c r="J88" s="372">
        <v>2894300</v>
      </c>
      <c r="K88" s="367">
        <v>1683507</v>
      </c>
      <c r="L88" s="372"/>
      <c r="M88" s="367"/>
      <c r="N88" s="396"/>
      <c r="O88" s="373"/>
    </row>
    <row r="89" spans="1:15" s="374" customFormat="1" ht="11.25" customHeight="1">
      <c r="A89" s="365"/>
      <c r="B89" s="366" t="s">
        <v>517</v>
      </c>
      <c r="C89" s="367"/>
      <c r="D89" s="368">
        <f>H89+L89+N89+J89</f>
        <v>6627500</v>
      </c>
      <c r="E89" s="369">
        <f>I89+M89+O89+K89</f>
        <v>2815486</v>
      </c>
      <c r="F89" s="370" t="e">
        <f>E89/C89*100</f>
        <v>#DIV/0!</v>
      </c>
      <c r="G89" s="371">
        <f>E89/D89*100</f>
        <v>42.48187099207846</v>
      </c>
      <c r="H89" s="372">
        <f>SUM(H90:H91)</f>
        <v>6627500</v>
      </c>
      <c r="I89" s="367">
        <f>SUM(I90:I91)</f>
        <v>2815486</v>
      </c>
      <c r="J89" s="372"/>
      <c r="K89" s="367"/>
      <c r="L89" s="372"/>
      <c r="M89" s="367"/>
      <c r="N89" s="396"/>
      <c r="O89" s="373"/>
    </row>
    <row r="90" spans="1:15" s="374" customFormat="1" ht="11.25" customHeight="1" hidden="1">
      <c r="A90" s="365"/>
      <c r="B90" s="366" t="s">
        <v>183</v>
      </c>
      <c r="C90" s="367"/>
      <c r="D90" s="368">
        <f>H90+L90+N90+J90</f>
        <v>0</v>
      </c>
      <c r="E90" s="369">
        <f>I90+M90+O90+K90</f>
        <v>0</v>
      </c>
      <c r="F90" s="370"/>
      <c r="G90" s="371"/>
      <c r="H90" s="372"/>
      <c r="I90" s="367"/>
      <c r="J90" s="372"/>
      <c r="K90" s="367"/>
      <c r="L90" s="372"/>
      <c r="M90" s="367"/>
      <c r="N90" s="396"/>
      <c r="O90" s="373"/>
    </row>
    <row r="91" spans="1:15" s="374" customFormat="1" ht="11.25" customHeight="1">
      <c r="A91" s="440"/>
      <c r="B91" s="366" t="s">
        <v>182</v>
      </c>
      <c r="C91" s="367">
        <v>4722790</v>
      </c>
      <c r="D91" s="368">
        <f t="shared" si="14"/>
        <v>6627500</v>
      </c>
      <c r="E91" s="369">
        <f t="shared" si="14"/>
        <v>2815486</v>
      </c>
      <c r="F91" s="370">
        <f t="shared" si="17"/>
        <v>59.614888656916776</v>
      </c>
      <c r="G91" s="371">
        <f t="shared" si="13"/>
        <v>42.48187099207846</v>
      </c>
      <c r="H91" s="372">
        <v>6627500</v>
      </c>
      <c r="I91" s="367">
        <f>2815487-1</f>
        <v>2815486</v>
      </c>
      <c r="J91" s="372"/>
      <c r="K91" s="367"/>
      <c r="L91" s="372"/>
      <c r="M91" s="367"/>
      <c r="N91" s="396"/>
      <c r="O91" s="373"/>
    </row>
    <row r="92" spans="1:15" s="374" customFormat="1" ht="12" customHeight="1" hidden="1">
      <c r="A92" s="440"/>
      <c r="B92" s="366" t="s">
        <v>184</v>
      </c>
      <c r="C92" s="367">
        <v>200000</v>
      </c>
      <c r="D92" s="368">
        <f>H92+L92+N92+J92</f>
        <v>0</v>
      </c>
      <c r="E92" s="369">
        <f>I92+M92+O92+K92</f>
        <v>0</v>
      </c>
      <c r="F92" s="370">
        <f t="shared" si="17"/>
        <v>0</v>
      </c>
      <c r="G92" s="371"/>
      <c r="H92" s="372">
        <v>0</v>
      </c>
      <c r="I92" s="367"/>
      <c r="J92" s="372"/>
      <c r="K92" s="367"/>
      <c r="L92" s="372"/>
      <c r="M92" s="367"/>
      <c r="N92" s="396"/>
      <c r="O92" s="373"/>
    </row>
    <row r="93" spans="1:15" s="342" customFormat="1" ht="49.5" customHeight="1">
      <c r="A93" s="376" t="s">
        <v>157</v>
      </c>
      <c r="B93" s="355" t="s">
        <v>158</v>
      </c>
      <c r="C93" s="356">
        <f>C94+C97+C98</f>
        <v>15292097</v>
      </c>
      <c r="D93" s="357">
        <f t="shared" si="14"/>
        <v>15791540</v>
      </c>
      <c r="E93" s="358">
        <f t="shared" si="14"/>
        <v>7301001</v>
      </c>
      <c r="F93" s="359">
        <f t="shared" si="17"/>
        <v>47.743622081392765</v>
      </c>
      <c r="G93" s="360">
        <f t="shared" si="13"/>
        <v>46.23362255992765</v>
      </c>
      <c r="H93" s="361">
        <f>H94+H96</f>
        <v>4413280</v>
      </c>
      <c r="I93" s="356">
        <f>I94+I96</f>
        <v>2253980</v>
      </c>
      <c r="J93" s="361">
        <f>SUM(J94)+J96</f>
        <v>11374260</v>
      </c>
      <c r="K93" s="356">
        <f>SUM(K94)+K96</f>
        <v>5047021</v>
      </c>
      <c r="L93" s="361">
        <f>L94+L96</f>
        <v>4000</v>
      </c>
      <c r="M93" s="356">
        <f>M94+M96</f>
        <v>0</v>
      </c>
      <c r="N93" s="362"/>
      <c r="O93" s="380"/>
    </row>
    <row r="94" spans="1:15" s="406" customFormat="1" ht="12">
      <c r="A94" s="440"/>
      <c r="B94" s="366" t="s">
        <v>516</v>
      </c>
      <c r="C94" s="367">
        <v>13241493</v>
      </c>
      <c r="D94" s="368">
        <f t="shared" si="14"/>
        <v>12953470</v>
      </c>
      <c r="E94" s="369">
        <f t="shared" si="14"/>
        <v>6751974</v>
      </c>
      <c r="F94" s="370">
        <f t="shared" si="17"/>
        <v>50.99103250668183</v>
      </c>
      <c r="G94" s="371">
        <f t="shared" si="13"/>
        <v>52.124828327853464</v>
      </c>
      <c r="H94" s="405">
        <v>3887280</v>
      </c>
      <c r="I94" s="367">
        <v>2228841</v>
      </c>
      <c r="J94" s="372">
        <v>9062190</v>
      </c>
      <c r="K94" s="367">
        <v>4523133</v>
      </c>
      <c r="L94" s="405">
        <v>4000</v>
      </c>
      <c r="M94" s="367"/>
      <c r="N94" s="396"/>
      <c r="O94" s="373"/>
    </row>
    <row r="95" spans="1:15" s="406" customFormat="1" ht="24" hidden="1">
      <c r="A95" s="440"/>
      <c r="B95" s="386" t="s">
        <v>185</v>
      </c>
      <c r="C95" s="367">
        <v>50000</v>
      </c>
      <c r="D95" s="388">
        <f t="shared" si="14"/>
        <v>0</v>
      </c>
      <c r="E95" s="389">
        <f t="shared" si="14"/>
        <v>0</v>
      </c>
      <c r="F95" s="370">
        <f t="shared" si="17"/>
        <v>0</v>
      </c>
      <c r="G95" s="371" t="e">
        <f t="shared" si="13"/>
        <v>#DIV/0!</v>
      </c>
      <c r="H95" s="405"/>
      <c r="I95" s="367"/>
      <c r="J95" s="405"/>
      <c r="K95" s="367"/>
      <c r="L95" s="405"/>
      <c r="M95" s="367"/>
      <c r="N95" s="396"/>
      <c r="O95" s="373"/>
    </row>
    <row r="96" spans="1:15" s="2351" customFormat="1" ht="12">
      <c r="A96" s="2349"/>
      <c r="B96" s="2335" t="s">
        <v>517</v>
      </c>
      <c r="C96" s="2336"/>
      <c r="D96" s="388">
        <f>H96+L96+N96+J96</f>
        <v>2838070</v>
      </c>
      <c r="E96" s="389">
        <f>I96+M96+O96+K96</f>
        <v>549027</v>
      </c>
      <c r="F96" s="370"/>
      <c r="G96" s="371">
        <f>E96/D96*100</f>
        <v>19.345083102249063</v>
      </c>
      <c r="H96" s="2350">
        <f>SUM(H97:H98)</f>
        <v>526000</v>
      </c>
      <c r="I96" s="2336">
        <f>SUM(I97:I98)</f>
        <v>25139</v>
      </c>
      <c r="J96" s="2350">
        <f>SUM(J97:J98)</f>
        <v>2312070</v>
      </c>
      <c r="K96" s="2336">
        <f>SUM(K97:K98)</f>
        <v>523888</v>
      </c>
      <c r="L96" s="2350"/>
      <c r="M96" s="2336"/>
      <c r="N96" s="2348"/>
      <c r="O96" s="2338"/>
    </row>
    <row r="97" spans="1:15" s="374" customFormat="1" ht="12">
      <c r="A97" s="365"/>
      <c r="B97" s="366" t="s">
        <v>183</v>
      </c>
      <c r="C97" s="367"/>
      <c r="D97" s="388">
        <f t="shared" si="14"/>
        <v>281000</v>
      </c>
      <c r="E97" s="389">
        <f t="shared" si="14"/>
        <v>33980</v>
      </c>
      <c r="F97" s="370"/>
      <c r="G97" s="371">
        <f t="shared" si="13"/>
        <v>12.092526690391459</v>
      </c>
      <c r="H97" s="372">
        <v>150000</v>
      </c>
      <c r="I97" s="367">
        <f>25139-1159</f>
        <v>23980</v>
      </c>
      <c r="J97" s="372">
        <v>131000</v>
      </c>
      <c r="K97" s="367">
        <v>10000</v>
      </c>
      <c r="L97" s="372"/>
      <c r="M97" s="367"/>
      <c r="N97" s="396"/>
      <c r="O97" s="373"/>
    </row>
    <row r="98" spans="1:15" s="374" customFormat="1" ht="12">
      <c r="A98" s="440"/>
      <c r="B98" s="366" t="s">
        <v>182</v>
      </c>
      <c r="C98" s="367">
        <v>2050604</v>
      </c>
      <c r="D98" s="368">
        <f>H98+L98+N98+J98</f>
        <v>2557070</v>
      </c>
      <c r="E98" s="369">
        <f>I98+M98+O98+K98</f>
        <v>515047</v>
      </c>
      <c r="F98" s="370">
        <f t="shared" si="17"/>
        <v>25.116843622659466</v>
      </c>
      <c r="G98" s="371">
        <f>E98/D98*100</f>
        <v>20.142076673692937</v>
      </c>
      <c r="H98" s="372">
        <v>376000</v>
      </c>
      <c r="I98" s="367">
        <v>1159</v>
      </c>
      <c r="J98" s="372">
        <v>2181070</v>
      </c>
      <c r="K98" s="367">
        <v>513888</v>
      </c>
      <c r="L98" s="372"/>
      <c r="M98" s="367"/>
      <c r="N98" s="396"/>
      <c r="O98" s="373"/>
    </row>
    <row r="99" spans="1:15" s="342" customFormat="1" ht="76.5" customHeight="1" hidden="1">
      <c r="A99" s="376" t="s">
        <v>159</v>
      </c>
      <c r="B99" s="355" t="s">
        <v>160</v>
      </c>
      <c r="C99" s="356">
        <f>SUM(C100)</f>
        <v>0</v>
      </c>
      <c r="D99" s="357"/>
      <c r="E99" s="358"/>
      <c r="F99" s="359"/>
      <c r="G99" s="360"/>
      <c r="H99" s="361"/>
      <c r="I99" s="356"/>
      <c r="J99" s="361"/>
      <c r="K99" s="356"/>
      <c r="L99" s="362"/>
      <c r="M99" s="356"/>
      <c r="N99" s="362"/>
      <c r="O99" s="380"/>
    </row>
    <row r="100" spans="1:15" s="406" customFormat="1" ht="12.75" customHeight="1" hidden="1">
      <c r="A100" s="440"/>
      <c r="B100" s="366" t="s">
        <v>187</v>
      </c>
      <c r="C100" s="367"/>
      <c r="D100" s="368"/>
      <c r="E100" s="369"/>
      <c r="F100" s="443"/>
      <c r="G100" s="444"/>
      <c r="H100" s="405"/>
      <c r="I100" s="367"/>
      <c r="J100" s="405"/>
      <c r="K100" s="367"/>
      <c r="L100" s="396"/>
      <c r="M100" s="367"/>
      <c r="N100" s="396"/>
      <c r="O100" s="373"/>
    </row>
    <row r="101" spans="1:15" s="450" customFormat="1" ht="27.75" customHeight="1">
      <c r="A101" s="383" t="s">
        <v>161</v>
      </c>
      <c r="B101" s="355" t="s">
        <v>162</v>
      </c>
      <c r="C101" s="445">
        <f>SUM(C102:C105)</f>
        <v>3970196</v>
      </c>
      <c r="D101" s="357">
        <f t="shared" si="14"/>
        <v>13012415</v>
      </c>
      <c r="E101" s="358">
        <f t="shared" si="14"/>
        <v>2670925</v>
      </c>
      <c r="F101" s="359">
        <f>E101/C101*100</f>
        <v>67.27438645346476</v>
      </c>
      <c r="G101" s="446">
        <f aca="true" t="shared" si="18" ref="G101:G115">E101/D101*100</f>
        <v>20.525974617317384</v>
      </c>
      <c r="H101" s="447">
        <f>SUM(H102:H103)</f>
        <v>13012415</v>
      </c>
      <c r="I101" s="445">
        <f>SUM(I102:I103)</f>
        <v>2670925</v>
      </c>
      <c r="J101" s="447"/>
      <c r="K101" s="445"/>
      <c r="L101" s="448"/>
      <c r="M101" s="445"/>
      <c r="N101" s="448"/>
      <c r="O101" s="449"/>
    </row>
    <row r="102" spans="1:15" s="374" customFormat="1" ht="12">
      <c r="A102" s="365"/>
      <c r="B102" s="366" t="s">
        <v>516</v>
      </c>
      <c r="C102" s="367">
        <v>3704077</v>
      </c>
      <c r="D102" s="368">
        <f t="shared" si="14"/>
        <v>3718620</v>
      </c>
      <c r="E102" s="369">
        <f t="shared" si="14"/>
        <v>2264521</v>
      </c>
      <c r="F102" s="370">
        <f>E102/C102*100</f>
        <v>61.135905112123744</v>
      </c>
      <c r="G102" s="371">
        <f t="shared" si="18"/>
        <v>60.89681118264302</v>
      </c>
      <c r="H102" s="372">
        <v>3718620</v>
      </c>
      <c r="I102" s="367">
        <v>2264521</v>
      </c>
      <c r="J102" s="396"/>
      <c r="K102" s="367"/>
      <c r="L102" s="396"/>
      <c r="M102" s="367"/>
      <c r="N102" s="396"/>
      <c r="O102" s="373"/>
    </row>
    <row r="103" spans="1:15" s="374" customFormat="1" ht="12">
      <c r="A103" s="365"/>
      <c r="B103" s="366" t="s">
        <v>517</v>
      </c>
      <c r="C103" s="367"/>
      <c r="D103" s="368">
        <f>H103+L103+N103+J103</f>
        <v>9293795</v>
      </c>
      <c r="E103" s="369">
        <f>I103+M103+O103+K103</f>
        <v>406404</v>
      </c>
      <c r="F103" s="370" t="e">
        <f>E103/C103*100</f>
        <v>#DIV/0!</v>
      </c>
      <c r="G103" s="371">
        <f t="shared" si="18"/>
        <v>4.372853070247407</v>
      </c>
      <c r="H103" s="372">
        <f>SUM(H104:H106)</f>
        <v>9293795</v>
      </c>
      <c r="I103" s="367">
        <f>SUM(I104:I106)</f>
        <v>406404</v>
      </c>
      <c r="J103" s="396"/>
      <c r="K103" s="367"/>
      <c r="L103" s="396"/>
      <c r="M103" s="367"/>
      <c r="N103" s="396"/>
      <c r="O103" s="373"/>
    </row>
    <row r="104" spans="1:15" s="374" customFormat="1" ht="12.75">
      <c r="A104" s="365"/>
      <c r="B104" s="451" t="s">
        <v>189</v>
      </c>
      <c r="C104" s="367">
        <v>66119</v>
      </c>
      <c r="D104" s="368">
        <f t="shared" si="14"/>
        <v>24000</v>
      </c>
      <c r="E104" s="369">
        <f t="shared" si="14"/>
        <v>24000</v>
      </c>
      <c r="F104" s="370">
        <f>E104/C104*100</f>
        <v>36.29818962779232</v>
      </c>
      <c r="G104" s="371">
        <f t="shared" si="18"/>
        <v>100</v>
      </c>
      <c r="H104" s="372">
        <v>24000</v>
      </c>
      <c r="I104" s="367">
        <v>24000</v>
      </c>
      <c r="J104" s="372"/>
      <c r="K104" s="367"/>
      <c r="L104" s="372"/>
      <c r="M104" s="367"/>
      <c r="N104" s="396"/>
      <c r="O104" s="373"/>
    </row>
    <row r="105" spans="1:15" s="374" customFormat="1" ht="12.75" thickBot="1">
      <c r="A105" s="440"/>
      <c r="B105" s="2352" t="s">
        <v>182</v>
      </c>
      <c r="C105" s="367">
        <v>200000</v>
      </c>
      <c r="D105" s="368">
        <f t="shared" si="14"/>
        <v>9269795</v>
      </c>
      <c r="E105" s="369">
        <f t="shared" si="14"/>
        <v>382404</v>
      </c>
      <c r="F105" s="370">
        <f>E105/C105*100</f>
        <v>191.202</v>
      </c>
      <c r="G105" s="371">
        <f t="shared" si="18"/>
        <v>4.125269221164006</v>
      </c>
      <c r="H105" s="372">
        <v>9269795</v>
      </c>
      <c r="I105" s="367">
        <v>382404</v>
      </c>
      <c r="J105" s="372"/>
      <c r="K105" s="367"/>
      <c r="L105" s="372"/>
      <c r="M105" s="367"/>
      <c r="N105" s="396"/>
      <c r="O105" s="373"/>
    </row>
    <row r="106" spans="1:15" s="374" customFormat="1" ht="13.5" hidden="1" thickBot="1">
      <c r="A106" s="2353"/>
      <c r="B106" s="2354" t="s">
        <v>189</v>
      </c>
      <c r="C106" s="367"/>
      <c r="D106" s="368">
        <f>H106+L106+N106+J106</f>
        <v>0</v>
      </c>
      <c r="E106" s="369">
        <f>I106+M106+O106+K106</f>
        <v>0</v>
      </c>
      <c r="F106" s="443"/>
      <c r="G106" s="371" t="e">
        <f t="shared" si="18"/>
        <v>#DIV/0!</v>
      </c>
      <c r="H106" s="2355"/>
      <c r="I106" s="2356"/>
      <c r="J106" s="396"/>
      <c r="K106" s="367"/>
      <c r="L106" s="372"/>
      <c r="M106" s="367"/>
      <c r="N106" s="2357"/>
      <c r="O106" s="373"/>
    </row>
    <row r="107" spans="1:15" s="191" customFormat="1" ht="15">
      <c r="A107" s="452"/>
      <c r="B107" s="2358" t="s">
        <v>102</v>
      </c>
      <c r="C107" s="453">
        <f>C7+C10+C12+C14+C20+C22+C28+C35+C43+C47+C54+C57+C59+C65+C67+C71+C82+C87+C93+C99+C101</f>
        <v>217333443</v>
      </c>
      <c r="D107" s="454">
        <f t="shared" si="14"/>
        <v>323466100</v>
      </c>
      <c r="E107" s="455">
        <f t="shared" si="14"/>
        <v>132106713</v>
      </c>
      <c r="F107" s="456">
        <f aca="true" t="shared" si="19" ref="F107:F115">E107/C107*100</f>
        <v>60.785266720317864</v>
      </c>
      <c r="G107" s="457">
        <f t="shared" si="18"/>
        <v>40.840976225947635</v>
      </c>
      <c r="H107" s="458">
        <f>H7+H10+H12+H14+H20+H22+H28+H35+H43+H47+H54+H57+H59+H65+H67+H71+H82+H87+H93+H99+H101+H52+H79</f>
        <v>187529922</v>
      </c>
      <c r="I107" s="459">
        <f>I7+I10+I12+I14+I20+I22+I28+I35+I43+I47+I54+I57+I59+I65+I67+I71+I82+I87+I93+I99+I101+I52+I79</f>
        <v>75101684</v>
      </c>
      <c r="J107" s="460">
        <f>J7+J10+J12+J14+J20+J22+J28+J35+J43+J47+J54+J57+J59+J65+J67+J71+J82+J87+J93+J99+J101+J79</f>
        <v>97533760</v>
      </c>
      <c r="K107" s="453">
        <f>K7+K10+K12+K14+K20+K22+K28+K35+K43+K47+K54+K57+K59+K65+K67+K71+K82+K87+K93+K99+K101+K79</f>
        <v>44052420</v>
      </c>
      <c r="L107" s="461">
        <f>L7+L10+L12+L14+L20+L22+L28+L35+L43+L47+L54+L57+L59+L65+L67+L71+L82+L87+L93+L99+L101+L79</f>
        <v>32359275</v>
      </c>
      <c r="M107" s="453">
        <f>M7+M10+M12+M14+M20+M22+M28+M35+M43+M47+M54+M57+M59+M65+M67+M71+M82+M87+M93+M99+M101+M79</f>
        <v>9992704</v>
      </c>
      <c r="N107" s="462">
        <f>N7+N10+N12+N14+N20+N22+N28+N35+N43+N47+N54+N57+N59+N65+N67+N71+N82+N87+N93+N99+N101+N79+N45</f>
        <v>6043143</v>
      </c>
      <c r="O107" s="463">
        <f>O7+O10+O12+O14+O20+O22+O28+O35+O43+O47+O54+O57+O59+O65+O67+O71+O82+O87+O93+O99+O101+O79+O45</f>
        <v>2959905</v>
      </c>
    </row>
    <row r="108" spans="1:15" s="2371" customFormat="1" ht="13.5">
      <c r="A108" s="2359"/>
      <c r="B108" s="2360" t="s">
        <v>516</v>
      </c>
      <c r="C108" s="2361">
        <f>C8+C11+C13+C15+C21+C23+C29+C36+C44+C48+C55+C58+C60+C66+C68+C72+C83+C88+C94+C102+C100</f>
        <v>200426471</v>
      </c>
      <c r="D108" s="2362">
        <f>H108+L108+N108+J108</f>
        <v>247943628</v>
      </c>
      <c r="E108" s="2362">
        <f>I108+M108+O108+K108</f>
        <v>117975578</v>
      </c>
      <c r="F108" s="2363">
        <f t="shared" si="19"/>
        <v>58.862273736287065</v>
      </c>
      <c r="G108" s="2364">
        <f t="shared" si="18"/>
        <v>47.58161318830101</v>
      </c>
      <c r="H108" s="2365">
        <f>H8+H11+H13+H15+H21+H23+H29+H36+H44+H48+H55+H58+H60+H66+H68+H72+H83+H88+H94+H102+H53+H80</f>
        <v>138032358</v>
      </c>
      <c r="I108" s="2366">
        <f>I8+I11+I13+I15+I21+I23+I29+I36+I44+I48+I55+I58+I60+I66+I68+I72+I83+I88+I94+I102+I53+I80</f>
        <v>67703362</v>
      </c>
      <c r="J108" s="2367">
        <f>J8+J11+J13+J15+J21+J23+J29+J36+J44+J48+J55+J58+J60+J66+J68+J72+J83+J88+J94+J102+J80</f>
        <v>71538852</v>
      </c>
      <c r="K108" s="2361">
        <f>K8+K11+K13+K15+K21+K23+K29+K36+K44+K48+K55+K58+K60+K66+K68+K72+K83+K88+K94+K102+K80</f>
        <v>37320497</v>
      </c>
      <c r="L108" s="2365">
        <f>L8+L11+L13+L15+L21+L23+L29+L36+L44+L48+L55+L58+L60+L66+L68+L72+L83+L88+L94+L102</f>
        <v>32359275</v>
      </c>
      <c r="M108" s="2368">
        <f>M8+M11+M13+M15+M21+M23+M29+M36+M44+M48+M55+M58+M60+M66+M68+M72+M83+M88+M94+M100+M102</f>
        <v>9992704</v>
      </c>
      <c r="N108" s="2369">
        <f>N8+N11+N13+N15+N21+N23+N29+N36+N44+N48+N55+N58+N60+N66+N68+N72+N83+N88+N94+N100+N102+N80+N46</f>
        <v>6013143</v>
      </c>
      <c r="O108" s="2370">
        <f>O8+O11+O13+O15+O21+O23+O29+O36+O44+O48+O55+O58+O60+O66+O68+O72+O83+O88+O94+O100+O102+O80+O46</f>
        <v>2959015</v>
      </c>
    </row>
    <row r="109" spans="1:15" s="471" customFormat="1" ht="12.75">
      <c r="A109" s="464"/>
      <c r="B109" s="2340" t="s">
        <v>466</v>
      </c>
      <c r="C109" s="465"/>
      <c r="D109" s="466"/>
      <c r="E109" s="466"/>
      <c r="F109" s="467"/>
      <c r="G109" s="149"/>
      <c r="H109" s="468"/>
      <c r="I109" s="469"/>
      <c r="J109" s="470"/>
      <c r="K109" s="465"/>
      <c r="L109" s="468"/>
      <c r="M109" s="414"/>
      <c r="N109" s="410"/>
      <c r="O109" s="398"/>
    </row>
    <row r="110" spans="1:15" s="482" customFormat="1" ht="36">
      <c r="A110" s="472"/>
      <c r="B110" s="386" t="s">
        <v>519</v>
      </c>
      <c r="C110" s="473">
        <f>C30+C38+C95+C74</f>
        <v>100103</v>
      </c>
      <c r="D110" s="474">
        <f>H110+L110+N110+J110</f>
        <v>8500</v>
      </c>
      <c r="E110" s="474">
        <f t="shared" si="14"/>
        <v>6406</v>
      </c>
      <c r="F110" s="475">
        <f t="shared" si="19"/>
        <v>6.3994086091325935</v>
      </c>
      <c r="G110" s="149">
        <f t="shared" si="18"/>
        <v>75.36470588235295</v>
      </c>
      <c r="H110" s="476"/>
      <c r="I110" s="477"/>
      <c r="J110" s="478">
        <f>J30+J38+J61+J74+J95</f>
        <v>8500</v>
      </c>
      <c r="K110" s="473">
        <f>K30+K38+K61+K74+K95</f>
        <v>6406</v>
      </c>
      <c r="L110" s="479"/>
      <c r="M110" s="473"/>
      <c r="N110" s="480"/>
      <c r="O110" s="481"/>
    </row>
    <row r="111" spans="1:15" s="482" customFormat="1" ht="36">
      <c r="A111" s="472"/>
      <c r="B111" s="386" t="s">
        <v>520</v>
      </c>
      <c r="C111" s="473"/>
      <c r="D111" s="474">
        <f>H111+L111+N111+J111</f>
        <v>1849032</v>
      </c>
      <c r="E111" s="474">
        <f t="shared" si="14"/>
        <v>868848</v>
      </c>
      <c r="F111" s="475"/>
      <c r="G111" s="149">
        <f t="shared" si="18"/>
        <v>46.98934361330686</v>
      </c>
      <c r="H111" s="476"/>
      <c r="I111" s="477"/>
      <c r="J111" s="2372">
        <f>J39+J75</f>
        <v>1849032</v>
      </c>
      <c r="K111" s="2373">
        <f>K39+K75</f>
        <v>868848</v>
      </c>
      <c r="L111" s="479"/>
      <c r="M111" s="473"/>
      <c r="N111" s="2372"/>
      <c r="O111" s="481"/>
    </row>
    <row r="112" spans="1:15" s="2380" customFormat="1" ht="13.5">
      <c r="A112" s="2359"/>
      <c r="B112" s="2360" t="s">
        <v>517</v>
      </c>
      <c r="C112" s="2368"/>
      <c r="D112" s="2362">
        <f>H112+L112+N112+J112</f>
        <v>75522472</v>
      </c>
      <c r="E112" s="2374">
        <f>I112+M112+O112+K112</f>
        <v>14131135</v>
      </c>
      <c r="F112" s="2375" t="e">
        <f>E112/C112*100</f>
        <v>#DIV/0!</v>
      </c>
      <c r="G112" s="2364">
        <f>E112/D112*100</f>
        <v>18.711165863320787</v>
      </c>
      <c r="H112" s="2376">
        <f>H16+H24+H31+H40+H49+H62+H69+H76+H84+H89+H96+H103</f>
        <v>49497564</v>
      </c>
      <c r="I112" s="2376">
        <f>I16+I24+I31+I40+I49+I62+I69+I76+I84+I89+I96+I103</f>
        <v>7398322</v>
      </c>
      <c r="J112" s="2377">
        <f>J16+J49+J62+J76+J84+J96</f>
        <v>25994908</v>
      </c>
      <c r="K112" s="2378">
        <f>K16+K49+K62+K76+K84+K96</f>
        <v>6731923</v>
      </c>
      <c r="L112" s="2365"/>
      <c r="M112" s="2368"/>
      <c r="N112" s="2366">
        <f>N49</f>
        <v>30000</v>
      </c>
      <c r="O112" s="2379">
        <f>O49</f>
        <v>890</v>
      </c>
    </row>
    <row r="113" spans="1:15" s="489" customFormat="1" ht="12.75">
      <c r="A113" s="464"/>
      <c r="B113" s="483" t="s">
        <v>183</v>
      </c>
      <c r="C113" s="414">
        <f>C9+C17+C25+C32+C41+C50+C77+C97+C104</f>
        <v>1356406</v>
      </c>
      <c r="D113" s="466">
        <f t="shared" si="14"/>
        <v>2329400</v>
      </c>
      <c r="E113" s="411">
        <f>I113+M113+O113+K113</f>
        <v>337693</v>
      </c>
      <c r="F113" s="443">
        <f t="shared" si="19"/>
        <v>24.896159409498335</v>
      </c>
      <c r="G113" s="149">
        <f t="shared" si="18"/>
        <v>14.49699493431785</v>
      </c>
      <c r="H113" s="484">
        <f>H9+H17+H25+H41+H50+H77+H85+H97+H63+H81+H90</f>
        <v>1693200</v>
      </c>
      <c r="I113" s="485">
        <f>I9+I17+I25+I41+I50+I77+I85+I97+I63+I81+I90</f>
        <v>171803</v>
      </c>
      <c r="J113" s="486">
        <f>J9+J17+J25+J41+J50+J77+J97+J85+J63+J81+J90</f>
        <v>606200</v>
      </c>
      <c r="K113" s="487">
        <f>K9+K17+K25+K41+K50+K77+K97+K85+K63+K81+K90</f>
        <v>165000</v>
      </c>
      <c r="L113" s="484"/>
      <c r="M113" s="414"/>
      <c r="N113" s="468">
        <f>N9+N17+N25+N41+N50+N77+N85+N97+N63+N81+N90</f>
        <v>30000</v>
      </c>
      <c r="O113" s="488">
        <f>O9+O17+O25+O41+O50+O77+O85+O97+O63+O81+O90</f>
        <v>890</v>
      </c>
    </row>
    <row r="114" spans="1:15" s="489" customFormat="1" ht="12.75">
      <c r="A114" s="464"/>
      <c r="B114" s="483" t="s">
        <v>182</v>
      </c>
      <c r="C114" s="414">
        <f>C18+C26+C42+C51+C64+C70+C86+C91+C98+C105+C78</f>
        <v>14590566</v>
      </c>
      <c r="D114" s="466">
        <f>H114+L114+N114+J114</f>
        <v>63599072</v>
      </c>
      <c r="E114" s="411">
        <f>I114+M114+O114+K114</f>
        <v>13769442</v>
      </c>
      <c r="F114" s="443">
        <f t="shared" si="19"/>
        <v>94.3722265469345</v>
      </c>
      <c r="G114" s="149">
        <f t="shared" si="18"/>
        <v>21.65038194267992</v>
      </c>
      <c r="H114" s="484">
        <f>H18+H26+H42+H51+H64+H70+H86+H91+H98+H105+H78++H33</f>
        <v>38210364</v>
      </c>
      <c r="I114" s="485">
        <f>I18+I26+I42+I51+I64+I70+I86+I91+I98+I105+I78+I33</f>
        <v>7202519</v>
      </c>
      <c r="J114" s="470">
        <f>J18+J26+J42+J51+J64+J70+J86+J91+J98+J105+J78</f>
        <v>25388708</v>
      </c>
      <c r="K114" s="465">
        <f>K18+K26+K42+K51+K64+K70+K86+K91+K98+K105+K78</f>
        <v>6566923</v>
      </c>
      <c r="L114" s="470"/>
      <c r="M114" s="465"/>
      <c r="N114" s="470"/>
      <c r="O114" s="398"/>
    </row>
    <row r="115" spans="1:15" s="501" customFormat="1" ht="13.5" thickBot="1">
      <c r="A115" s="490"/>
      <c r="B115" s="491" t="s">
        <v>189</v>
      </c>
      <c r="C115" s="492">
        <f>C27+C92+C34</f>
        <v>960000</v>
      </c>
      <c r="D115" s="493">
        <f>H115+L115+N115+J115</f>
        <v>9594000</v>
      </c>
      <c r="E115" s="494">
        <f>I115+M115+O115+K115</f>
        <v>24000</v>
      </c>
      <c r="F115" s="495">
        <f t="shared" si="19"/>
        <v>2.5</v>
      </c>
      <c r="G115" s="496">
        <f t="shared" si="18"/>
        <v>0.2501563477173233</v>
      </c>
      <c r="H115" s="497">
        <f>H27+H92+H34+H104+H19</f>
        <v>9594000</v>
      </c>
      <c r="I115" s="498">
        <f>I27+I92+I34+I104+I19</f>
        <v>24000</v>
      </c>
      <c r="J115" s="499"/>
      <c r="K115" s="492"/>
      <c r="L115" s="497"/>
      <c r="M115" s="492"/>
      <c r="N115" s="497"/>
      <c r="O115" s="500"/>
    </row>
    <row r="116" ht="16.5" thickTop="1"/>
  </sheetData>
  <printOptions horizontalCentered="1"/>
  <pageMargins left="0" right="0" top="0.7874015748031497" bottom="0.5905511811023623" header="0.5118110236220472" footer="0.5118110236220472"/>
  <pageSetup firstPageNumber="27" useFirstPageNumber="1" horizontalDpi="600" verticalDpi="600" orientation="landscape" paperSize="9" scale="90" r:id="rId1"/>
  <headerFooter alignWithMargins="0">
    <oddHeader>&amp;C &amp;"Times New Roman CE,Normalny"&amp;P</oddHeader>
  </headerFooter>
</worksheet>
</file>

<file path=xl/worksheets/sheet8.xml><?xml version="1.0" encoding="utf-8"?>
<worksheet xmlns="http://schemas.openxmlformats.org/spreadsheetml/2006/main" xmlns:r="http://schemas.openxmlformats.org/officeDocument/2006/relationships">
  <dimension ref="A1:H44"/>
  <sheetViews>
    <sheetView workbookViewId="0" topLeftCell="A1">
      <selection activeCell="B8" sqref="B8"/>
    </sheetView>
  </sheetViews>
  <sheetFormatPr defaultColWidth="9.00390625" defaultRowHeight="12.75"/>
  <cols>
    <col min="1" max="1" width="5.875" style="628" customWidth="1"/>
    <col min="2" max="2" width="30.625" style="629" customWidth="1"/>
    <col min="3" max="4" width="11.625" style="630" customWidth="1"/>
    <col min="5" max="5" width="7.625" style="630" customWidth="1"/>
    <col min="6" max="7" width="11.125" style="630" customWidth="1"/>
    <col min="8" max="8" width="6.875" style="695" customWidth="1"/>
    <col min="9" max="16384" width="9.125" style="630" customWidth="1"/>
  </cols>
  <sheetData>
    <row r="1" ht="15.75">
      <c r="H1" s="631"/>
    </row>
    <row r="2" spans="1:8" ht="67.5" customHeight="1">
      <c r="A2" s="632" t="s">
        <v>521</v>
      </c>
      <c r="B2" s="633"/>
      <c r="C2" s="633"/>
      <c r="D2" s="633"/>
      <c r="E2" s="633"/>
      <c r="F2" s="633"/>
      <c r="G2" s="633"/>
      <c r="H2" s="633"/>
    </row>
    <row r="3" spans="1:8" ht="22.5" customHeight="1">
      <c r="A3" s="632"/>
      <c r="B3" s="633"/>
      <c r="C3" s="633"/>
      <c r="D3" s="633"/>
      <c r="E3" s="633"/>
      <c r="F3" s="633"/>
      <c r="G3" s="2991" t="s">
        <v>227</v>
      </c>
      <c r="H3" s="2992"/>
    </row>
    <row r="4" spans="7:8" ht="18" customHeight="1" thickBot="1">
      <c r="G4" s="2993" t="s">
        <v>522</v>
      </c>
      <c r="H4" s="2994"/>
    </row>
    <row r="5" spans="1:8" ht="21" customHeight="1" thickTop="1">
      <c r="A5" s="634"/>
      <c r="B5" s="635"/>
      <c r="C5" s="636" t="s">
        <v>228</v>
      </c>
      <c r="D5" s="636"/>
      <c r="E5" s="637"/>
      <c r="F5" s="638" t="s">
        <v>229</v>
      </c>
      <c r="G5" s="639"/>
      <c r="H5" s="640"/>
    </row>
    <row r="6" spans="1:8" ht="43.5">
      <c r="A6" s="641" t="s">
        <v>230</v>
      </c>
      <c r="B6" s="642" t="s">
        <v>106</v>
      </c>
      <c r="C6" s="643" t="s">
        <v>170</v>
      </c>
      <c r="D6" s="643" t="s">
        <v>231</v>
      </c>
      <c r="E6" s="644" t="s">
        <v>523</v>
      </c>
      <c r="F6" s="643" t="s">
        <v>170</v>
      </c>
      <c r="G6" s="643" t="s">
        <v>231</v>
      </c>
      <c r="H6" s="644" t="s">
        <v>232</v>
      </c>
    </row>
    <row r="7" spans="1:8" s="650" customFormat="1" ht="12" thickBot="1">
      <c r="A7" s="645">
        <v>1</v>
      </c>
      <c r="B7" s="646">
        <v>2</v>
      </c>
      <c r="C7" s="647">
        <v>3</v>
      </c>
      <c r="D7" s="647">
        <v>4</v>
      </c>
      <c r="E7" s="648">
        <v>5</v>
      </c>
      <c r="F7" s="649">
        <v>6</v>
      </c>
      <c r="G7" s="647">
        <v>7</v>
      </c>
      <c r="H7" s="648">
        <v>8</v>
      </c>
    </row>
    <row r="8" spans="1:8" s="655" customFormat="1" ht="21.75" customHeight="1" thickBot="1" thickTop="1">
      <c r="A8" s="651" t="s">
        <v>129</v>
      </c>
      <c r="B8" s="652" t="s">
        <v>130</v>
      </c>
      <c r="C8" s="653">
        <f>SUM(C9)</f>
        <v>727000</v>
      </c>
      <c r="D8" s="653">
        <f>SUM(D9)</f>
        <v>394001</v>
      </c>
      <c r="E8" s="654">
        <f aca="true" t="shared" si="0" ref="E8:E31">D8/C8*100</f>
        <v>54.19546079779918</v>
      </c>
      <c r="F8" s="653">
        <f>SUM(F9)</f>
        <v>727000</v>
      </c>
      <c r="G8" s="653">
        <f>SUM(G9)</f>
        <v>387000</v>
      </c>
      <c r="H8" s="654">
        <f aca="true" t="shared" si="1" ref="H8:H31">G8/F8*100</f>
        <v>53.232462173315</v>
      </c>
    </row>
    <row r="9" spans="1:8" s="660" customFormat="1" ht="21.75" customHeight="1" thickTop="1">
      <c r="A9" s="656" t="s">
        <v>233</v>
      </c>
      <c r="B9" s="657" t="s">
        <v>234</v>
      </c>
      <c r="C9" s="658">
        <f>SUM(C10:C10)</f>
        <v>727000</v>
      </c>
      <c r="D9" s="658">
        <f>SUM(D10:D10)</f>
        <v>394001</v>
      </c>
      <c r="E9" s="659">
        <f t="shared" si="0"/>
        <v>54.19546079779918</v>
      </c>
      <c r="F9" s="658">
        <f>SUM(F10:F10)</f>
        <v>727000</v>
      </c>
      <c r="G9" s="658">
        <f>SUM(G10:G10)</f>
        <v>387000</v>
      </c>
      <c r="H9" s="659">
        <f t="shared" si="1"/>
        <v>53.232462173315</v>
      </c>
    </row>
    <row r="10" spans="1:8" s="665" customFormat="1" ht="58.5" customHeight="1" thickBot="1">
      <c r="A10" s="661"/>
      <c r="B10" s="662" t="s">
        <v>235</v>
      </c>
      <c r="C10" s="663">
        <v>727000</v>
      </c>
      <c r="D10" s="663">
        <v>394001</v>
      </c>
      <c r="E10" s="664">
        <f t="shared" si="0"/>
        <v>54.19546079779918</v>
      </c>
      <c r="F10" s="663">
        <v>727000</v>
      </c>
      <c r="G10" s="663">
        <v>387000</v>
      </c>
      <c r="H10" s="664">
        <f t="shared" si="1"/>
        <v>53.232462173315</v>
      </c>
    </row>
    <row r="11" spans="1:8" s="655" customFormat="1" ht="69.75" customHeight="1" thickBot="1" thickTop="1">
      <c r="A11" s="651" t="s">
        <v>131</v>
      </c>
      <c r="B11" s="652" t="s">
        <v>132</v>
      </c>
      <c r="C11" s="653">
        <f>C12</f>
        <v>17750</v>
      </c>
      <c r="D11" s="653">
        <f>D12</f>
        <v>8916</v>
      </c>
      <c r="E11" s="654">
        <f t="shared" si="0"/>
        <v>50.23098591549295</v>
      </c>
      <c r="F11" s="653">
        <f>F12</f>
        <v>17750</v>
      </c>
      <c r="G11" s="653">
        <f>G12</f>
        <v>3954</v>
      </c>
      <c r="H11" s="654">
        <f t="shared" si="1"/>
        <v>22.27605633802817</v>
      </c>
    </row>
    <row r="12" spans="1:8" s="660" customFormat="1" ht="29.25" customHeight="1" thickTop="1">
      <c r="A12" s="656" t="s">
        <v>236</v>
      </c>
      <c r="B12" s="657" t="s">
        <v>828</v>
      </c>
      <c r="C12" s="658">
        <f>SUM(C13)</f>
        <v>17750</v>
      </c>
      <c r="D12" s="658">
        <f>SUM(D13)</f>
        <v>8916</v>
      </c>
      <c r="E12" s="659">
        <f t="shared" si="0"/>
        <v>50.23098591549295</v>
      </c>
      <c r="F12" s="658">
        <f>SUM(F13)</f>
        <v>17750</v>
      </c>
      <c r="G12" s="658">
        <f>SUM(G13)</f>
        <v>3954</v>
      </c>
      <c r="H12" s="659">
        <f t="shared" si="1"/>
        <v>22.27605633802817</v>
      </c>
    </row>
    <row r="13" spans="1:8" s="666" customFormat="1" ht="45" customHeight="1" thickBot="1">
      <c r="A13" s="661"/>
      <c r="B13" s="662" t="s">
        <v>237</v>
      </c>
      <c r="C13" s="663">
        <v>17750</v>
      </c>
      <c r="D13" s="663">
        <v>8916</v>
      </c>
      <c r="E13" s="664">
        <f t="shared" si="0"/>
        <v>50.23098591549295</v>
      </c>
      <c r="F13" s="663">
        <v>17750</v>
      </c>
      <c r="G13" s="663">
        <v>3954</v>
      </c>
      <c r="H13" s="664">
        <f t="shared" si="1"/>
        <v>22.27605633802817</v>
      </c>
    </row>
    <row r="14" spans="1:8" s="655" customFormat="1" ht="33" customHeight="1" thickBot="1" thickTop="1">
      <c r="A14" s="651" t="s">
        <v>135</v>
      </c>
      <c r="B14" s="652" t="s">
        <v>136</v>
      </c>
      <c r="C14" s="653">
        <f>SUM(C15:C15)</f>
        <v>5000</v>
      </c>
      <c r="D14" s="653">
        <f aca="true" t="shared" si="2" ref="D14:F15">SUM(D15:D15)</f>
        <v>5000</v>
      </c>
      <c r="E14" s="654">
        <f t="shared" si="0"/>
        <v>100</v>
      </c>
      <c r="F14" s="653">
        <f t="shared" si="2"/>
        <v>5000</v>
      </c>
      <c r="G14" s="653"/>
      <c r="H14" s="654"/>
    </row>
    <row r="15" spans="1:8" s="655" customFormat="1" ht="17.25" customHeight="1" thickTop="1">
      <c r="A15" s="656" t="s">
        <v>238</v>
      </c>
      <c r="B15" s="657" t="s">
        <v>239</v>
      </c>
      <c r="C15" s="658">
        <f>SUM(C16:C16)</f>
        <v>5000</v>
      </c>
      <c r="D15" s="658">
        <f t="shared" si="2"/>
        <v>5000</v>
      </c>
      <c r="E15" s="659">
        <f t="shared" si="0"/>
        <v>100</v>
      </c>
      <c r="F15" s="658">
        <f t="shared" si="2"/>
        <v>5000</v>
      </c>
      <c r="G15" s="658"/>
      <c r="H15" s="659"/>
    </row>
    <row r="16" spans="1:8" s="666" customFormat="1" ht="42" customHeight="1" thickBot="1">
      <c r="A16" s="667"/>
      <c r="B16" s="668" t="s">
        <v>524</v>
      </c>
      <c r="C16" s="669">
        <v>5000</v>
      </c>
      <c r="D16" s="669">
        <v>5000</v>
      </c>
      <c r="E16" s="670">
        <f t="shared" si="0"/>
        <v>100</v>
      </c>
      <c r="F16" s="669">
        <v>5000</v>
      </c>
      <c r="G16" s="669"/>
      <c r="H16" s="670"/>
    </row>
    <row r="17" spans="1:8" s="655" customFormat="1" ht="18.75" customHeight="1" thickBot="1" thickTop="1">
      <c r="A17" s="651" t="s">
        <v>149</v>
      </c>
      <c r="B17" s="652" t="s">
        <v>150</v>
      </c>
      <c r="C17" s="653">
        <f>C18+C24+C22+C20+C26</f>
        <v>31605525</v>
      </c>
      <c r="D17" s="653">
        <f>D18+D24+D22+D20+D26</f>
        <v>15117359</v>
      </c>
      <c r="E17" s="654">
        <f t="shared" si="0"/>
        <v>47.83138074751171</v>
      </c>
      <c r="F17" s="653">
        <f>F18+F24+F22+F20+F26</f>
        <v>31605525</v>
      </c>
      <c r="G17" s="653">
        <f>G18+G24+G22+G20+G26</f>
        <v>9601750</v>
      </c>
      <c r="H17" s="654">
        <f t="shared" si="1"/>
        <v>30.37997312178804</v>
      </c>
    </row>
    <row r="18" spans="1:8" s="671" customFormat="1" ht="20.25" customHeight="1" thickTop="1">
      <c r="A18" s="656" t="s">
        <v>240</v>
      </c>
      <c r="B18" s="657" t="s">
        <v>241</v>
      </c>
      <c r="C18" s="658">
        <f>C19</f>
        <v>454000</v>
      </c>
      <c r="D18" s="658">
        <f>SUM(D19:D19)</f>
        <v>247953</v>
      </c>
      <c r="E18" s="659">
        <f t="shared" si="0"/>
        <v>54.615198237885465</v>
      </c>
      <c r="F18" s="658">
        <f>F19</f>
        <v>454000</v>
      </c>
      <c r="G18" s="658">
        <f>G19</f>
        <v>221236</v>
      </c>
      <c r="H18" s="659">
        <f t="shared" si="1"/>
        <v>48.730396475770924</v>
      </c>
    </row>
    <row r="19" spans="1:8" s="665" customFormat="1" ht="51">
      <c r="A19" s="661"/>
      <c r="B19" s="662" t="s">
        <v>242</v>
      </c>
      <c r="C19" s="663">
        <v>454000</v>
      </c>
      <c r="D19" s="663">
        <v>247953</v>
      </c>
      <c r="E19" s="664">
        <f t="shared" si="0"/>
        <v>54.615198237885465</v>
      </c>
      <c r="F19" s="663">
        <v>454000</v>
      </c>
      <c r="G19" s="663">
        <v>221236</v>
      </c>
      <c r="H19" s="664">
        <f t="shared" si="1"/>
        <v>48.730396475770924</v>
      </c>
    </row>
    <row r="20" spans="1:8" s="676" customFormat="1" ht="50.25" customHeight="1">
      <c r="A20" s="672" t="s">
        <v>243</v>
      </c>
      <c r="B20" s="673" t="s">
        <v>525</v>
      </c>
      <c r="C20" s="674">
        <f>C21</f>
        <v>29454000</v>
      </c>
      <c r="D20" s="674">
        <f>D21</f>
        <v>13926486</v>
      </c>
      <c r="E20" s="675">
        <f t="shared" si="0"/>
        <v>47.28215522509676</v>
      </c>
      <c r="F20" s="674">
        <f>F21</f>
        <v>29454000</v>
      </c>
      <c r="G20" s="674">
        <f>G21</f>
        <v>8515978</v>
      </c>
      <c r="H20" s="675">
        <f t="shared" si="1"/>
        <v>28.912806409995245</v>
      </c>
    </row>
    <row r="21" spans="1:8" s="665" customFormat="1" ht="53.25" customHeight="1">
      <c r="A21" s="677"/>
      <c r="B21" s="678" t="s">
        <v>526</v>
      </c>
      <c r="C21" s="679">
        <v>29454000</v>
      </c>
      <c r="D21" s="679">
        <v>13926486</v>
      </c>
      <c r="E21" s="680">
        <f t="shared" si="0"/>
        <v>47.28215522509676</v>
      </c>
      <c r="F21" s="679">
        <v>29454000</v>
      </c>
      <c r="G21" s="679">
        <v>8515978</v>
      </c>
      <c r="H21" s="680">
        <f t="shared" si="1"/>
        <v>28.912806409995245</v>
      </c>
    </row>
    <row r="22" spans="1:8" s="671" customFormat="1" ht="63.75" customHeight="1">
      <c r="A22" s="681">
        <v>85213</v>
      </c>
      <c r="B22" s="682" t="s">
        <v>527</v>
      </c>
      <c r="C22" s="674">
        <f>C23</f>
        <v>194000</v>
      </c>
      <c r="D22" s="674">
        <f>SUM(D23)</f>
        <v>96996</v>
      </c>
      <c r="E22" s="675">
        <f>D22/C22*100</f>
        <v>49.99793814432989</v>
      </c>
      <c r="F22" s="674">
        <f>F23</f>
        <v>194000</v>
      </c>
      <c r="G22" s="674">
        <f>G23</f>
        <v>90661</v>
      </c>
      <c r="H22" s="675">
        <f>G22/F22*100</f>
        <v>46.73247422680412</v>
      </c>
    </row>
    <row r="23" spans="1:8" s="665" customFormat="1" ht="76.5">
      <c r="A23" s="681"/>
      <c r="B23" s="683" t="s">
        <v>244</v>
      </c>
      <c r="C23" s="663">
        <v>194000</v>
      </c>
      <c r="D23" s="663">
        <v>96996</v>
      </c>
      <c r="E23" s="664">
        <f t="shared" si="0"/>
        <v>49.99793814432989</v>
      </c>
      <c r="F23" s="663">
        <v>194000</v>
      </c>
      <c r="G23" s="663">
        <v>90661</v>
      </c>
      <c r="H23" s="664">
        <f t="shared" si="1"/>
        <v>46.73247422680412</v>
      </c>
    </row>
    <row r="24" spans="1:8" s="671" customFormat="1" ht="40.5" customHeight="1">
      <c r="A24" s="672" t="s">
        <v>245</v>
      </c>
      <c r="B24" s="673" t="s">
        <v>528</v>
      </c>
      <c r="C24" s="674">
        <f>SUM(C25:C25)</f>
        <v>1383525</v>
      </c>
      <c r="D24" s="674">
        <f>SUM(D25:D25)</f>
        <v>785924</v>
      </c>
      <c r="E24" s="675">
        <f t="shared" si="0"/>
        <v>56.80591243381941</v>
      </c>
      <c r="F24" s="674">
        <f>SUM(F25:F25)</f>
        <v>1383525</v>
      </c>
      <c r="G24" s="674">
        <f>SUM(G25:G25)</f>
        <v>773875</v>
      </c>
      <c r="H24" s="675">
        <f t="shared" si="1"/>
        <v>55.93502105130012</v>
      </c>
    </row>
    <row r="25" spans="1:8" s="665" customFormat="1" ht="42" customHeight="1">
      <c r="A25" s="661"/>
      <c r="B25" s="662" t="s">
        <v>246</v>
      </c>
      <c r="C25" s="663">
        <v>1383525</v>
      </c>
      <c r="D25" s="663">
        <v>785924</v>
      </c>
      <c r="E25" s="664">
        <f t="shared" si="0"/>
        <v>56.80591243381941</v>
      </c>
      <c r="F25" s="663">
        <v>1383525</v>
      </c>
      <c r="G25" s="663">
        <v>773875</v>
      </c>
      <c r="H25" s="664">
        <f>G25/F25*100</f>
        <v>55.93502105130012</v>
      </c>
    </row>
    <row r="26" spans="1:8" s="676" customFormat="1" ht="30.75" customHeight="1">
      <c r="A26" s="672" t="s">
        <v>529</v>
      </c>
      <c r="B26" s="673" t="s">
        <v>34</v>
      </c>
      <c r="C26" s="674">
        <f>C27</f>
        <v>120000</v>
      </c>
      <c r="D26" s="674">
        <f>D27</f>
        <v>60000</v>
      </c>
      <c r="E26" s="675">
        <f t="shared" si="0"/>
        <v>50</v>
      </c>
      <c r="F26" s="674">
        <f>F27</f>
        <v>120000</v>
      </c>
      <c r="G26" s="674"/>
      <c r="H26" s="675"/>
    </row>
    <row r="27" spans="1:8" s="665" customFormat="1" ht="54.75" customHeight="1" thickBot="1">
      <c r="A27" s="661"/>
      <c r="B27" s="662" t="s">
        <v>530</v>
      </c>
      <c r="C27" s="663">
        <v>120000</v>
      </c>
      <c r="D27" s="663">
        <v>60000</v>
      </c>
      <c r="E27" s="664">
        <f t="shared" si="0"/>
        <v>50</v>
      </c>
      <c r="F27" s="663">
        <v>120000</v>
      </c>
      <c r="G27" s="663"/>
      <c r="H27" s="664"/>
    </row>
    <row r="28" spans="1:8" s="676" customFormat="1" ht="33.75" customHeight="1" thickBot="1" thickTop="1">
      <c r="A28" s="651" t="s">
        <v>157</v>
      </c>
      <c r="B28" s="2381" t="s">
        <v>158</v>
      </c>
      <c r="C28" s="653">
        <f>C29</f>
        <v>4000</v>
      </c>
      <c r="D28" s="653">
        <f>D29</f>
        <v>4000</v>
      </c>
      <c r="E28" s="654">
        <f t="shared" si="0"/>
        <v>100</v>
      </c>
      <c r="F28" s="653">
        <f>F29</f>
        <v>4000</v>
      </c>
      <c r="G28" s="653"/>
      <c r="H28" s="654"/>
    </row>
    <row r="29" spans="1:8" s="676" customFormat="1" ht="27.75" customHeight="1" thickTop="1">
      <c r="A29" s="672" t="s">
        <v>247</v>
      </c>
      <c r="B29" s="2382" t="s">
        <v>248</v>
      </c>
      <c r="C29" s="674">
        <f>C30</f>
        <v>4000</v>
      </c>
      <c r="D29" s="674">
        <f>D30</f>
        <v>4000</v>
      </c>
      <c r="E29" s="675">
        <f t="shared" si="0"/>
        <v>100</v>
      </c>
      <c r="F29" s="674">
        <f>F30</f>
        <v>4000</v>
      </c>
      <c r="G29" s="674"/>
      <c r="H29" s="675"/>
    </row>
    <row r="30" spans="1:8" s="665" customFormat="1" ht="54" customHeight="1" thickBot="1">
      <c r="A30" s="667"/>
      <c r="B30" s="2383" t="s">
        <v>531</v>
      </c>
      <c r="C30" s="663">
        <v>4000</v>
      </c>
      <c r="D30" s="663">
        <v>4000</v>
      </c>
      <c r="E30" s="664">
        <f t="shared" si="0"/>
        <v>100</v>
      </c>
      <c r="F30" s="663">
        <v>4000</v>
      </c>
      <c r="G30" s="663"/>
      <c r="H30" s="664"/>
    </row>
    <row r="31" spans="1:8" s="688" customFormat="1" ht="24.75" customHeight="1" thickBot="1" thickTop="1">
      <c r="A31" s="684"/>
      <c r="B31" s="685" t="s">
        <v>102</v>
      </c>
      <c r="C31" s="686">
        <f>C8+C11+C14+C17+C28</f>
        <v>32359275</v>
      </c>
      <c r="D31" s="686">
        <f>D8+D11+D14+D17+D28</f>
        <v>15529276</v>
      </c>
      <c r="E31" s="687">
        <f t="shared" si="0"/>
        <v>47.99018519419857</v>
      </c>
      <c r="F31" s="686">
        <f>F8+F11+F14+F17+F28</f>
        <v>32359275</v>
      </c>
      <c r="G31" s="686">
        <f>G8+G11+G14+G17+G28</f>
        <v>9992704</v>
      </c>
      <c r="H31" s="687">
        <f t="shared" si="1"/>
        <v>30.880494077818494</v>
      </c>
    </row>
    <row r="32" spans="1:8" s="660" customFormat="1" ht="16.5" thickTop="1">
      <c r="A32" s="689"/>
      <c r="B32" s="690"/>
      <c r="C32" s="691"/>
      <c r="D32" s="691"/>
      <c r="E32" s="691"/>
      <c r="F32" s="691"/>
      <c r="G32" s="691"/>
      <c r="H32" s="692"/>
    </row>
    <row r="33" spans="1:8" s="660" customFormat="1" ht="15.75">
      <c r="A33" s="693"/>
      <c r="B33" s="690"/>
      <c r="C33" s="691"/>
      <c r="D33" s="691"/>
      <c r="E33" s="691"/>
      <c r="F33" s="691"/>
      <c r="G33" s="691"/>
      <c r="H33" s="692"/>
    </row>
    <row r="34" spans="1:8" s="660" customFormat="1" ht="15.75">
      <c r="A34" s="689"/>
      <c r="B34" s="690"/>
      <c r="C34" s="691"/>
      <c r="D34" s="691"/>
      <c r="E34" s="691"/>
      <c r="F34" s="691"/>
      <c r="G34" s="691"/>
      <c r="H34" s="692"/>
    </row>
    <row r="35" spans="1:8" s="660" customFormat="1" ht="15.75">
      <c r="A35" s="689"/>
      <c r="B35" s="690"/>
      <c r="C35" s="691"/>
      <c r="D35" s="691"/>
      <c r="E35" s="691"/>
      <c r="F35" s="691"/>
      <c r="G35" s="691"/>
      <c r="H35" s="692"/>
    </row>
    <row r="36" spans="1:8" s="660" customFormat="1" ht="15.75">
      <c r="A36" s="689"/>
      <c r="B36" s="690"/>
      <c r="C36" s="691"/>
      <c r="D36" s="691"/>
      <c r="E36" s="691"/>
      <c r="F36" s="691"/>
      <c r="G36" s="691"/>
      <c r="H36" s="692"/>
    </row>
    <row r="37" spans="1:8" s="660" customFormat="1" ht="15.75">
      <c r="A37" s="689"/>
      <c r="B37" s="690"/>
      <c r="C37" s="691"/>
      <c r="D37" s="691"/>
      <c r="E37" s="691"/>
      <c r="F37" s="691"/>
      <c r="G37" s="691"/>
      <c r="H37" s="692"/>
    </row>
    <row r="38" spans="1:8" s="660" customFormat="1" ht="15.75">
      <c r="A38" s="689"/>
      <c r="B38" s="690"/>
      <c r="H38" s="694"/>
    </row>
    <row r="39" spans="1:8" s="660" customFormat="1" ht="15.75">
      <c r="A39" s="689"/>
      <c r="B39" s="690"/>
      <c r="H39" s="694"/>
    </row>
    <row r="40" spans="1:8" s="660" customFormat="1" ht="15.75">
      <c r="A40" s="689"/>
      <c r="B40" s="690"/>
      <c r="H40" s="694"/>
    </row>
    <row r="41" spans="1:8" s="660" customFormat="1" ht="15.75">
      <c r="A41" s="689"/>
      <c r="B41" s="690"/>
      <c r="H41" s="694"/>
    </row>
    <row r="42" spans="1:8" s="660" customFormat="1" ht="15.75">
      <c r="A42" s="689"/>
      <c r="B42" s="690"/>
      <c r="H42" s="694"/>
    </row>
    <row r="43" spans="1:8" s="660" customFormat="1" ht="15.75">
      <c r="A43" s="689"/>
      <c r="B43" s="690"/>
      <c r="H43" s="694"/>
    </row>
    <row r="44" spans="1:8" s="660" customFormat="1" ht="15.75">
      <c r="A44" s="689"/>
      <c r="B44" s="690"/>
      <c r="H44" s="694"/>
    </row>
  </sheetData>
  <mergeCells count="2">
    <mergeCell ref="G3:H3"/>
    <mergeCell ref="G4:H4"/>
  </mergeCells>
  <printOptions horizontalCentered="1"/>
  <pageMargins left="0" right="0" top="0.984251968503937" bottom="0.984251968503937" header="0.5118110236220472" footer="0.5118110236220472"/>
  <pageSetup firstPageNumber="52" useFirstPageNumber="1" horizontalDpi="600" verticalDpi="600" orientation="portrait" paperSize="9" r:id="rId1"/>
  <headerFooter alignWithMargins="0">
    <oddHeader>&amp;C&amp;"Times New Roman,Normalny"&amp;P</oddHeader>
  </headerFooter>
</worksheet>
</file>

<file path=xl/worksheets/sheet9.xml><?xml version="1.0" encoding="utf-8"?>
<worksheet xmlns="http://schemas.openxmlformats.org/spreadsheetml/2006/main" xmlns:r="http://schemas.openxmlformats.org/officeDocument/2006/relationships">
  <dimension ref="A1:H44"/>
  <sheetViews>
    <sheetView workbookViewId="0" topLeftCell="A1">
      <selection activeCell="D8" sqref="D8"/>
    </sheetView>
  </sheetViews>
  <sheetFormatPr defaultColWidth="9.00390625" defaultRowHeight="12.75"/>
  <cols>
    <col min="1" max="1" width="6.125" style="628" customWidth="1"/>
    <col min="2" max="2" width="30.25390625" style="629" customWidth="1"/>
    <col min="3" max="3" width="11.375" style="630" customWidth="1"/>
    <col min="4" max="4" width="11.25390625" style="630" customWidth="1"/>
    <col min="5" max="5" width="7.75390625" style="630" customWidth="1"/>
    <col min="6" max="6" width="10.75390625" style="630" customWidth="1"/>
    <col min="7" max="7" width="11.25390625" style="630" customWidth="1"/>
    <col min="8" max="8" width="7.25390625" style="630" customWidth="1"/>
    <col min="9" max="16384" width="9.125" style="630" customWidth="1"/>
  </cols>
  <sheetData>
    <row r="1" spans="1:8" s="697" customFormat="1" ht="57" customHeight="1">
      <c r="A1" s="632" t="s">
        <v>532</v>
      </c>
      <c r="B1" s="632"/>
      <c r="C1" s="632"/>
      <c r="D1" s="632"/>
      <c r="E1" s="632"/>
      <c r="F1" s="632"/>
      <c r="G1" s="632"/>
      <c r="H1" s="632"/>
    </row>
    <row r="2" spans="1:8" s="697" customFormat="1" ht="18.75" customHeight="1">
      <c r="A2" s="632"/>
      <c r="B2" s="632"/>
      <c r="C2" s="632"/>
      <c r="D2" s="632"/>
      <c r="E2" s="632"/>
      <c r="F2" s="632"/>
      <c r="G2" s="2995" t="s">
        <v>249</v>
      </c>
      <c r="H2" s="2996"/>
    </row>
    <row r="3" spans="1:8" s="700" customFormat="1" ht="12" customHeight="1" thickBot="1">
      <c r="A3" s="698"/>
      <c r="B3" s="699"/>
      <c r="G3" s="2997" t="s">
        <v>533</v>
      </c>
      <c r="H3" s="2998"/>
    </row>
    <row r="4" spans="1:8" ht="21.75" customHeight="1" thickTop="1">
      <c r="A4" s="634"/>
      <c r="B4" s="635"/>
      <c r="C4" s="636" t="s">
        <v>228</v>
      </c>
      <c r="D4" s="636"/>
      <c r="E4" s="637"/>
      <c r="F4" s="638" t="s">
        <v>229</v>
      </c>
      <c r="G4" s="639"/>
      <c r="H4" s="640"/>
    </row>
    <row r="5" spans="1:8" ht="46.5" customHeight="1">
      <c r="A5" s="641" t="s">
        <v>230</v>
      </c>
      <c r="B5" s="642" t="s">
        <v>106</v>
      </c>
      <c r="C5" s="643" t="s">
        <v>170</v>
      </c>
      <c r="D5" s="643" t="s">
        <v>231</v>
      </c>
      <c r="E5" s="644" t="s">
        <v>534</v>
      </c>
      <c r="F5" s="643" t="s">
        <v>170</v>
      </c>
      <c r="G5" s="643" t="s">
        <v>231</v>
      </c>
      <c r="H5" s="644" t="s">
        <v>250</v>
      </c>
    </row>
    <row r="6" spans="1:8" s="650" customFormat="1" ht="11.25" customHeight="1" thickBot="1">
      <c r="A6" s="701">
        <v>1</v>
      </c>
      <c r="B6" s="702">
        <v>2</v>
      </c>
      <c r="C6" s="703">
        <v>3</v>
      </c>
      <c r="D6" s="703">
        <v>4</v>
      </c>
      <c r="E6" s="704">
        <v>5</v>
      </c>
      <c r="F6" s="705">
        <v>6</v>
      </c>
      <c r="G6" s="703">
        <v>7</v>
      </c>
      <c r="H6" s="704">
        <v>8</v>
      </c>
    </row>
    <row r="7" spans="1:8" s="655" customFormat="1" ht="25.5" customHeight="1" thickBot="1" thickTop="1">
      <c r="A7" s="651" t="s">
        <v>124</v>
      </c>
      <c r="B7" s="652" t="s">
        <v>125</v>
      </c>
      <c r="C7" s="653">
        <f>SUM(C8)</f>
        <v>40000</v>
      </c>
      <c r="D7" s="653">
        <f>SUM(D8)</f>
        <v>19998</v>
      </c>
      <c r="E7" s="654">
        <f aca="true" t="shared" si="0" ref="E7:E33">D7/C7*100</f>
        <v>49.995</v>
      </c>
      <c r="F7" s="706">
        <f>SUM(F8)</f>
        <v>40000</v>
      </c>
      <c r="G7" s="653">
        <f>SUM(G8)</f>
        <v>5861</v>
      </c>
      <c r="H7" s="654">
        <f aca="true" t="shared" si="1" ref="H7:H33">G7/F7*100</f>
        <v>14.652499999999998</v>
      </c>
    </row>
    <row r="8" spans="1:8" s="676" customFormat="1" ht="30.75" customHeight="1" thickTop="1">
      <c r="A8" s="656" t="s">
        <v>251</v>
      </c>
      <c r="B8" s="657" t="s">
        <v>252</v>
      </c>
      <c r="C8" s="658">
        <f>SUM(C9:C9)</f>
        <v>40000</v>
      </c>
      <c r="D8" s="658">
        <f>SUM(D9:D9)</f>
        <v>19998</v>
      </c>
      <c r="E8" s="659">
        <f t="shared" si="0"/>
        <v>49.995</v>
      </c>
      <c r="F8" s="707">
        <f>SUM(F9:F9)</f>
        <v>40000</v>
      </c>
      <c r="G8" s="658">
        <f>SUM(G9:G9)</f>
        <v>5861</v>
      </c>
      <c r="H8" s="659">
        <f t="shared" si="1"/>
        <v>14.652499999999998</v>
      </c>
    </row>
    <row r="9" spans="1:8" s="665" customFormat="1" ht="31.5" customHeight="1" thickBot="1">
      <c r="A9" s="661"/>
      <c r="B9" s="662" t="s">
        <v>535</v>
      </c>
      <c r="C9" s="663">
        <v>40000</v>
      </c>
      <c r="D9" s="663">
        <v>19998</v>
      </c>
      <c r="E9" s="670">
        <f t="shared" si="0"/>
        <v>49.995</v>
      </c>
      <c r="F9" s="708">
        <v>40000</v>
      </c>
      <c r="G9" s="663">
        <v>5861</v>
      </c>
      <c r="H9" s="670">
        <f t="shared" si="1"/>
        <v>14.652499999999998</v>
      </c>
    </row>
    <row r="10" spans="1:8" s="655" customFormat="1" ht="19.5" customHeight="1" thickBot="1" thickTop="1">
      <c r="A10" s="651" t="s">
        <v>126</v>
      </c>
      <c r="B10" s="652" t="s">
        <v>127</v>
      </c>
      <c r="C10" s="653">
        <f>C11+C13+C15</f>
        <v>290100</v>
      </c>
      <c r="D10" s="653">
        <f>D11+D13+D15</f>
        <v>140168</v>
      </c>
      <c r="E10" s="654">
        <f t="shared" si="0"/>
        <v>48.317132023440195</v>
      </c>
      <c r="F10" s="706">
        <f>F11+F13+F15</f>
        <v>290100</v>
      </c>
      <c r="G10" s="653">
        <f>G11+G13+G15</f>
        <v>97246</v>
      </c>
      <c r="H10" s="654">
        <f t="shared" si="1"/>
        <v>33.52154429507067</v>
      </c>
    </row>
    <row r="11" spans="1:8" s="676" customFormat="1" ht="29.25" customHeight="1" thickTop="1">
      <c r="A11" s="656" t="s">
        <v>253</v>
      </c>
      <c r="B11" s="657" t="s">
        <v>254</v>
      </c>
      <c r="C11" s="658">
        <f>SUM(C12:C12)</f>
        <v>47000</v>
      </c>
      <c r="D11" s="658">
        <f>SUM(D12:D12)</f>
        <v>23496</v>
      </c>
      <c r="E11" s="659">
        <f t="shared" si="0"/>
        <v>49.99148936170213</v>
      </c>
      <c r="F11" s="707">
        <f>SUM(F12:F12)</f>
        <v>47000</v>
      </c>
      <c r="G11" s="658"/>
      <c r="H11" s="659">
        <f t="shared" si="1"/>
        <v>0</v>
      </c>
    </row>
    <row r="12" spans="1:8" s="665" customFormat="1" ht="29.25" customHeight="1">
      <c r="A12" s="661"/>
      <c r="B12" s="662" t="s">
        <v>536</v>
      </c>
      <c r="C12" s="663">
        <v>47000</v>
      </c>
      <c r="D12" s="663">
        <v>23496</v>
      </c>
      <c r="E12" s="664">
        <f t="shared" si="0"/>
        <v>49.99148936170213</v>
      </c>
      <c r="F12" s="708">
        <v>47000</v>
      </c>
      <c r="G12" s="663"/>
      <c r="H12" s="664">
        <f t="shared" si="1"/>
        <v>0</v>
      </c>
    </row>
    <row r="13" spans="1:8" s="676" customFormat="1" ht="25.5">
      <c r="A13" s="672" t="s">
        <v>255</v>
      </c>
      <c r="B13" s="673" t="s">
        <v>256</v>
      </c>
      <c r="C13" s="674">
        <f>SUM(C14:C14)</f>
        <v>17000</v>
      </c>
      <c r="D13" s="674">
        <f>SUM(D14:D14)</f>
        <v>8496</v>
      </c>
      <c r="E13" s="675">
        <f t="shared" si="0"/>
        <v>49.976470588235294</v>
      </c>
      <c r="F13" s="709">
        <f>SUM(F14:F14)</f>
        <v>17000</v>
      </c>
      <c r="G13" s="674"/>
      <c r="H13" s="675">
        <f t="shared" si="1"/>
        <v>0</v>
      </c>
    </row>
    <row r="14" spans="1:8" s="665" customFormat="1" ht="31.5" customHeight="1">
      <c r="A14" s="661"/>
      <c r="B14" s="662" t="s">
        <v>536</v>
      </c>
      <c r="C14" s="663">
        <v>17000</v>
      </c>
      <c r="D14" s="663">
        <v>8496</v>
      </c>
      <c r="E14" s="664">
        <f t="shared" si="0"/>
        <v>49.976470588235294</v>
      </c>
      <c r="F14" s="708">
        <v>17000</v>
      </c>
      <c r="G14" s="663"/>
      <c r="H14" s="664">
        <f t="shared" si="1"/>
        <v>0</v>
      </c>
    </row>
    <row r="15" spans="1:8" s="676" customFormat="1" ht="16.5" customHeight="1">
      <c r="A15" s="672" t="s">
        <v>257</v>
      </c>
      <c r="B15" s="673" t="s">
        <v>258</v>
      </c>
      <c r="C15" s="674">
        <f>SUM(C16:C16)</f>
        <v>226100</v>
      </c>
      <c r="D15" s="674">
        <f>SUM(D16:D16)</f>
        <v>108176</v>
      </c>
      <c r="E15" s="675">
        <f t="shared" si="0"/>
        <v>47.84431667403803</v>
      </c>
      <c r="F15" s="709">
        <f>SUM(F16:F16)</f>
        <v>226100</v>
      </c>
      <c r="G15" s="674">
        <f>SUM(G16:G16)</f>
        <v>97246</v>
      </c>
      <c r="H15" s="675">
        <f t="shared" si="1"/>
        <v>43.01017249004865</v>
      </c>
    </row>
    <row r="16" spans="1:8" s="665" customFormat="1" ht="30.75" customHeight="1" thickBot="1">
      <c r="A16" s="661"/>
      <c r="B16" s="662" t="s">
        <v>537</v>
      </c>
      <c r="C16" s="663">
        <v>226100</v>
      </c>
      <c r="D16" s="663">
        <v>108176</v>
      </c>
      <c r="E16" s="664">
        <f t="shared" si="0"/>
        <v>47.84431667403803</v>
      </c>
      <c r="F16" s="708">
        <v>226100</v>
      </c>
      <c r="G16" s="663">
        <v>97246</v>
      </c>
      <c r="H16" s="664">
        <f t="shared" si="1"/>
        <v>43.01017249004865</v>
      </c>
    </row>
    <row r="17" spans="1:8" s="655" customFormat="1" ht="18" customHeight="1" thickBot="1" thickTop="1">
      <c r="A17" s="651" t="s">
        <v>129</v>
      </c>
      <c r="B17" s="652" t="s">
        <v>130</v>
      </c>
      <c r="C17" s="653">
        <f>C18+C20</f>
        <v>268000</v>
      </c>
      <c r="D17" s="653">
        <f>D18+D20</f>
        <v>161734</v>
      </c>
      <c r="E17" s="654">
        <f t="shared" si="0"/>
        <v>60.34850746268656</v>
      </c>
      <c r="F17" s="706">
        <f>F18+F20</f>
        <v>268000</v>
      </c>
      <c r="G17" s="653">
        <f>G18+G20</f>
        <v>152648</v>
      </c>
      <c r="H17" s="654">
        <f t="shared" si="1"/>
        <v>56.958208955223874</v>
      </c>
    </row>
    <row r="18" spans="1:8" s="676" customFormat="1" ht="18.75" customHeight="1" thickTop="1">
      <c r="A18" s="672" t="s">
        <v>233</v>
      </c>
      <c r="B18" s="673" t="s">
        <v>234</v>
      </c>
      <c r="C18" s="674">
        <f>SUM(C19:C19)</f>
        <v>232000</v>
      </c>
      <c r="D18" s="674">
        <f>SUM(D19:D19)</f>
        <v>125734</v>
      </c>
      <c r="E18" s="659">
        <f t="shared" si="0"/>
        <v>54.195689655172416</v>
      </c>
      <c r="F18" s="709">
        <f>SUM(F19:F19)</f>
        <v>232000</v>
      </c>
      <c r="G18" s="674">
        <f>SUM(G19:G19)</f>
        <v>123500</v>
      </c>
      <c r="H18" s="659">
        <f t="shared" si="1"/>
        <v>53.23275862068966</v>
      </c>
    </row>
    <row r="19" spans="1:8" s="665" customFormat="1" ht="40.5" customHeight="1">
      <c r="A19" s="661"/>
      <c r="B19" s="662" t="s">
        <v>259</v>
      </c>
      <c r="C19" s="663">
        <v>232000</v>
      </c>
      <c r="D19" s="663">
        <v>125734</v>
      </c>
      <c r="E19" s="664">
        <f t="shared" si="0"/>
        <v>54.195689655172416</v>
      </c>
      <c r="F19" s="708">
        <v>232000</v>
      </c>
      <c r="G19" s="663">
        <v>123500</v>
      </c>
      <c r="H19" s="664">
        <f t="shared" si="1"/>
        <v>53.23275862068966</v>
      </c>
    </row>
    <row r="20" spans="1:8" s="676" customFormat="1" ht="15.75" customHeight="1">
      <c r="A20" s="672" t="s">
        <v>260</v>
      </c>
      <c r="B20" s="673" t="s">
        <v>261</v>
      </c>
      <c r="C20" s="674">
        <f>SUM(C21:C21)</f>
        <v>36000</v>
      </c>
      <c r="D20" s="674">
        <f>SUM(D21:D21)</f>
        <v>36000</v>
      </c>
      <c r="E20" s="675">
        <f t="shared" si="0"/>
        <v>100</v>
      </c>
      <c r="F20" s="709">
        <f>SUM(F21:F21)</f>
        <v>36000</v>
      </c>
      <c r="G20" s="674">
        <f>SUM(G21:G21)</f>
        <v>29148</v>
      </c>
      <c r="H20" s="675">
        <f t="shared" si="1"/>
        <v>80.96666666666667</v>
      </c>
    </row>
    <row r="21" spans="1:8" s="665" customFormat="1" ht="29.25" customHeight="1" thickBot="1">
      <c r="A21" s="661"/>
      <c r="B21" s="662" t="s">
        <v>538</v>
      </c>
      <c r="C21" s="663">
        <v>36000</v>
      </c>
      <c r="D21" s="663">
        <v>36000</v>
      </c>
      <c r="E21" s="670">
        <f t="shared" si="0"/>
        <v>100</v>
      </c>
      <c r="F21" s="708">
        <v>36000</v>
      </c>
      <c r="G21" s="663">
        <v>29148</v>
      </c>
      <c r="H21" s="670">
        <f t="shared" si="1"/>
        <v>80.96666666666667</v>
      </c>
    </row>
    <row r="22" spans="1:8" s="655" customFormat="1" ht="33" customHeight="1" thickBot="1" thickTop="1">
      <c r="A22" s="651" t="s">
        <v>135</v>
      </c>
      <c r="B22" s="652" t="s">
        <v>136</v>
      </c>
      <c r="C22" s="653">
        <f>C23</f>
        <v>5321200</v>
      </c>
      <c r="D22" s="653">
        <f>D23</f>
        <v>3242464</v>
      </c>
      <c r="E22" s="654">
        <f t="shared" si="0"/>
        <v>60.934826730812595</v>
      </c>
      <c r="F22" s="706">
        <f>F23</f>
        <v>5321200</v>
      </c>
      <c r="G22" s="653">
        <f>G23</f>
        <v>2640416</v>
      </c>
      <c r="H22" s="654">
        <f t="shared" si="1"/>
        <v>49.62068706306848</v>
      </c>
    </row>
    <row r="23" spans="1:8" s="676" customFormat="1" ht="26.25" thickTop="1">
      <c r="A23" s="672" t="s">
        <v>262</v>
      </c>
      <c r="B23" s="673" t="s">
        <v>263</v>
      </c>
      <c r="C23" s="674">
        <f>C24</f>
        <v>5321200</v>
      </c>
      <c r="D23" s="674">
        <f>SUM(D24:D24)</f>
        <v>3242464</v>
      </c>
      <c r="E23" s="675">
        <f t="shared" si="0"/>
        <v>60.934826730812595</v>
      </c>
      <c r="F23" s="709">
        <f>SUM(F24:F24)</f>
        <v>5321200</v>
      </c>
      <c r="G23" s="674">
        <f>SUM(G24:G24)</f>
        <v>2640416</v>
      </c>
      <c r="H23" s="675">
        <f t="shared" si="1"/>
        <v>49.62068706306848</v>
      </c>
    </row>
    <row r="24" spans="1:8" s="665" customFormat="1" ht="27.75" customHeight="1" thickBot="1">
      <c r="A24" s="661"/>
      <c r="B24" s="662" t="s">
        <v>539</v>
      </c>
      <c r="C24" s="663">
        <v>5321200</v>
      </c>
      <c r="D24" s="663">
        <v>3242464</v>
      </c>
      <c r="E24" s="664">
        <f t="shared" si="0"/>
        <v>60.934826730812595</v>
      </c>
      <c r="F24" s="708">
        <v>5321200</v>
      </c>
      <c r="G24" s="663">
        <v>2640416</v>
      </c>
      <c r="H24" s="664">
        <f t="shared" si="1"/>
        <v>49.62068706306848</v>
      </c>
    </row>
    <row r="25" spans="1:8" s="655" customFormat="1" ht="21.75" customHeight="1" thickBot="1" thickTop="1">
      <c r="A25" s="651" t="s">
        <v>147</v>
      </c>
      <c r="B25" s="652" t="s">
        <v>148</v>
      </c>
      <c r="C25" s="653">
        <f>C26</f>
        <v>7000</v>
      </c>
      <c r="D25" s="653">
        <f>D26</f>
        <v>3498</v>
      </c>
      <c r="E25" s="654">
        <f t="shared" si="0"/>
        <v>49.971428571428575</v>
      </c>
      <c r="F25" s="653">
        <f>F26</f>
        <v>7000</v>
      </c>
      <c r="G25" s="653">
        <f>G26</f>
        <v>3402</v>
      </c>
      <c r="H25" s="654">
        <f t="shared" si="1"/>
        <v>48.6</v>
      </c>
    </row>
    <row r="26" spans="1:8" s="671" customFormat="1" ht="51" customHeight="1" thickTop="1">
      <c r="A26" s="672" t="s">
        <v>264</v>
      </c>
      <c r="B26" s="673" t="s">
        <v>540</v>
      </c>
      <c r="C26" s="674">
        <f>SUM(C27:C27)</f>
        <v>7000</v>
      </c>
      <c r="D26" s="674">
        <f>SUM(D27:D27)</f>
        <v>3498</v>
      </c>
      <c r="E26" s="675">
        <f t="shared" si="0"/>
        <v>49.971428571428575</v>
      </c>
      <c r="F26" s="709">
        <f>F27</f>
        <v>7000</v>
      </c>
      <c r="G26" s="674">
        <f>SUM(G27:G27)</f>
        <v>3402</v>
      </c>
      <c r="H26" s="675">
        <f t="shared" si="1"/>
        <v>48.6</v>
      </c>
    </row>
    <row r="27" spans="1:8" s="665" customFormat="1" ht="33" customHeight="1">
      <c r="A27" s="677"/>
      <c r="B27" s="678" t="s">
        <v>265</v>
      </c>
      <c r="C27" s="679">
        <v>7000</v>
      </c>
      <c r="D27" s="679">
        <v>3498</v>
      </c>
      <c r="E27" s="680">
        <f t="shared" si="0"/>
        <v>49.971428571428575</v>
      </c>
      <c r="F27" s="710">
        <v>7000</v>
      </c>
      <c r="G27" s="679">
        <v>3402</v>
      </c>
      <c r="H27" s="711">
        <f t="shared" si="1"/>
        <v>48.6</v>
      </c>
    </row>
    <row r="28" spans="1:8" s="676" customFormat="1" ht="42.75" customHeight="1" thickBot="1">
      <c r="A28" s="712" t="s">
        <v>151</v>
      </c>
      <c r="B28" s="713" t="s">
        <v>152</v>
      </c>
      <c r="C28" s="714">
        <f>C29+C31</f>
        <v>116843</v>
      </c>
      <c r="D28" s="714">
        <f>D29+D31</f>
        <v>68289</v>
      </c>
      <c r="E28" s="715">
        <f>D28/C28*100</f>
        <v>58.44509298802667</v>
      </c>
      <c r="F28" s="2384">
        <f>F29+F31</f>
        <v>116843</v>
      </c>
      <c r="G28" s="2384">
        <f>G29+G31</f>
        <v>60332</v>
      </c>
      <c r="H28" s="715">
        <f>G28/F28*100</f>
        <v>51.63510009157588</v>
      </c>
    </row>
    <row r="29" spans="1:8" s="676" customFormat="1" ht="30" customHeight="1" thickTop="1">
      <c r="A29" s="672" t="s">
        <v>266</v>
      </c>
      <c r="B29" s="673" t="s">
        <v>541</v>
      </c>
      <c r="C29" s="674">
        <f>C30</f>
        <v>106000</v>
      </c>
      <c r="D29" s="674">
        <f>D30</f>
        <v>57446</v>
      </c>
      <c r="E29" s="675">
        <f t="shared" si="0"/>
        <v>54.19433962264151</v>
      </c>
      <c r="F29" s="709">
        <f>F30</f>
        <v>106000</v>
      </c>
      <c r="G29" s="674">
        <f>G30</f>
        <v>49489</v>
      </c>
      <c r="H29" s="675">
        <f t="shared" si="1"/>
        <v>46.68773584905661</v>
      </c>
    </row>
    <row r="30" spans="1:8" s="665" customFormat="1" ht="44.25" customHeight="1">
      <c r="A30" s="661"/>
      <c r="B30" s="662" t="s">
        <v>542</v>
      </c>
      <c r="C30" s="663">
        <v>106000</v>
      </c>
      <c r="D30" s="663">
        <v>57446</v>
      </c>
      <c r="E30" s="664">
        <f>D30/C30*100</f>
        <v>54.19433962264151</v>
      </c>
      <c r="F30" s="708">
        <v>106000</v>
      </c>
      <c r="G30" s="663">
        <v>49489</v>
      </c>
      <c r="H30" s="664">
        <f>G30/F30*100</f>
        <v>46.68773584905661</v>
      </c>
    </row>
    <row r="31" spans="1:8" s="676" customFormat="1" ht="20.25" customHeight="1">
      <c r="A31" s="2385" t="s">
        <v>543</v>
      </c>
      <c r="B31" s="673" t="s">
        <v>35</v>
      </c>
      <c r="C31" s="674">
        <f>C32</f>
        <v>10843</v>
      </c>
      <c r="D31" s="674">
        <f>D32</f>
        <v>10843</v>
      </c>
      <c r="E31" s="675">
        <f t="shared" si="0"/>
        <v>100</v>
      </c>
      <c r="F31" s="709">
        <f>F32</f>
        <v>10843</v>
      </c>
      <c r="G31" s="674">
        <f>G32</f>
        <v>10843</v>
      </c>
      <c r="H31" s="675">
        <f t="shared" si="1"/>
        <v>100</v>
      </c>
    </row>
    <row r="32" spans="1:8" s="665" customFormat="1" ht="27.75" customHeight="1" thickBot="1">
      <c r="A32" s="2386"/>
      <c r="B32" s="668" t="s">
        <v>544</v>
      </c>
      <c r="C32" s="663">
        <v>10843</v>
      </c>
      <c r="D32" s="663">
        <v>10843</v>
      </c>
      <c r="E32" s="664">
        <f>D32/C32*100</f>
        <v>100</v>
      </c>
      <c r="F32" s="708">
        <v>10843</v>
      </c>
      <c r="G32" s="663">
        <v>10843</v>
      </c>
      <c r="H32" s="664">
        <f>G32/F32*100</f>
        <v>100</v>
      </c>
    </row>
    <row r="33" spans="1:8" s="688" customFormat="1" ht="24.75" customHeight="1" thickBot="1" thickTop="1">
      <c r="A33" s="2387"/>
      <c r="B33" s="2388" t="s">
        <v>102</v>
      </c>
      <c r="C33" s="2389">
        <f>C7+C10+C17+C22+C25+C28</f>
        <v>6043143</v>
      </c>
      <c r="D33" s="2389">
        <f>D7+D10+D17+D22+D25+D28</f>
        <v>3636151</v>
      </c>
      <c r="E33" s="2390">
        <f t="shared" si="0"/>
        <v>60.169865250582355</v>
      </c>
      <c r="F33" s="2389">
        <f>F7+F10+F17+F22+F25+F28</f>
        <v>6043143</v>
      </c>
      <c r="G33" s="2389">
        <f>G7+G10+G17+G22+G25+G28</f>
        <v>2959905</v>
      </c>
      <c r="H33" s="2390">
        <f t="shared" si="1"/>
        <v>48.97956245615899</v>
      </c>
    </row>
    <row r="34" spans="1:8" s="720" customFormat="1" ht="81" customHeight="1" thickTop="1">
      <c r="A34" s="716"/>
      <c r="B34" s="717"/>
      <c r="C34" s="718"/>
      <c r="D34" s="718"/>
      <c r="E34" s="718"/>
      <c r="F34" s="718"/>
      <c r="G34" s="718"/>
      <c r="H34" s="719"/>
    </row>
    <row r="35" spans="1:8" s="720" customFormat="1" ht="47.25" customHeight="1">
      <c r="A35" s="632" t="s">
        <v>545</v>
      </c>
      <c r="B35" s="632"/>
      <c r="C35" s="632"/>
      <c r="D35" s="632"/>
      <c r="E35" s="632"/>
      <c r="F35" s="632"/>
      <c r="G35" s="632"/>
      <c r="H35" s="632"/>
    </row>
    <row r="36" spans="1:8" s="720" customFormat="1" ht="20.25" customHeight="1">
      <c r="A36" s="632"/>
      <c r="B36" s="632"/>
      <c r="C36" s="632"/>
      <c r="D36" s="632"/>
      <c r="E36" s="632"/>
      <c r="F36" s="632"/>
      <c r="G36" s="2991" t="s">
        <v>267</v>
      </c>
      <c r="H36" s="2992"/>
    </row>
    <row r="37" spans="1:8" s="720" customFormat="1" ht="20.25" customHeight="1" thickBot="1">
      <c r="A37" s="698"/>
      <c r="B37" s="699"/>
      <c r="C37" s="700"/>
      <c r="D37" s="700"/>
      <c r="E37" s="700"/>
      <c r="F37" s="700"/>
      <c r="G37" s="2993" t="s">
        <v>533</v>
      </c>
      <c r="H37" s="2994"/>
    </row>
    <row r="38" spans="1:8" ht="16.5" thickTop="1">
      <c r="A38" s="634"/>
      <c r="B38" s="635"/>
      <c r="C38" s="636" t="s">
        <v>228</v>
      </c>
      <c r="D38" s="636"/>
      <c r="E38" s="637"/>
      <c r="F38" s="638" t="s">
        <v>229</v>
      </c>
      <c r="G38" s="639"/>
      <c r="H38" s="640"/>
    </row>
    <row r="39" spans="1:8" ht="43.5">
      <c r="A39" s="641" t="s">
        <v>230</v>
      </c>
      <c r="B39" s="642" t="s">
        <v>106</v>
      </c>
      <c r="C39" s="643" t="s">
        <v>170</v>
      </c>
      <c r="D39" s="643" t="s">
        <v>231</v>
      </c>
      <c r="E39" s="644" t="s">
        <v>534</v>
      </c>
      <c r="F39" s="643" t="s">
        <v>170</v>
      </c>
      <c r="G39" s="643" t="s">
        <v>231</v>
      </c>
      <c r="H39" s="644" t="s">
        <v>250</v>
      </c>
    </row>
    <row r="40" spans="1:8" ht="13.5" thickBot="1">
      <c r="A40" s="701">
        <v>1</v>
      </c>
      <c r="B40" s="702">
        <v>2</v>
      </c>
      <c r="C40" s="703">
        <v>3</v>
      </c>
      <c r="D40" s="703">
        <v>4</v>
      </c>
      <c r="E40" s="704">
        <v>5</v>
      </c>
      <c r="F40" s="705">
        <v>6</v>
      </c>
      <c r="G40" s="703">
        <v>7</v>
      </c>
      <c r="H40" s="704">
        <v>8</v>
      </c>
    </row>
    <row r="41" spans="1:8" ht="20.25" customHeight="1" thickBot="1" thickTop="1">
      <c r="A41" s="651" t="s">
        <v>129</v>
      </c>
      <c r="B41" s="652" t="s">
        <v>130</v>
      </c>
      <c r="C41" s="653">
        <f>SUM(C42)</f>
        <v>8500</v>
      </c>
      <c r="D41" s="653">
        <f>SUM(D42)</f>
        <v>8500</v>
      </c>
      <c r="E41" s="654">
        <f>D41/C41*100</f>
        <v>100</v>
      </c>
      <c r="F41" s="706">
        <f>SUM(F42)</f>
        <v>8500</v>
      </c>
      <c r="G41" s="653">
        <f>SUM(G42)</f>
        <v>6406</v>
      </c>
      <c r="H41" s="654">
        <f>G41/F41*100</f>
        <v>75.36470588235295</v>
      </c>
    </row>
    <row r="42" spans="1:8" ht="18.75" customHeight="1" thickTop="1">
      <c r="A42" s="2391" t="s">
        <v>260</v>
      </c>
      <c r="B42" s="2392" t="s">
        <v>261</v>
      </c>
      <c r="C42" s="2393">
        <f>SUM(C43:C43)</f>
        <v>8500</v>
      </c>
      <c r="D42" s="2393">
        <f>SUM(D43:D43)</f>
        <v>8500</v>
      </c>
      <c r="E42" s="2394">
        <f>D42/C42*100</f>
        <v>100</v>
      </c>
      <c r="F42" s="2395">
        <f>SUM(F43:F43)</f>
        <v>8500</v>
      </c>
      <c r="G42" s="2393">
        <f>SUM(G43:G43)</f>
        <v>6406</v>
      </c>
      <c r="H42" s="2394">
        <f>G42/F42*100</f>
        <v>75.36470588235295</v>
      </c>
    </row>
    <row r="43" spans="1:8" ht="17.25" customHeight="1" thickBot="1">
      <c r="A43" s="2396"/>
      <c r="B43" s="980" t="s">
        <v>546</v>
      </c>
      <c r="C43" s="2397">
        <v>8500</v>
      </c>
      <c r="D43" s="2397">
        <v>8500</v>
      </c>
      <c r="E43" s="2398">
        <f>D43/C43*100</f>
        <v>100</v>
      </c>
      <c r="F43" s="2399">
        <v>8500</v>
      </c>
      <c r="G43" s="2397">
        <v>6406</v>
      </c>
      <c r="H43" s="2398">
        <f>G43/F43*100</f>
        <v>75.36470588235295</v>
      </c>
    </row>
    <row r="44" spans="1:8" ht="20.25" customHeight="1" thickBot="1" thickTop="1">
      <c r="A44" s="2387"/>
      <c r="B44" s="2388" t="s">
        <v>102</v>
      </c>
      <c r="C44" s="2389">
        <f>C41</f>
        <v>8500</v>
      </c>
      <c r="D44" s="2389">
        <f>D41</f>
        <v>8500</v>
      </c>
      <c r="E44" s="2390">
        <f>D44/C44*100</f>
        <v>100</v>
      </c>
      <c r="F44" s="2389">
        <f>F41</f>
        <v>8500</v>
      </c>
      <c r="G44" s="2389">
        <f>G41</f>
        <v>6406</v>
      </c>
      <c r="H44" s="2390">
        <f>G44/F44*100</f>
        <v>75.36470588235295</v>
      </c>
    </row>
    <row r="45" ht="13.5" thickTop="1"/>
  </sheetData>
  <mergeCells count="4">
    <mergeCell ref="G2:H2"/>
    <mergeCell ref="G3:H3"/>
    <mergeCell ref="G36:H36"/>
    <mergeCell ref="G37:H37"/>
  </mergeCells>
  <printOptions horizontalCentered="1"/>
  <pageMargins left="0" right="0" top="0.984251968503937" bottom="0.984251968503937" header="0.5118110236220472" footer="0.5118110236220472"/>
  <pageSetup firstPageNumber="54" useFirstPageNumber="1" horizontalDpi="600" verticalDpi="600" orientation="portrait" paperSize="9" r:id="rId1"/>
  <headerFooter alignWithMargins="0">
    <oddHeader>&amp;C&amp;"Times New Roman,Normalny"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Koszalin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Malinowska</dc:creator>
  <cp:keywords/>
  <dc:description/>
  <cp:lastModifiedBy>Malgorzata Krol</cp:lastModifiedBy>
  <cp:lastPrinted>2005-10-19T08:43:13Z</cp:lastPrinted>
  <dcterms:created xsi:type="dcterms:W3CDTF">2005-10-19T07:01:41Z</dcterms:created>
  <dcterms:modified xsi:type="dcterms:W3CDTF">2006-09-26T12:42:09Z</dcterms:modified>
  <cp:category/>
  <cp:version/>
  <cp:contentType/>
  <cp:contentStatus/>
</cp:coreProperties>
</file>