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15" activeTab="17"/>
  </bookViews>
  <sheets>
    <sheet name="Synt. zestawienie" sheetId="1" r:id="rId1"/>
    <sheet name="Tabela nr 1 d" sheetId="2" r:id="rId2"/>
    <sheet name="Tabela nr 2 d" sheetId="3" r:id="rId3"/>
    <sheet name="Tabela nr 1 w" sheetId="4" r:id="rId4"/>
    <sheet name="Tabela nr 2 w" sheetId="5" r:id="rId5"/>
    <sheet name="Tabela nr 3" sheetId="6" r:id="rId6"/>
    <sheet name="Tabela nr 4 " sheetId="7" r:id="rId7"/>
    <sheet name="Tabela nr 5" sheetId="8" r:id="rId8"/>
    <sheet name="Tabela nr 6" sheetId="9" r:id="rId9"/>
    <sheet name="Tabela nr 7" sheetId="10" r:id="rId10"/>
    <sheet name="Tabela nr 8" sheetId="11" r:id="rId11"/>
    <sheet name="Tabela nr 9" sheetId="12" r:id="rId12"/>
    <sheet name="Tabela nr 1 inw" sheetId="13" r:id="rId13"/>
    <sheet name="Załącznik nr 1" sheetId="14" r:id="rId14"/>
    <sheet name="Załącznik nr 2" sheetId="15" r:id="rId15"/>
    <sheet name="Tabela nr 2 win" sheetId="16" r:id="rId16"/>
    <sheet name="Tabela nr 3 zam.pub." sheetId="17" r:id="rId17"/>
    <sheet name="Wykonanie wydatków" sheetId="18" r:id="rId18"/>
  </sheets>
  <externalReferences>
    <externalReference r:id="rId21"/>
  </externalReferences>
  <definedNames>
    <definedName name="_xlnm.Print_Titles" localSheetId="1">'Tabela nr 1 d'!$5:$7</definedName>
    <definedName name="_xlnm.Print_Titles" localSheetId="12">'Tabela nr 1 inw'!$3:$6</definedName>
    <definedName name="_xlnm.Print_Titles" localSheetId="3">'Tabela nr 1 w'!$5:$7</definedName>
    <definedName name="_xlnm.Print_Titles" localSheetId="2">'Tabela nr 2 d'!$5:$7</definedName>
    <definedName name="_xlnm.Print_Titles" localSheetId="4">'Tabela nr 2 w'!$4:$6</definedName>
    <definedName name="_xlnm.Print_Titles" localSheetId="15">'Tabela nr 2 win'!$4:$6</definedName>
    <definedName name="_xlnm.Print_Titles" localSheetId="5">'Tabela nr 3'!$4:$6</definedName>
    <definedName name="_xlnm.Print_Titles" localSheetId="6">'Tabela nr 4 '!$4:$6</definedName>
    <definedName name="_xlnm.Print_Titles" localSheetId="8">'Tabela nr 6'!$4:$6</definedName>
    <definedName name="_xlnm.Print_Titles" localSheetId="17">'Wykonanie wydatków'!$5:$7</definedName>
    <definedName name="_xlnm.Print_Titles" localSheetId="13">'Załącznik nr 1'!$7:$8</definedName>
  </definedNames>
  <calcPr fullCalcOnLoad="1"/>
</workbook>
</file>

<file path=xl/sharedStrings.xml><?xml version="1.0" encoding="utf-8"?>
<sst xmlns="http://schemas.openxmlformats.org/spreadsheetml/2006/main" count="2539" uniqueCount="1128">
  <si>
    <t>90013    6060</t>
  </si>
  <si>
    <t>Dział  921</t>
  </si>
  <si>
    <r>
      <t>Muzeum - z</t>
    </r>
    <r>
      <rPr>
        <i/>
        <sz val="10"/>
        <rFont val="Times New Roman"/>
        <family val="1"/>
      </rPr>
      <t>akup sprzętu komputerowego</t>
    </r>
  </si>
  <si>
    <t>92118   6220</t>
  </si>
  <si>
    <t>Zakup specjalistycznej drukarki dla wydziału architektury</t>
  </si>
  <si>
    <t>92120   6060</t>
  </si>
  <si>
    <t>INFORMACJA   Z   REALIZACJI   REMONTÓW</t>
  </si>
  <si>
    <t>(stan na 30.06.2005 r)</t>
  </si>
  <si>
    <t xml:space="preserve">Rozdział </t>
  </si>
  <si>
    <t xml:space="preserve">  §</t>
  </si>
  <si>
    <t>Plan    po zmianach</t>
  </si>
  <si>
    <t>Dział  500</t>
  </si>
  <si>
    <t>Remont na targowisku</t>
  </si>
  <si>
    <t>Remonty dróg powiatowych</t>
  </si>
  <si>
    <t xml:space="preserve">Remonty dróg gminnych </t>
  </si>
  <si>
    <t>Remont dróg wewnętrznych</t>
  </si>
  <si>
    <r>
      <t>Urząd Miejski -</t>
    </r>
    <r>
      <rPr>
        <i/>
        <sz val="10"/>
        <rFont val="Times New Roman CE"/>
        <family val="1"/>
      </rPr>
      <t xml:space="preserve"> </t>
    </r>
    <r>
      <rPr>
        <i/>
        <sz val="9"/>
        <rFont val="Times New Roman CE"/>
        <family val="1"/>
      </rPr>
      <t xml:space="preserve"> remont podjazdu dla niepełnosprawnych, remont wieży, piwnic i garaży w budynku Ratusza. Remont w budynku USC i Straży Miejskiej.</t>
    </r>
  </si>
  <si>
    <t>Remonty i naprawy w szkołach</t>
  </si>
  <si>
    <t xml:space="preserve">ZA-EPM </t>
  </si>
  <si>
    <t>Dział  851</t>
  </si>
  <si>
    <t>Izba Wytrzeźwień</t>
  </si>
  <si>
    <t>Pozostała działaność</t>
  </si>
  <si>
    <t>Placówki opiekuńczo - wychowawcze</t>
  </si>
  <si>
    <t>Ośrodki pomocy społecznej</t>
  </si>
  <si>
    <t>Ośrodki adopcyjno-opiekuńcze</t>
  </si>
  <si>
    <t>Remonty i naprawy</t>
  </si>
  <si>
    <t>Internaty i bursy szkolne</t>
  </si>
  <si>
    <t>Remont schroniska dla zwierząt</t>
  </si>
  <si>
    <t xml:space="preserve">Remonty i konserwacja  oświetlenia </t>
  </si>
  <si>
    <r>
      <t xml:space="preserve">Pozostała działalność - </t>
    </r>
    <r>
      <rPr>
        <i/>
        <sz val="9"/>
        <rFont val="Times New Roman CE"/>
        <family val="1"/>
      </rPr>
      <t>remonty placów zabaw</t>
    </r>
  </si>
  <si>
    <t>Muzeum</t>
  </si>
  <si>
    <t>Remont murów miejskich</t>
  </si>
  <si>
    <t>Dział  926</t>
  </si>
  <si>
    <r>
      <t>Remonty w obiektach ZOS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basen, stadion "Bałtyk", inne obiekty ZOS</t>
    </r>
  </si>
  <si>
    <t xml:space="preserve">Informacja o realizacji wpływów budżetowych z tytułu                                       podatków i opłat </t>
  </si>
  <si>
    <t>tys.zł.</t>
  </si>
  <si>
    <t>REALIZACJA  WPŁYWÓW</t>
  </si>
  <si>
    <t>Dynamika</t>
  </si>
  <si>
    <t>I półrocze 2004</t>
  </si>
  <si>
    <t>I półrocze 2005</t>
  </si>
  <si>
    <t xml:space="preserve"> 3 : 2</t>
  </si>
  <si>
    <t>1.Wpływy z opłat rocznych</t>
  </si>
  <si>
    <t xml:space="preserve">a/ przypis roczny </t>
  </si>
  <si>
    <t>b/ wpływy bieżące</t>
  </si>
  <si>
    <t>c/ wskaźnik (b/a)</t>
  </si>
  <si>
    <t>d/ stan zaległości</t>
  </si>
  <si>
    <t>e/ windykacja</t>
  </si>
  <si>
    <t>f/ wskaźnik windykacji (e/d)</t>
  </si>
  <si>
    <t>2.Wpływy z dzierżaw</t>
  </si>
  <si>
    <t>a/ przypis roczny</t>
  </si>
  <si>
    <t>c/ wskaźnik realizacji wpływów (b/a)</t>
  </si>
  <si>
    <t xml:space="preserve">e/ windykacja </t>
  </si>
  <si>
    <t>3. Sprzedaż mienia komunalnego</t>
  </si>
  <si>
    <t>c/ wskaźnik realizacji  wpływów (b/c)</t>
  </si>
  <si>
    <t xml:space="preserve">  </t>
  </si>
  <si>
    <t>4.Podatek rolny i leśny</t>
  </si>
  <si>
    <t xml:space="preserve">d/ stan zaległości </t>
  </si>
  <si>
    <t>5.Podatek od nieruchomości osób prawnych</t>
  </si>
  <si>
    <t>f /wskaźnik windykacji (e/d)</t>
  </si>
  <si>
    <t>6.Podatek od nieruchomości osób fizycznych</t>
  </si>
  <si>
    <t xml:space="preserve"> 7. Podatek od środków transportowych osób prawnych</t>
  </si>
  <si>
    <t xml:space="preserve">b/ wpływy bieżące </t>
  </si>
  <si>
    <t xml:space="preserve"> 8. Podatek od środków transportowych osób fizycznych</t>
  </si>
  <si>
    <t>f/ wskaźnik windykacji(e/d)</t>
  </si>
  <si>
    <t xml:space="preserve">OGÓŁEM </t>
  </si>
  <si>
    <t>ZBIORCZE  ZESTAWIENIE  UDZIELONYCH  ZAMÓWIEŃ  W  PIERWSZYM  PÓŁROCZU  2005  ROKU</t>
  </si>
  <si>
    <t xml:space="preserve">Lp. </t>
  </si>
  <si>
    <t>Zastosowany tryb</t>
  </si>
  <si>
    <t>Procedura</t>
  </si>
  <si>
    <t>Dostawa towarów</t>
  </si>
  <si>
    <t>Usługa</t>
  </si>
  <si>
    <t>Roboty budowlane</t>
  </si>
  <si>
    <t>Razem</t>
  </si>
  <si>
    <t xml:space="preserve">Zawarte </t>
  </si>
  <si>
    <t>pełna pow. 60 tys. euro</t>
  </si>
  <si>
    <t>uproszczona</t>
  </si>
  <si>
    <t>ilość</t>
  </si>
  <si>
    <t>wartość</t>
  </si>
  <si>
    <t>umowy</t>
  </si>
  <si>
    <t>Przetarg nieograniczony</t>
  </si>
  <si>
    <t xml:space="preserve">Przetarg ograniczony              </t>
  </si>
  <si>
    <t>Negocjacje z ogłoszeniem</t>
  </si>
  <si>
    <t>Negocjacje bez ogłoszenia</t>
  </si>
  <si>
    <t xml:space="preserve">Zapytanie o cenę </t>
  </si>
  <si>
    <t xml:space="preserve">Zamówienie z wolnej ręki </t>
  </si>
  <si>
    <t>Aukcja elektroniczna</t>
  </si>
  <si>
    <t xml:space="preserve"> WYKONANIE   PLANU   WYDATKÓW   MIASTA   KOSZALINA   ZA  6  MIESIĘCY   2005   ROKU                                                                                                    </t>
  </si>
  <si>
    <t>GMINA WŁASNE I POROZUMIENIA</t>
  </si>
  <si>
    <t xml:space="preserve">GMINA  ZLECONE </t>
  </si>
  <si>
    <t>POWIAT WŁASNE I POROZUMIENIA</t>
  </si>
  <si>
    <t>POWIAT ZLECONE</t>
  </si>
  <si>
    <t xml:space="preserve">Plan po zmianach 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</si>
  <si>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</si>
  <si>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</si>
  <si>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</si>
  <si>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</si>
  <si>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</si>
  <si>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</si>
  <si>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</si>
  <si>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</si>
  <si>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</si>
  <si>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</si>
  <si>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</si>
  <si>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</si>
  <si>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</si>
  <si>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</si>
  <si>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</si>
  <si>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</si>
  <si>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</si>
  <si>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</si>
  <si>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</si>
  <si>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</si>
  <si>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</si>
  <si>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</si>
  <si>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</si>
  <si>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</si>
  <si>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</si>
  <si>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</si>
  <si>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</si>
  <si>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</si>
  <si>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</si>
  <si>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</si>
  <si>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</si>
  <si>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</si>
  <si>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</si>
  <si>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</si>
  <si>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</si>
  <si>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</si>
  <si>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</si>
  <si>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</si>
  <si>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</si>
  <si>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</si>
  <si>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</si>
  <si>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</si>
  <si>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02002</t>
  </si>
  <si>
    <t>Nadzór nad gospodarką leśną</t>
  </si>
  <si>
    <t xml:space="preserve">Zakup usług pozostałych </t>
  </si>
  <si>
    <t>Lokalny transport zbiorowy</t>
  </si>
  <si>
    <t>Dopłaty w spółkach prawa handlowego</t>
  </si>
  <si>
    <t>Drogi publiczne w miastach na prawach powiatu</t>
  </si>
  <si>
    <r>
      <t xml:space="preserve">Wydatki inwestycyjne jednostek budżetowych - </t>
    </r>
    <r>
      <rPr>
        <i/>
        <sz val="9"/>
        <rFont val="Times New Roman CE"/>
        <family val="1"/>
      </rPr>
      <t>budowa ul.Władysława IV</t>
    </r>
  </si>
  <si>
    <r>
      <t xml:space="preserve">Wydatki inwestycyjne jednostek budżetowych - </t>
    </r>
    <r>
      <rPr>
        <i/>
        <sz val="9"/>
        <rFont val="Times New Roman CE"/>
        <family val="1"/>
      </rPr>
      <t>skrzyżowanieFranciszkańskiej i Armii Krajowej</t>
    </r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</si>
  <si>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</si>
  <si>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t xml:space="preserve">Drogi publiczne gminne </t>
  </si>
  <si>
    <t xml:space="preserve">Wydatki inwestycyjne jednostek budżetowych </t>
  </si>
  <si>
    <t>1. Uzbrojenie oś. "Wenedów"</t>
  </si>
  <si>
    <t>2. Osiedle Lipowe - drogi</t>
  </si>
  <si>
    <t>3. Budowa ścieżek rowerowych</t>
  </si>
  <si>
    <t>1. Parking w Śródmieściu</t>
  </si>
  <si>
    <t>2. ul.Krańcowa</t>
  </si>
  <si>
    <t>3. Osiedle " Bukowe " - drogi</t>
  </si>
  <si>
    <t>4. ul.Olchowa</t>
  </si>
  <si>
    <t>5. Osiedle Topolowe - drogi</t>
  </si>
  <si>
    <t xml:space="preserve">6. ul.Topolowa </t>
  </si>
  <si>
    <t>7. ul.Wiązowa - Grabowa</t>
  </si>
  <si>
    <t>8. ul.Świerkowa - Jodłowa</t>
  </si>
  <si>
    <t>9.ul. Walecznych</t>
  </si>
  <si>
    <t>10.ul.Artylerzystów</t>
  </si>
  <si>
    <t>11.ul. Gerberowa - Sadowa</t>
  </si>
  <si>
    <t>12.ul. Żeglarska</t>
  </si>
  <si>
    <t>13.ul.Dojazd do pawilonów przy ul.Władysława IV-go</t>
  </si>
  <si>
    <t>Drogi wewnętrzne</t>
  </si>
  <si>
    <t>Zakup usług pozostałych - RWZ</t>
  </si>
  <si>
    <t>ZDM</t>
  </si>
  <si>
    <t>Nagrody i wydatki osobowe nie zaliczane do wynagrodzeń</t>
  </si>
  <si>
    <t>Dodatkowe wynagrodzenie roczne</t>
  </si>
  <si>
    <t>Składki na ubezpieczenie społeczne</t>
  </si>
  <si>
    <t>Składki na  FP</t>
  </si>
  <si>
    <t>Wpłaty na PFRON</t>
  </si>
  <si>
    <t>Wynagrodzenia bezosobowe</t>
  </si>
  <si>
    <t>Zakup usług zdrowotnych</t>
  </si>
  <si>
    <t>Zakup pozostałych usług</t>
  </si>
  <si>
    <t>Opłaty za usługi internetowe</t>
  </si>
  <si>
    <t>Podróże  służbowe zagraniczne</t>
  </si>
  <si>
    <t xml:space="preserve">Podatek od nieruchomości </t>
  </si>
  <si>
    <t>Odsetki od dotacji wykorzystanych niezgodnie z przeznaczeniem lub pobranych w nadmiernej wysokości</t>
  </si>
  <si>
    <t>Pozostałe odsetki</t>
  </si>
  <si>
    <t>Kary i odszkodowania wypłacane na rzecz osób fizycznych</t>
  </si>
  <si>
    <t>Koszty postępowania sadowego i prokuratorskiego</t>
  </si>
  <si>
    <t xml:space="preserve">Wydatki na zakupy inwestycyjne jednostek budżetowych </t>
  </si>
  <si>
    <r>
      <t xml:space="preserve">Wydatki  inwestycyjne jednostek budżetowych </t>
    </r>
    <r>
      <rPr>
        <i/>
        <sz val="9"/>
        <rFont val="Times New Roman CE"/>
        <family val="1"/>
      </rPr>
      <t xml:space="preserve">- rozbudowę systemu antywłamaniowego </t>
    </r>
  </si>
  <si>
    <t xml:space="preserve">Dotacja celowa z budżetu  lub dofinansowanie zadań zleconych do realizacji stowarzyszeniom </t>
  </si>
  <si>
    <t>Dotacje celowe z budżetu na finansowanie lub dofinansowanie kosztów realizacji inwestycji i zakupów inwestycyjnych zakładów budżetowych</t>
  </si>
  <si>
    <t>Wydatki osobowe niezaliczane do wynagrodzeń</t>
  </si>
  <si>
    <t xml:space="preserve">Różne wydatki na rzecz osób fizycznych </t>
  </si>
  <si>
    <t>Zakup pomocy naukowych, dydaktycznych i książek</t>
  </si>
  <si>
    <r>
      <t xml:space="preserve">Zakup pozostałych usług - </t>
    </r>
    <r>
      <rPr>
        <i/>
        <sz val="9"/>
        <rFont val="Times New Roman CE"/>
        <family val="1"/>
      </rPr>
      <t xml:space="preserve">opracowania, podziały geodezyjne, ekspertyzy, wyrysy </t>
    </r>
  </si>
  <si>
    <t>Kary i odszkodowania wypłacane na rzecz osób prawnych i innych jednostek organizacyjnych</t>
  </si>
  <si>
    <r>
      <t xml:space="preserve">Wydatki na zakupy inw. jednostek budżetowych - </t>
    </r>
    <r>
      <rPr>
        <i/>
        <sz val="9"/>
        <rFont val="Times New Roman CE"/>
        <family val="1"/>
      </rPr>
      <t>pierwokupy nieruchomości, rozwiązywanie umów notarialnych, wykupy gruntów</t>
    </r>
  </si>
  <si>
    <t>Towarzystwa budownictwa społecznego</t>
  </si>
  <si>
    <r>
      <t xml:space="preserve">Wydatki na zakup i objęcie akcji oraz wniesienie wkładów do spółek prawa handlowego - </t>
    </r>
    <r>
      <rPr>
        <i/>
        <sz val="9"/>
        <rFont val="Times New Roman CE"/>
        <family val="1"/>
      </rPr>
      <t>KTBS</t>
    </r>
  </si>
  <si>
    <t>Zakup materiałów i wyposażenia  - RO</t>
  </si>
  <si>
    <t xml:space="preserve">Kary i odszkodowania wypłacane na rzecz osób prawnych i innych jednostek organizacyjnych </t>
  </si>
  <si>
    <t>Koszty postępowania sądowego i prokuratorskiego</t>
  </si>
  <si>
    <t>Wydatki inwestycyjne jednostek budżetowych</t>
  </si>
  <si>
    <t>Budowa budynku komunalnego</t>
  </si>
  <si>
    <t>Plany zagospodarowania przestrzennego</t>
  </si>
  <si>
    <r>
      <t xml:space="preserve">Zakup usług pozostałych - </t>
    </r>
    <r>
      <rPr>
        <i/>
        <sz val="9"/>
        <rFont val="Times New Roman CE"/>
        <family val="1"/>
      </rPr>
      <t>prace urbanistyczne</t>
    </r>
  </si>
  <si>
    <t>Składki na Fundusz Pracy</t>
  </si>
  <si>
    <t>Prace geodezyjne i kartograficzne (nieinwestycyjne)</t>
  </si>
  <si>
    <t>Krajowe podróże służbowe</t>
  </si>
  <si>
    <t>Cmentarze</t>
  </si>
  <si>
    <r>
      <t xml:space="preserve">Zakup usług pozostałych - </t>
    </r>
    <r>
      <rPr>
        <i/>
        <sz val="9"/>
        <rFont val="Times New Roman CE"/>
        <family val="1"/>
      </rPr>
      <t>z tytułu  porozumień</t>
    </r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</si>
  <si>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</si>
  <si>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Urzędy Wojewódzkie</t>
  </si>
  <si>
    <t xml:space="preserve"> </t>
  </si>
  <si>
    <t>Dotacje celowe przekazane dla powiatu na zadania bieżące realizowane na podstawie porozumień między j.s.t.</t>
  </si>
  <si>
    <t>Wynagrodzenia osobowe</t>
  </si>
  <si>
    <t>Składki na FP</t>
  </si>
  <si>
    <t>Rada Miejska</t>
  </si>
  <si>
    <t>Biuro Rady Miejskiej</t>
  </si>
  <si>
    <t xml:space="preserve">Nagrody o charakterze szczególnym niezaliczane do wynagrodzeń </t>
  </si>
  <si>
    <t>Podróże służbowe zagraniczne</t>
  </si>
  <si>
    <t>Młodzieżowa Rada Miasta</t>
  </si>
  <si>
    <t>Organizacyjno-Administr.</t>
  </si>
  <si>
    <t>Straż Miejska</t>
  </si>
  <si>
    <t>Rp</t>
  </si>
  <si>
    <t>BHP</t>
  </si>
  <si>
    <t>Różne wydatki na rzecz osób fizycznych - OA</t>
  </si>
  <si>
    <t xml:space="preserve">Wynagrodzenia agencyjno - prowizyjne </t>
  </si>
  <si>
    <r>
      <t>Wynagrodzenia agencyjno - prowizyjne</t>
    </r>
    <r>
      <rPr>
        <i/>
        <sz val="9"/>
        <rFont val="Times New Roman CE"/>
        <family val="1"/>
      </rPr>
      <t xml:space="preserve"> - IK</t>
    </r>
  </si>
  <si>
    <r>
      <t>Zakup materiałów i wyposażenia</t>
    </r>
    <r>
      <rPr>
        <i/>
        <sz val="9"/>
        <rFont val="Times New Roman CE"/>
        <family val="1"/>
      </rPr>
      <t xml:space="preserve"> </t>
    </r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</si>
  <si>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</si>
  <si>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</si>
  <si>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</si>
  <si>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</si>
  <si>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</si>
  <si>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>Zakup książek</t>
  </si>
  <si>
    <r>
      <t>Zakup usług remontowych (</t>
    </r>
    <r>
      <rPr>
        <i/>
        <sz val="9"/>
        <rFont val="Times New Roman CE"/>
        <family val="1"/>
      </rPr>
      <t xml:space="preserve"> w tym: 90,0 tys.zł - Inf)</t>
    </r>
  </si>
  <si>
    <t>Wydz. O- A</t>
  </si>
  <si>
    <t>Zakup usług pozostałych  w tym:</t>
  </si>
  <si>
    <t>Wydz. Komunikacja</t>
  </si>
  <si>
    <t>Wydz. PI (porozumienia)</t>
  </si>
  <si>
    <t>Wydz. Fk</t>
  </si>
  <si>
    <t>Biuro Zamówień Publicznych</t>
  </si>
  <si>
    <t>Inf.</t>
  </si>
  <si>
    <t>Zakup usług pozostałych - (PI porozumienia)</t>
  </si>
  <si>
    <r>
      <t xml:space="preserve">Opłaty za usługi internetowe - </t>
    </r>
    <r>
      <rPr>
        <i/>
        <sz val="9"/>
        <rFont val="Times New Roman CE"/>
        <family val="1"/>
      </rPr>
      <t>Inf</t>
    </r>
  </si>
  <si>
    <r>
      <t xml:space="preserve">Opłaty za usługi internetowe - </t>
    </r>
    <r>
      <rPr>
        <i/>
        <sz val="9"/>
        <rFont val="Times New Roman CE"/>
        <family val="1"/>
      </rPr>
      <t>BZP</t>
    </r>
  </si>
  <si>
    <r>
      <t>Podróże służbowe zagraniczne -</t>
    </r>
    <r>
      <rPr>
        <i/>
        <sz val="9"/>
        <rFont val="Times New Roman CE"/>
        <family val="1"/>
      </rPr>
      <t xml:space="preserve"> RWZ</t>
    </r>
  </si>
  <si>
    <r>
      <t>Koszty postępowania sądowego -</t>
    </r>
    <r>
      <rPr>
        <i/>
        <sz val="9"/>
        <rFont val="Times New Roman CE"/>
        <family val="1"/>
      </rPr>
      <t xml:space="preserve"> Rp</t>
    </r>
  </si>
  <si>
    <r>
      <t>Koszty postępowania sądowego -</t>
    </r>
    <r>
      <rPr>
        <i/>
        <sz val="9"/>
        <rFont val="Times New Roman CE"/>
        <family val="1"/>
      </rPr>
      <t xml:space="preserve"> Fk</t>
    </r>
  </si>
  <si>
    <t xml:space="preserve">Wydatki na zakupy inwestycyjne jednostek budżetowych             </t>
  </si>
  <si>
    <t xml:space="preserve">Komisje poborowe </t>
  </si>
  <si>
    <r>
      <t xml:space="preserve">Zakup usług pozostałych </t>
    </r>
    <r>
      <rPr>
        <i/>
        <sz val="9"/>
        <rFont val="Times New Roman CE"/>
        <family val="1"/>
      </rPr>
      <t>- wynajem pomieszczeń</t>
    </r>
  </si>
  <si>
    <r>
      <t xml:space="preserve">Zakup usług pozostałych </t>
    </r>
    <r>
      <rPr>
        <i/>
        <sz val="9"/>
        <rFont val="Times New Roman CE"/>
        <family val="1"/>
      </rPr>
      <t>- ekspertyzy lekarskie</t>
    </r>
  </si>
  <si>
    <t xml:space="preserve">Spis powszechny i inne </t>
  </si>
  <si>
    <t>Pozostała działalność R O</t>
  </si>
  <si>
    <t>Zakup usług  pozostałych</t>
  </si>
  <si>
    <r>
      <t>Zakup pozostałych usług -</t>
    </r>
    <r>
      <rPr>
        <i/>
        <sz val="9"/>
        <rFont val="Times New Roman CE"/>
        <family val="1"/>
      </rPr>
      <t xml:space="preserve"> czynsze</t>
    </r>
  </si>
  <si>
    <r>
      <t>Nagrody i wydatki osobowe nie zaliczane do wynagrodzeń -</t>
    </r>
    <r>
      <rPr>
        <i/>
        <sz val="9"/>
        <rFont val="Times New Roman CE"/>
        <family val="1"/>
      </rPr>
      <t xml:space="preserve"> USC</t>
    </r>
  </si>
  <si>
    <r>
      <t xml:space="preserve">Nagrody o charakterze szczególnym niezaliczane do wynagrodzeń - </t>
    </r>
    <r>
      <rPr>
        <i/>
        <sz val="9"/>
        <rFont val="Times New Roman CE"/>
        <family val="1"/>
      </rPr>
      <t>USC</t>
    </r>
  </si>
  <si>
    <r>
      <t>Nagrody o charakterze szczególnym niezaliczane do wynagrodzeń -</t>
    </r>
    <r>
      <rPr>
        <i/>
        <sz val="9"/>
        <rFont val="Times New Roman CE"/>
        <family val="1"/>
      </rPr>
      <t xml:space="preserve"> PI</t>
    </r>
  </si>
  <si>
    <r>
      <t xml:space="preserve">Składki na ubezpieczenia społeczne - </t>
    </r>
    <r>
      <rPr>
        <i/>
        <sz val="9"/>
        <rFont val="Times New Roman CE"/>
        <family val="1"/>
      </rPr>
      <t>RWZ</t>
    </r>
  </si>
  <si>
    <r>
      <t xml:space="preserve">Składki na FP </t>
    </r>
    <r>
      <rPr>
        <i/>
        <sz val="9"/>
        <rFont val="Times New Roman CE"/>
        <family val="1"/>
      </rPr>
      <t>- RWZ</t>
    </r>
  </si>
  <si>
    <r>
      <t xml:space="preserve">Wynagrodzenia bezosobowe </t>
    </r>
    <r>
      <rPr>
        <i/>
        <sz val="9"/>
        <rFont val="Times New Roman CE"/>
        <family val="1"/>
      </rPr>
      <t>-RWZ</t>
    </r>
  </si>
  <si>
    <r>
      <t>Zakupy materiałów i wyposażenia -</t>
    </r>
    <r>
      <rPr>
        <i/>
        <sz val="9"/>
        <rFont val="Times New Roman CE"/>
        <family val="1"/>
      </rPr>
      <t xml:space="preserve"> PI</t>
    </r>
  </si>
  <si>
    <r>
      <t>Zakupy materiałów i wyposażenia -</t>
    </r>
    <r>
      <rPr>
        <i/>
        <sz val="9"/>
        <rFont val="Times New Roman CE"/>
        <family val="1"/>
      </rPr>
      <t xml:space="preserve"> RWZ</t>
    </r>
  </si>
  <si>
    <r>
      <t xml:space="preserve">Zakup pozostałych usług </t>
    </r>
    <r>
      <rPr>
        <i/>
        <sz val="9"/>
        <rFont val="Times New Roman CE"/>
        <family val="1"/>
      </rPr>
      <t>- RWZ</t>
    </r>
  </si>
  <si>
    <r>
      <t>Zakup pozostałych usług -</t>
    </r>
    <r>
      <rPr>
        <i/>
        <sz val="9"/>
        <rFont val="Times New Roman CE"/>
        <family val="1"/>
      </rPr>
      <t xml:space="preserve">PI  </t>
    </r>
  </si>
  <si>
    <r>
      <t>Zakup usług pozostałych  -</t>
    </r>
    <r>
      <rPr>
        <i/>
        <sz val="9"/>
        <rFont val="Times New Roman CE"/>
        <family val="1"/>
      </rPr>
      <t xml:space="preserve"> PWZ</t>
    </r>
  </si>
  <si>
    <r>
      <t xml:space="preserve">Zakup usług pozostałych - </t>
    </r>
    <r>
      <rPr>
        <i/>
        <sz val="9"/>
        <rFont val="Times New Roman CE"/>
        <family val="1"/>
      </rPr>
      <t xml:space="preserve">prace urbanistyczne </t>
    </r>
  </si>
  <si>
    <t>Zakup pozostałych usług prowizje za pobór opłaty targowej</t>
  </si>
  <si>
    <r>
      <t>Opłaty za usługi internetowe -</t>
    </r>
    <r>
      <rPr>
        <i/>
        <sz val="9"/>
        <rFont val="Times New Roman CE"/>
        <family val="1"/>
      </rPr>
      <t xml:space="preserve"> PI</t>
    </r>
  </si>
  <si>
    <r>
      <t>Różne opłaty i składki -  R</t>
    </r>
    <r>
      <rPr>
        <i/>
        <sz val="9"/>
        <rFont val="Times New Roman CE"/>
        <family val="1"/>
      </rPr>
      <t>WZ</t>
    </r>
  </si>
  <si>
    <r>
      <t xml:space="preserve">Wydatki na zakupy inwestycyjne jednostek budżetowych - </t>
    </r>
    <r>
      <rPr>
        <i/>
        <sz val="9"/>
        <rFont val="Times New Roman CE"/>
        <family val="1"/>
      </rPr>
      <t xml:space="preserve"> PWZ</t>
    </r>
  </si>
  <si>
    <t>Dotacja celowa z budżetu  lub dofinansowanie zadań zleconych do realizacji fundacjom</t>
  </si>
  <si>
    <t xml:space="preserve"> - dofinansowanie Regionalnego Centrum Informacji Europejskiej - RCIE</t>
  </si>
  <si>
    <t xml:space="preserve"> - dofinansowanie działalności CIP</t>
  </si>
  <si>
    <t>Urzędy naczelnych organów władzy państwowej, kontroli i ochrony prawa</t>
  </si>
  <si>
    <t xml:space="preserve">Składki na FP </t>
  </si>
  <si>
    <t xml:space="preserve">Zakup materiałów i wyposażenia </t>
  </si>
  <si>
    <t xml:space="preserve">Zakup pozostałych usług </t>
  </si>
  <si>
    <t>Wybory do rad gmin, rad powiatów i sejmików województw oraz referenda gminne, powiatowe i wojewódzkie</t>
  </si>
  <si>
    <t xml:space="preserve">Nagrody i wydatki osobowe nie zaliczane do wynagrodzeń </t>
  </si>
  <si>
    <t>Referenda ogólnokrajowe i konstytucyjne</t>
  </si>
  <si>
    <t>Pozostałe wydatki obronne</t>
  </si>
  <si>
    <t>Zakup pomocy nauk., dydaktycznych i książek</t>
  </si>
  <si>
    <t>Komendy powiatowe Policji</t>
  </si>
  <si>
    <t xml:space="preserve">Wynagrodzenia osobowe pracowników </t>
  </si>
  <si>
    <t>Wynagrodzenia osobowe członków korpusu cywilnego</t>
  </si>
  <si>
    <t>Uposażenia funkcjonariuszy</t>
  </si>
  <si>
    <t>Pozostałe należności funkcjonariuszy</t>
  </si>
  <si>
    <t>Nagrody roczne funkcjonariuszy</t>
  </si>
  <si>
    <t>Uposażenia oraz świadczenia pieniężne wypłacane przez okres roku funkcjonariuszom zwolnionym ze służby</t>
  </si>
  <si>
    <t>Zakup środków żywności</t>
  </si>
  <si>
    <t>Zakup sprzętu i uzbrojenia</t>
  </si>
  <si>
    <t>Wpłaty jednostek na rzecz środków specjalnych</t>
  </si>
  <si>
    <t>Odpisy na ZFSS</t>
  </si>
  <si>
    <t>Pozostałe podatki na rzecz budżetów jst</t>
  </si>
  <si>
    <t>Opłaty na rzecz budżetu państwa</t>
  </si>
  <si>
    <t>Opłaty na rzecz budżetów jednostek samorządu terytorialnego</t>
  </si>
  <si>
    <t>Odsetki od nieterminowych wpłat z tytułu podatków i opłat</t>
  </si>
  <si>
    <t>Wydatki na zakupy inwestycyjne jednostek budżetowych</t>
  </si>
  <si>
    <t>Wpłaty jednostek na fundusz celowy na finansowanie lub dofinansowanie zadań inwestycyjnychrzecz środków specjalnych</t>
  </si>
  <si>
    <t>Wydatki osobowe niezaliczane do uposażeń wypłacane żołnierzom i funkcjonariuszom</t>
  </si>
  <si>
    <t>Uposazenia, świadczenia pieniężne wypłacane przez okres roku żoł. i funkcjon. zwolnionym ze służby</t>
  </si>
  <si>
    <t>Równoważniki pieniężne i ekwiwalenty dla żołnierzy i funkcjonariuszy</t>
  </si>
  <si>
    <t>Zakup sprzętu i ubrojenia</t>
  </si>
  <si>
    <t>Odpisy na ZFŚS</t>
  </si>
  <si>
    <t>Pozostałe podatki na rzecz budżetów jednostek samorządu terytorialnego</t>
  </si>
  <si>
    <t>Opłaty na rzecz jednostek samorządu terytorialnego</t>
  </si>
  <si>
    <t>Dotacja celowa z budżetu  lub dofinansowanie zadań zleconych do realizacji stowarzyszeniom</t>
  </si>
  <si>
    <r>
      <t xml:space="preserve">Wydatki na zakupy inwestycyjne jednostek budżetowych - </t>
    </r>
    <r>
      <rPr>
        <i/>
        <sz val="9"/>
        <rFont val="Times New Roman CE"/>
        <family val="1"/>
      </rPr>
      <t>zakup projektu multimedialnego</t>
    </r>
  </si>
  <si>
    <r>
      <t>Zakup pozostałych usług -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Zintegrowany System Ratownictwa</t>
    </r>
  </si>
  <si>
    <t>Pobór podatków, opłat i niepodatkowych należności budżetowych</t>
  </si>
  <si>
    <r>
      <t xml:space="preserve">Wynagrodzenia osobowe pracowników - IK </t>
    </r>
    <r>
      <rPr>
        <i/>
        <sz val="9"/>
        <rFont val="Times New Roman CE"/>
        <family val="1"/>
      </rPr>
      <t>(inkasenci)</t>
    </r>
  </si>
  <si>
    <r>
      <t>Wynagrodzenia agencyjno - prowizyjne -</t>
    </r>
    <r>
      <rPr>
        <i/>
        <sz val="9"/>
        <rFont val="Times New Roman CE"/>
        <family val="1"/>
      </rPr>
      <t xml:space="preserve"> Fk</t>
    </r>
  </si>
  <si>
    <r>
      <t>Wynagrodzenia agencyjno - prowizyjne</t>
    </r>
    <r>
      <rPr>
        <i/>
        <sz val="9"/>
        <rFont val="Times New Roman CE"/>
        <family val="1"/>
      </rPr>
      <t xml:space="preserve"> IK</t>
    </r>
  </si>
  <si>
    <r>
      <t xml:space="preserve">Składki na ubezpieczenia społeczne -  </t>
    </r>
    <r>
      <rPr>
        <i/>
        <sz val="9"/>
        <rFont val="Times New Roman CE"/>
        <family val="1"/>
      </rPr>
      <t>IK</t>
    </r>
  </si>
  <si>
    <r>
      <t>Składki na ubezpieczenia społeczne -</t>
    </r>
    <r>
      <rPr>
        <i/>
        <sz val="9"/>
        <rFont val="Times New Roman CE"/>
        <family val="1"/>
      </rPr>
      <t xml:space="preserve"> Fk</t>
    </r>
  </si>
  <si>
    <r>
      <t>Składki na FP -</t>
    </r>
    <r>
      <rPr>
        <i/>
        <sz val="9"/>
        <rFont val="Times New Roman CE"/>
        <family val="1"/>
      </rPr>
      <t xml:space="preserve"> IK</t>
    </r>
  </si>
  <si>
    <r>
      <t xml:space="preserve">Składki na FP - </t>
    </r>
    <r>
      <rPr>
        <i/>
        <sz val="9"/>
        <rFont val="Times New Roman CE"/>
        <family val="1"/>
      </rPr>
      <t xml:space="preserve"> Fk</t>
    </r>
  </si>
  <si>
    <t>Wynagrodzenia bezosobowe - IK</t>
  </si>
  <si>
    <r>
      <t>Zakup usług pozostałych -</t>
    </r>
    <r>
      <rPr>
        <i/>
        <sz val="9"/>
        <rFont val="Times New Roman CE"/>
        <family val="1"/>
      </rPr>
      <t xml:space="preserve"> Fk</t>
    </r>
  </si>
  <si>
    <r>
      <t xml:space="preserve">Zakup usług pozostałych - </t>
    </r>
    <r>
      <rPr>
        <i/>
        <sz val="9"/>
        <rFont val="Times New Roman CE"/>
        <family val="1"/>
      </rPr>
      <t>IK</t>
    </r>
  </si>
  <si>
    <t>Obsługa kredytów podmiotów krajowych</t>
  </si>
  <si>
    <t>Odsetki i dyskonto od krajowych skarbowych papierów wartościowych oraz pożyczek i kredytów</t>
  </si>
  <si>
    <t>Część równoważąca subwencji ogólnej dla powiatów</t>
  </si>
  <si>
    <t>Wpłaty jednostek samorządu terytorialnego do budżetu państwa</t>
  </si>
  <si>
    <t>Rezerwy ogólne i celowe</t>
  </si>
  <si>
    <t>Rezerwy celowa na programy UE</t>
  </si>
  <si>
    <t>Rezerwa ogólna do 1% wydatków</t>
  </si>
  <si>
    <t>Dotacja podmiotowa z budżetu dla niepublicznej jednostki systemu oświaty</t>
  </si>
  <si>
    <t>Wydatki osobowe nie zaliczOne do wynagrodzeń</t>
  </si>
  <si>
    <t>Zakupy pomocy naukowych, dydaktycznych i książek</t>
  </si>
  <si>
    <t>Zakup usług dostępu do sieci Internet</t>
  </si>
  <si>
    <t>Odsetki od nieterminowych wpłat z tytułu pozostałych podatków i opłat</t>
  </si>
  <si>
    <t>Budowa sali gimnastycznej przy Sz.P. Nr 9</t>
  </si>
  <si>
    <t>Boisko Sz.P. Nr 3</t>
  </si>
  <si>
    <t>Szkoły podstawowe specjalne</t>
  </si>
  <si>
    <t>Składki na ubezpieczenia zdrowotne</t>
  </si>
  <si>
    <t>Wydatki osobowe nie zaliczone do wynagrodzeń</t>
  </si>
  <si>
    <t xml:space="preserve">Przedszkola </t>
  </si>
  <si>
    <t>Przedszkola specjalne</t>
  </si>
  <si>
    <t>Zakup pomocy naukowych, dydakt. i książek</t>
  </si>
  <si>
    <t>Gimnazja specjalne</t>
  </si>
  <si>
    <t>Zakup usług remont. KS</t>
  </si>
  <si>
    <t>Licea profilowane</t>
  </si>
  <si>
    <t xml:space="preserve">Szkoły zawodowe </t>
  </si>
  <si>
    <t>Zasądzone renty</t>
  </si>
  <si>
    <t>Wpłata na PFRON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</si>
  <si>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</si>
  <si>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</si>
  <si>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</si>
  <si>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</si>
  <si>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</si>
  <si>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Dotacja podmiotowa dla zakładu budżetowego</t>
  </si>
  <si>
    <r>
      <t>Zakup usług pozostałych -</t>
    </r>
    <r>
      <rPr>
        <i/>
        <sz val="9"/>
        <rFont val="Times New Roman CE"/>
        <family val="1"/>
      </rPr>
      <t xml:space="preserve"> doskonalenie</t>
    </r>
  </si>
  <si>
    <t>Zespół Obsługi Ekonomiczno Administracyjnej Przedszkoli Miejskich</t>
  </si>
  <si>
    <t>Zajęcia pozalekcyjne</t>
  </si>
  <si>
    <t>Stypendia oraz inne formy pomocy dla uczniów</t>
  </si>
  <si>
    <r>
      <t xml:space="preserve">Wydatki osobowe nie zaliczone do wynagrodzeń </t>
    </r>
    <r>
      <rPr>
        <i/>
        <sz val="9"/>
        <rFont val="Times New Roman CE"/>
        <family val="1"/>
      </rPr>
      <t>(choroby zawodowe, odprawy z przyczyn pracodawcy)</t>
    </r>
  </si>
  <si>
    <r>
      <t>Wynagrodzenia osobowe pracowników -</t>
    </r>
    <r>
      <rPr>
        <i/>
        <sz val="9"/>
        <rFont val="Times New Roman CE"/>
        <family val="1"/>
      </rPr>
      <t xml:space="preserve"> awanse zawodowe nauczycieli</t>
    </r>
  </si>
  <si>
    <r>
      <t xml:space="preserve">Wynagrodzenia osobowe pracowników - </t>
    </r>
    <r>
      <rPr>
        <i/>
        <sz val="9"/>
        <rFont val="Times New Roman CE"/>
        <family val="1"/>
      </rPr>
      <t>odprawy emerytalne</t>
    </r>
  </si>
  <si>
    <r>
      <t xml:space="preserve">Zakup usług pozostałych - </t>
    </r>
    <r>
      <rPr>
        <i/>
        <sz val="9"/>
        <rFont val="Times New Roman CE"/>
        <family val="1"/>
      </rPr>
      <t>legitymacje PKP</t>
    </r>
  </si>
  <si>
    <t>nauka pływania</t>
  </si>
  <si>
    <t>opłata praktycznej nauki zawodu</t>
  </si>
  <si>
    <t>przewóz dzieci z Ukrainy</t>
  </si>
  <si>
    <t xml:space="preserve">badania uczniów </t>
  </si>
  <si>
    <t>"Poprawa bazy dydaktycznej"</t>
  </si>
  <si>
    <t>klasy dziennikarskie</t>
  </si>
  <si>
    <t>współudział w targach zawodoanawczych</t>
  </si>
  <si>
    <t>organizacja konkursów, olimpiad, itp.</t>
  </si>
  <si>
    <t>czynsz za siedzibę MKPOiW NSZZ "Solidarność", ZNP</t>
  </si>
  <si>
    <t>Odpis na ZFŚS emerytów</t>
  </si>
  <si>
    <r>
      <t xml:space="preserve">Dotacja podmiotowa z budżetu dla niepublicznej szkoły lub innej placówki oświat-wych </t>
    </r>
    <r>
      <rPr>
        <i/>
        <sz val="9"/>
        <rFont val="Times New Roman CE"/>
        <family val="1"/>
      </rPr>
      <t>(nauka pływania)</t>
    </r>
  </si>
  <si>
    <t>Dotacja podmiotowa z budżetu dla instytucji kultury</t>
  </si>
  <si>
    <t>Dotacja celowa z budżetu na finansowanie i dofinansowanie zadań zleconych do realizacji stowarzyszeniom OP</t>
  </si>
  <si>
    <t xml:space="preserve">SZKOLNICTWO WYŻSZE </t>
  </si>
  <si>
    <t>Pomoc materialna dla studentów</t>
  </si>
  <si>
    <t>Stypendia i zasiłki dla studentów</t>
  </si>
  <si>
    <t>Nagrody o charakterze szczególnym niezaliczane do wynagrodzeń</t>
  </si>
  <si>
    <t>Dotacje celowe przekazane do samorządu województwa na zadania bieżące realizowane na podstawie porozumień między j.s.t.</t>
  </si>
  <si>
    <t>Dotacja przedmiotowa z budżetu dla pozostałych jednostek sektora  finansów publicznych</t>
  </si>
  <si>
    <t>Dotacja podmiotowa z budżetu dla pozostałych jednostek sektora  finansów publicznych</t>
  </si>
  <si>
    <r>
      <t xml:space="preserve">Dotacja przedmiotowa z budżetu dla pozostałych jednostek sektora finansów publicznych - </t>
    </r>
    <r>
      <rPr>
        <i/>
        <sz val="9"/>
        <rFont val="Times New Roman CE"/>
        <family val="1"/>
      </rPr>
      <t>realizacja "Programu zwalczania narkomanii".</t>
    </r>
  </si>
  <si>
    <t>Dotacja podmiotowa z budżetu dla pozostałych jednostek sektora  finansów publicznych- realizacja "Programu zwalczania narkomanii".</t>
  </si>
  <si>
    <t>Zakup pomocy naukowych, naukowo - dydaktycznych i książek</t>
  </si>
  <si>
    <t xml:space="preserve">Składki na ubezpieczenia zdrowotne  oraz świadczenia dla osób nie objętych obowiązkiem ubezpieczenia zdrowotnego  </t>
  </si>
  <si>
    <t>Izby Wytrzeźwień</t>
  </si>
  <si>
    <r>
      <t xml:space="preserve">Zakup usług zdrowotnych - </t>
    </r>
    <r>
      <rPr>
        <i/>
        <sz val="9"/>
        <rFont val="Times New Roman CE"/>
        <family val="1"/>
      </rPr>
      <t>badania lekarskie</t>
    </r>
  </si>
  <si>
    <t>Opłata na rzecz budżetu jednostek samorz. terytor.</t>
  </si>
  <si>
    <t>Dotacja przedmiotowa z budżetu otrzymana przez pozostałe jednostki sektora finansów publicznych - na likwidację barier architektonicznych</t>
  </si>
  <si>
    <t>Zakup materiałów i wyposożenia</t>
  </si>
  <si>
    <t>Koszty postępowania sądowego i prokuratorskie</t>
  </si>
  <si>
    <t>Placówki opiekuńczo-wychowawcze -Rodzinne Domy Dziecka</t>
  </si>
  <si>
    <t>Dotacja celowa z budżetu lub dofinansowanie zadań zleconych do realizacji stowarzyszeniom</t>
  </si>
  <si>
    <t>Świadczenia społeczne</t>
  </si>
  <si>
    <t>Zakup usług zdrowotnych - badania lekarskie</t>
  </si>
  <si>
    <t>Zakup usług przez j.s.t. od innych j.s.t.</t>
  </si>
  <si>
    <t>Domy pomocy społecznej</t>
  </si>
  <si>
    <t>"Złoty Wiek"</t>
  </si>
  <si>
    <t>Hotel dla bezdomnych "Przytulisko"</t>
  </si>
  <si>
    <t>"Odrodzenie" - ŚDS 1</t>
  </si>
  <si>
    <t>Środowiskowy Dom Samopomocy dla osób z Zaburzeniami Umysłowymi</t>
  </si>
  <si>
    <t>Rodziny zastępcze</t>
  </si>
  <si>
    <t>Świadczenia rodzinne oraz składki na ubezpieczenia emerytalne i rentowe z ubezpieczenia społecznego</t>
  </si>
  <si>
    <t>Dodotkowe wynagrodzenia roczne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</si>
  <si>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</si>
  <si>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</si>
  <si>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</si>
  <si>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</si>
  <si>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>Podatek od towarów i usług VAT</t>
  </si>
  <si>
    <t xml:space="preserve">Koszty postępowania sądowego i prokuratorskiego </t>
  </si>
  <si>
    <t xml:space="preserve">niewłaściwe obciążenia </t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</si>
  <si>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- zestawów komputerowych </t>
    </r>
  </si>
  <si>
    <t>Jednostki specjalistyczne poradnictwa, mieszkania chronione i ośrodki  interwencji kryzysowej</t>
  </si>
  <si>
    <t xml:space="preserve">Podróże służbowe krajowe </t>
  </si>
  <si>
    <t>Usługi opiekuńcze i specjalistyczne usługi opiekuńcze</t>
  </si>
  <si>
    <t>Pomoc dla repatriantów</t>
  </si>
  <si>
    <t>Dotacja celowa z budżetu na finansowanie lub dofinansowanie zadań zleconych do realizacji stowarzyszeniom</t>
  </si>
  <si>
    <t>Stowarzyszenie Rencistów i Emerytów "Otwarte Serca"</t>
  </si>
  <si>
    <t>Stowarzyszenie na Rzecz Osób z Upośledzeniem Umysłowym</t>
  </si>
  <si>
    <r>
      <t xml:space="preserve">Zakup materiałów i wyposażenia - </t>
    </r>
    <r>
      <rPr>
        <i/>
        <sz val="9"/>
        <rFont val="Times New Roman CE"/>
        <family val="1"/>
      </rPr>
      <t>RO</t>
    </r>
  </si>
  <si>
    <t>Zakup materiałów i wyposażenia - KS</t>
  </si>
  <si>
    <r>
      <t>Zakup usług pozostałych -</t>
    </r>
    <r>
      <rPr>
        <i/>
        <sz val="9"/>
        <rFont val="Times New Roman CE"/>
        <family val="1"/>
      </rPr>
      <t xml:space="preserve"> RO</t>
    </r>
  </si>
  <si>
    <t>Zakup usług pozostałych KS</t>
  </si>
  <si>
    <t>Zakup usług pozostałych OP</t>
  </si>
  <si>
    <t xml:space="preserve">Dotacje celowe z budżetu na finansowanie lub dofinansowanie kosztów realizacji inwestycji i zakupów inwestycyjnych jednostek nie zaliczanych do sektora finansów publicznych </t>
  </si>
  <si>
    <t>Porozumienia - MOPS, Ośrodek A -O</t>
  </si>
  <si>
    <t xml:space="preserve">POZOSTAŁE ZADANIA W ZAKRESIE POLITYKI SPOŁECZNEJ </t>
  </si>
  <si>
    <t>Rehabilitacja zawodowa i społeczna osób niepełnosprawnych</t>
  </si>
  <si>
    <t>Zakup usług pozostałych - WTZ</t>
  </si>
  <si>
    <t>Zespoły ds orzekania o stopniu niepełnosprawności</t>
  </si>
  <si>
    <t>Świetlice szkolne</t>
  </si>
  <si>
    <t>Specjalne ośrodki szkolno-wychowawcze</t>
  </si>
  <si>
    <t>Zakup pomocy naukowych, dydakt. książek</t>
  </si>
  <si>
    <t>Jednostki pomocnicze szkolnictwa (Miejska Poradnia Psychologiczno - Pedagogiczna)</t>
  </si>
  <si>
    <t>Zakup pomocy naukowych, dydakt.i książek</t>
  </si>
  <si>
    <t>Placówki wychowania pozaszkolnego</t>
  </si>
  <si>
    <t>Wydatki inwestycyjne jednostek budżetowych - E</t>
  </si>
  <si>
    <t>Pomoc materialna dla uczniów</t>
  </si>
  <si>
    <t xml:space="preserve">Stypendia oraz inne formy pomocy dla uczniów </t>
  </si>
  <si>
    <t>Szkolne Schroniska Młodzieżowe</t>
  </si>
  <si>
    <t>Stołówki szkolne</t>
  </si>
  <si>
    <t>Pozostałe wydatki</t>
  </si>
  <si>
    <r>
      <t xml:space="preserve">Dotacja celowa z budżetu na finansowanie  lub dofinansowanie zadań zleconych do realizacji stowarzyszeniom - </t>
    </r>
    <r>
      <rPr>
        <i/>
        <sz val="9"/>
        <rFont val="Times New Roman CE"/>
        <family val="1"/>
      </rPr>
      <t xml:space="preserve">czynsz </t>
    </r>
  </si>
  <si>
    <r>
      <t>Wynagrodzenia osobowe pracowników -</t>
    </r>
    <r>
      <rPr>
        <i/>
        <sz val="9"/>
        <rFont val="Times New Roman CE"/>
        <family val="1"/>
      </rPr>
      <t xml:space="preserve"> odprawy emerytalne</t>
    </r>
  </si>
  <si>
    <r>
      <t xml:space="preserve">Zakup materiałów i wyposażenia  </t>
    </r>
    <r>
      <rPr>
        <i/>
        <sz val="9"/>
        <rFont val="Times New Roman CE"/>
        <family val="1"/>
      </rPr>
      <t>RO</t>
    </r>
  </si>
  <si>
    <r>
      <t>Zakup usług pozostałych</t>
    </r>
    <r>
      <rPr>
        <i/>
        <sz val="9"/>
        <rFont val="Times New Roman CE"/>
        <family val="1"/>
      </rPr>
      <t xml:space="preserve"> RO</t>
    </r>
  </si>
  <si>
    <t>GOSPODARKA KOMUNALNA  I  OCHRONA ŚRODOWISKA</t>
  </si>
  <si>
    <t>Gospodarka ściekowa i ochrona wód</t>
  </si>
  <si>
    <t>1. Oczyszczalnia ścieków w Jamnie</t>
  </si>
  <si>
    <t>2. Uzbrojenie oś. "Unii Europejskiej"</t>
  </si>
  <si>
    <t>3. Kolektor XXVI</t>
  </si>
  <si>
    <t>4. Uzbrojenie osiedla " Podgórne-Batalionów Chłopskich"</t>
  </si>
  <si>
    <t>5. Kolektor sanitarny "A" - II etap</t>
  </si>
  <si>
    <t>6. Kanalizacja sanitarna w ul.Zwycięstwa (przy ul.Zdobywców Wału Pomorskiego)</t>
  </si>
  <si>
    <t>7. Uzbrojenie ul.Zdobywców Wału Pomorskiego - odcinek ul. Wopistów do ul. Sanatoryjnej</t>
  </si>
  <si>
    <t>8. Uzbrojenie ul.Zdobywców Wału Pomorskiego - odcinek ul. Sianowskiej do ul. Słonecznej</t>
  </si>
  <si>
    <t>Oczyszczanie miast i wsi</t>
  </si>
  <si>
    <t>Utrzymanie zieleni w miastach i gminach</t>
  </si>
  <si>
    <r>
      <t xml:space="preserve">Zakup usług pozostałych </t>
    </r>
    <r>
      <rPr>
        <i/>
        <sz val="9"/>
        <rFont val="Times New Roman CE"/>
        <family val="1"/>
      </rPr>
      <t>(w tym: 30,0 tys.zł - RO)</t>
    </r>
  </si>
  <si>
    <t>Schroniska dla zwierząt</t>
  </si>
  <si>
    <r>
      <t xml:space="preserve">Zakup usług pozostałych - </t>
    </r>
    <r>
      <rPr>
        <i/>
        <sz val="9"/>
        <rFont val="Times New Roman CE"/>
        <family val="1"/>
      </rPr>
      <t>bieżące utrzymanie</t>
    </r>
  </si>
  <si>
    <t>Oświetlenie ulic, placów i dróg</t>
  </si>
  <si>
    <t xml:space="preserve">Zakup usług remontowych </t>
  </si>
  <si>
    <t xml:space="preserve"> 1. Porządkowanie terenów i wysypisk</t>
  </si>
  <si>
    <t>2. Utrzymanie szaletów</t>
  </si>
  <si>
    <t>3. Rozbiórka szaletów - likwidacja szaletu przy ul.Andersa</t>
  </si>
  <si>
    <t>4. Estetyzacja</t>
  </si>
  <si>
    <t>5. Ogłoszenia prasowe</t>
  </si>
  <si>
    <t>6. Opracowania, ekspertyzy, opinie, organizacja przetargów</t>
  </si>
  <si>
    <t>7. Nagrody w konkursie ekologicznym</t>
  </si>
  <si>
    <t>1.Uzbrojenie terenów pod spółdzielcze budownictwo mieszkaniowe</t>
  </si>
  <si>
    <t>2. Magistrala wodociągowa do Dzierżęcina</t>
  </si>
  <si>
    <t>3. Rozbudowa cmentarza komunalnego</t>
  </si>
  <si>
    <t>4. Dokumentacja pod przyszłe inwestycje</t>
  </si>
  <si>
    <t>5. Uzbrojenie ulicy Szczecińskiej</t>
  </si>
  <si>
    <t>6. Wydatki na inwestycje zakończone</t>
  </si>
  <si>
    <t xml:space="preserve">Dotacje celowe z budżetu na finansowanie  lub dofinansowanie  inwestycji i zakupów inwestycyjnych jednostek nie zaliczanych do sektora finansów publicznych </t>
  </si>
  <si>
    <t xml:space="preserve"> SKB ul.Rodła</t>
  </si>
  <si>
    <t xml:space="preserve"> SKB "Os. 4-go Marca"</t>
  </si>
  <si>
    <t xml:space="preserve"> SKB  "Bałtyk"</t>
  </si>
  <si>
    <t xml:space="preserve"> SKB ul.Wawozowej</t>
  </si>
  <si>
    <t xml:space="preserve"> SKB Osiedla Unii Europejskiej</t>
  </si>
  <si>
    <t xml:space="preserve"> SKB Osiedle Parkowe</t>
  </si>
  <si>
    <t xml:space="preserve"> SKB ul. Artylerzystów</t>
  </si>
  <si>
    <t xml:space="preserve"> SKB Osiedle Piaskowe</t>
  </si>
  <si>
    <t xml:space="preserve"> SKB ul. Malw i Szafirków</t>
  </si>
  <si>
    <t xml:space="preserve"> SKB ul. Pankracego</t>
  </si>
  <si>
    <t xml:space="preserve"> SKB ul. Żytniej</t>
  </si>
  <si>
    <t xml:space="preserve"> SKB ul. Maków</t>
  </si>
  <si>
    <t xml:space="preserve"> SKB ul. Kupieckiej</t>
  </si>
  <si>
    <t>Wydatki na zakup i objęcie akcji oraz wniesienie wkładów do spółek prawa handlowego (PGK)</t>
  </si>
  <si>
    <t>Zadania w zakresie kinematografii</t>
  </si>
  <si>
    <t xml:space="preserve">Dotacja podmiotowa z budżetu dla instytucji kultury  </t>
  </si>
  <si>
    <r>
      <t xml:space="preserve">Zakup usług pozostałych - </t>
    </r>
    <r>
      <rPr>
        <i/>
        <sz val="9"/>
        <rFont val="Times New Roman CE"/>
        <family val="1"/>
      </rPr>
      <t xml:space="preserve">organizacja różnych imprez </t>
    </r>
  </si>
  <si>
    <t>Dotacja celowa z budżetu na finansowanie lub dofinansowanie zadań zleconych do realizacji stowarzyszeniom OP</t>
  </si>
  <si>
    <t>Dotacja podmiotowa z budżetu dla samorządowej instytucji kultury w tym:</t>
  </si>
  <si>
    <t>działalność bieżąca</t>
  </si>
  <si>
    <t>zakup zestawu komputerowego</t>
  </si>
  <si>
    <t>zakup miksera i minidisca</t>
  </si>
  <si>
    <t xml:space="preserve">Dotacja podmiotowa z budżetu dla samorządowej instytucji kultury w tym:  </t>
  </si>
  <si>
    <t>38 Międzynarodowy Festiwal Organowy</t>
  </si>
  <si>
    <t>"Lato Muzyczne z Filharmonią"</t>
  </si>
  <si>
    <t>MOK - gmina</t>
  </si>
  <si>
    <t>na imprezy</t>
  </si>
  <si>
    <t>wynajem ekranu didiodowego (telebim)</t>
  </si>
  <si>
    <t>wynajem sali w BTD na organizację MUZYKORAMY</t>
  </si>
  <si>
    <t>dożynki powiatowe</t>
  </si>
  <si>
    <t>remont projektorów w sali kinowej KBP</t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</si>
  <si>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Times New Roman CE"/>
        <family val="1"/>
      </rPr>
      <t>modernizacja budynku MOK</t>
    </r>
  </si>
  <si>
    <t xml:space="preserve">Modernizacja budynku MOK </t>
  </si>
  <si>
    <r>
      <t>Wydatki inwestycyjne jednostek budżetowych -</t>
    </r>
    <r>
      <rPr>
        <i/>
        <sz val="8"/>
        <rFont val="Times New Roman CE"/>
        <family val="1"/>
      </rPr>
      <t>MDK</t>
    </r>
  </si>
  <si>
    <t>remont w filii Nr 12</t>
  </si>
  <si>
    <t>zakup aparatury nagłaśniającej</t>
  </si>
  <si>
    <t>wydawnictwa</t>
  </si>
  <si>
    <t>"Roczniki Koszalińskie"</t>
  </si>
  <si>
    <t>festiwal "Integracja Ja i Ty"</t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</si>
  <si>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Times New Roman CE"/>
        <family val="1"/>
      </rPr>
      <t>modernizacja sali konferencyjno - kinowej</t>
    </r>
  </si>
  <si>
    <t>remont i rozbudowa Muzeum</t>
  </si>
  <si>
    <t>przeniesienie wystawy archeologicznej z ul. Piłsudskiego</t>
  </si>
  <si>
    <t>zakup obrazów</t>
  </si>
  <si>
    <t>konferencja naukowa "Goci na Pomorzu"</t>
  </si>
  <si>
    <t>wydanie "Koszalińskich Zeszytów Muzealnych"</t>
  </si>
  <si>
    <t>Dotacje celowe z budżetu na finansowanie  lub dofinansowanie kosztów realizacji inwestycji i zakupów inwestycyjnych  innych jednostek sektora finansów publicznych</t>
  </si>
  <si>
    <r>
      <t>Zakup usług remontowych -</t>
    </r>
    <r>
      <rPr>
        <i/>
        <sz val="9"/>
        <rFont val="Times New Roman CE"/>
        <family val="1"/>
      </rPr>
      <t>remont murów miejskich</t>
    </r>
  </si>
  <si>
    <t>Dotacja podmiotowa z budżetu państwa dla instytucji kultury - Filharmonia Koszalińska (organizacja koncertów dla młodzieży)</t>
  </si>
  <si>
    <r>
      <t xml:space="preserve">Zakup materiałów i wyposażenia - </t>
    </r>
    <r>
      <rPr>
        <i/>
        <sz val="9"/>
        <rFont val="Times New Roman CE"/>
        <family val="1"/>
      </rPr>
      <t xml:space="preserve"> RO</t>
    </r>
  </si>
  <si>
    <r>
      <t xml:space="preserve">Zakup usług pozostałych - </t>
    </r>
    <r>
      <rPr>
        <i/>
        <sz val="9"/>
        <rFont val="Times New Roman CE"/>
        <family val="1"/>
      </rPr>
      <t>KST</t>
    </r>
  </si>
  <si>
    <r>
      <t xml:space="preserve">Różne opłaty i składki </t>
    </r>
    <r>
      <rPr>
        <i/>
        <sz val="9"/>
        <rFont val="Times New Roman CE"/>
        <family val="1"/>
      </rPr>
      <t>- RO</t>
    </r>
  </si>
  <si>
    <t>Obiekty sportowe</t>
  </si>
  <si>
    <r>
      <t xml:space="preserve">Zakup usług remontowych (w tym: </t>
    </r>
    <r>
      <rPr>
        <i/>
        <sz val="9"/>
        <rFont val="Times New Roman CE"/>
        <family val="1"/>
      </rPr>
      <t>stadion BAŁTYK - 1mln zł, basen - 1 mln zl, obiekty ZOS - 200,0 tys.zł)</t>
    </r>
  </si>
  <si>
    <t>Wydatki na zakup i objęcie akcji oraz wniesienie wkładów do spółek prawa handlowego (ZOS)</t>
  </si>
  <si>
    <t xml:space="preserve">Bałtyk </t>
  </si>
  <si>
    <t>pawilon judo</t>
  </si>
  <si>
    <t>remont Basen</t>
  </si>
  <si>
    <t xml:space="preserve">Pozostała działalność </t>
  </si>
  <si>
    <t>Stypendia oraz inne formy pomocy dla uczniów KST</t>
  </si>
  <si>
    <t xml:space="preserve">Zakup materiałów i wyposażenia - RWZ </t>
  </si>
  <si>
    <r>
      <t>Zakup materiałów i wyposażenia -</t>
    </r>
    <r>
      <rPr>
        <i/>
        <sz val="9"/>
        <rFont val="Times New Roman CE"/>
        <family val="1"/>
      </rPr>
      <t xml:space="preserve"> RO</t>
    </r>
  </si>
  <si>
    <r>
      <t>Zakup usług zdrowotnych -</t>
    </r>
    <r>
      <rPr>
        <i/>
        <sz val="9"/>
        <rFont val="Times New Roman CE"/>
        <family val="1"/>
      </rPr>
      <t xml:space="preserve"> badania lekarskie</t>
    </r>
  </si>
  <si>
    <r>
      <t>Różne opłaty i składki -</t>
    </r>
    <r>
      <rPr>
        <i/>
        <sz val="9"/>
        <rFont val="Times New Roman CE"/>
        <family val="1"/>
      </rPr>
      <t xml:space="preserve"> RO</t>
    </r>
  </si>
  <si>
    <r>
      <t>Zakup usług pozostałych -</t>
    </r>
    <r>
      <rPr>
        <i/>
        <sz val="9"/>
        <rFont val="Times New Roman CE"/>
        <family val="1"/>
      </rPr>
      <t xml:space="preserve"> RWZ</t>
    </r>
  </si>
  <si>
    <r>
      <t xml:space="preserve">Zakup usług pozostałych </t>
    </r>
    <r>
      <rPr>
        <i/>
        <sz val="9"/>
        <rFont val="Times New Roman CE"/>
        <family val="1"/>
      </rPr>
      <t>- RO</t>
    </r>
  </si>
  <si>
    <t>porozumienia</t>
  </si>
  <si>
    <t>REALIZACJA PLANU BUDŻETOWEGO</t>
  </si>
  <si>
    <t>SYNTETYCZNE ZESTAWIENIE BUDŻETU</t>
  </si>
  <si>
    <t>ZA    I  PÓŁROCZE  2005  ROKU</t>
  </si>
  <si>
    <t>w złotych</t>
  </si>
  <si>
    <t>2005 rok</t>
  </si>
  <si>
    <t>Lp.</t>
  </si>
  <si>
    <t>Treść</t>
  </si>
  <si>
    <r>
      <t xml:space="preserve">WYKONANIE
</t>
    </r>
    <r>
      <rPr>
        <b/>
        <sz val="9"/>
        <rFont val="Times New Roman CE"/>
        <family val="1"/>
      </rPr>
      <t>I  półrocze 2004 r.</t>
    </r>
  </si>
  <si>
    <t>Plan pierwotny</t>
  </si>
  <si>
    <t>Plan po zmianach</t>
  </si>
  <si>
    <t>WYKONANIE    I  półrocze</t>
  </si>
  <si>
    <t xml:space="preserve">  %   dynamika                    6:3 </t>
  </si>
  <si>
    <t xml:space="preserve">  %    wyk. planu                   6:4</t>
  </si>
  <si>
    <t xml:space="preserve">  %   wyk. planu                    6:5</t>
  </si>
  <si>
    <t>I.</t>
  </si>
  <si>
    <t>DOCHODY OGÓŁEM</t>
  </si>
  <si>
    <t>z tego:</t>
  </si>
  <si>
    <t>A.</t>
  </si>
  <si>
    <t>Dochody na zadania własne i porozumienia</t>
  </si>
  <si>
    <t>1.</t>
  </si>
  <si>
    <t xml:space="preserve">Dochody na zadania własne gminy i powiatu </t>
  </si>
  <si>
    <t>2.</t>
  </si>
  <si>
    <t>Dotacje na zadania  realizowane przez gminę na podstawie porozumień</t>
  </si>
  <si>
    <t>3.</t>
  </si>
  <si>
    <t>Dotacje na zadania  realizowane przez powiat na podstawie porozumień</t>
  </si>
  <si>
    <t>B.</t>
  </si>
  <si>
    <t>Dochody na zadania zlecone</t>
  </si>
  <si>
    <t>Dotacje na zadania zlecone gminie z zakresu administracji rządowej</t>
  </si>
  <si>
    <t>Dotacje na zadania zlecone powiatowi  z zakresu administracji rządowej</t>
  </si>
  <si>
    <t>II.</t>
  </si>
  <si>
    <t>WYDATKI OGÓŁEM</t>
  </si>
  <si>
    <t>Wydatki na zadania własne i porozumienia</t>
  </si>
  <si>
    <t>Wydatki na realizację zadań własnych gminy i powiatu</t>
  </si>
  <si>
    <t xml:space="preserve">Wydatki na realizację zadań  realizowanych przez gminę na podstawie porozumień </t>
  </si>
  <si>
    <t xml:space="preserve">Wydatki na realizację zadań  realizowanych przez  powiat na podstawie porozumień </t>
  </si>
  <si>
    <t>Wydatki na zadania zlecone</t>
  </si>
  <si>
    <t>Wydatki na realizację zadań zleconych gminie z zakresu administracji rządowej</t>
  </si>
  <si>
    <t>Wydatki na realizację zadań zleconych powiatowi z zakresu administracji rządowej</t>
  </si>
  <si>
    <t>III.</t>
  </si>
  <si>
    <t>Deficyt budżetowy</t>
  </si>
  <si>
    <t>Nadwyżka budżetowa</t>
  </si>
  <si>
    <t xml:space="preserve">REALIZACJA   PLANU  DOCHODÓW    MIASTA  KOSZALINA  ZA  I  PÓŁROCZE  2005  ROKU                                                                                                               </t>
  </si>
  <si>
    <t xml:space="preserve"> wg działów klasyfikacji budżetowej z podziałem na zadania własne i  porozumienia oraz zlecone </t>
  </si>
  <si>
    <t>Tabela nr 2</t>
  </si>
  <si>
    <t>OGÓŁEM</t>
  </si>
  <si>
    <t xml:space="preserve">GMINA </t>
  </si>
  <si>
    <t>POWIAT</t>
  </si>
  <si>
    <t>Dział</t>
  </si>
  <si>
    <t>WYSZCZEGÓLNIENIE</t>
  </si>
  <si>
    <t xml:space="preserve">Wykonanie  
I półrocze
2005 r.                          </t>
  </si>
  <si>
    <t>Dynamika         5 : 3</t>
  </si>
  <si>
    <t>%           wyk.           planu</t>
  </si>
  <si>
    <t>Struktura     %</t>
  </si>
  <si>
    <t xml:space="preserve">Wykonanie
I półrocze
2005 r.                          </t>
  </si>
  <si>
    <t>%              wyk.           planu</t>
  </si>
  <si>
    <t xml:space="preserve">Wykonanie
I półrocze
 2005 r.                          </t>
  </si>
  <si>
    <t>%               wyk.           planu</t>
  </si>
  <si>
    <t>010</t>
  </si>
  <si>
    <t>ROLNICTWO I ŁOWIECTWO</t>
  </si>
  <si>
    <t>własne</t>
  </si>
  <si>
    <t>zlecone</t>
  </si>
  <si>
    <t>020</t>
  </si>
  <si>
    <t>LEŚNICTWO</t>
  </si>
  <si>
    <t>500</t>
  </si>
  <si>
    <t>HANDEL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</si>
  <si>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</si>
  <si>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</si>
  <si>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</si>
  <si>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</si>
  <si>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</si>
  <si>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</si>
  <si>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</si>
  <si>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</si>
  <si>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na podstawie porozumień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</si>
  <si>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</si>
  <si>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</si>
  <si>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</si>
  <si>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</si>
  <si>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</si>
  <si>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</si>
  <si>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</si>
  <si>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</si>
  <si>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</si>
  <si>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</si>
  <si>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</si>
  <si>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</si>
  <si>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</si>
  <si>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</si>
  <si>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</si>
  <si>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</si>
  <si>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</si>
  <si>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</si>
  <si>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</si>
  <si>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</si>
  <si>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</si>
  <si>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</si>
  <si>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</si>
  <si>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</si>
  <si>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</si>
  <si>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</si>
  <si>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</si>
  <si>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</si>
  <si>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</si>
  <si>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</si>
  <si>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</si>
  <si>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OGRODY BOTANICZNE I ZOOLOGICZNE ORAZ NATURALNE OBSZARY I OBIEKTY CHRONIONEJ PRZYRODY</t>
  </si>
  <si>
    <t>926</t>
  </si>
  <si>
    <t>KULTURA FIZYCZNA I SPORT</t>
  </si>
  <si>
    <t xml:space="preserve">REALIZACJA   PLANU  WYDATKÓW    MIASTA  KOSZALINA  ZA  I  PÓŁROCZE  2005  ROKU                                                                                                               </t>
  </si>
  <si>
    <t>Tabela nr 1</t>
  </si>
  <si>
    <t>Realizacja wydatków  na  zadania  własne gminy, własne powiatu, zlecone  gminie i powiatowi  w I półroczu  2005 roku</t>
  </si>
  <si>
    <t xml:space="preserve">w układzie działów z podziałem na wydatki bieżące, zakupy inwestycyjne i roboty inwestycyjne </t>
  </si>
  <si>
    <t>WŁASNE GMINY I POROZUMIENIA</t>
  </si>
  <si>
    <t>WŁASNE POWIATU I POROZUMIENIA</t>
  </si>
  <si>
    <t>ZLECONE GMINY</t>
  </si>
  <si>
    <t>ZLECONE POWIATOWI</t>
  </si>
  <si>
    <t>Wykonanie                2002 r.</t>
  </si>
  <si>
    <t xml:space="preserve">Plan </t>
  </si>
  <si>
    <t xml:space="preserve">Wykonanie                            </t>
  </si>
  <si>
    <t>Dynamika          5 : 3</t>
  </si>
  <si>
    <t>%                  wyk.                 planu</t>
  </si>
  <si>
    <t xml:space="preserve">Wykonanie                             </t>
  </si>
  <si>
    <t xml:space="preserve">Wykonanie                        </t>
  </si>
  <si>
    <t xml:space="preserve">Wykonanie                         </t>
  </si>
  <si>
    <t xml:space="preserve"> - bieżące</t>
  </si>
  <si>
    <t xml:space="preserve"> - zakupy inwestycyjne</t>
  </si>
  <si>
    <t>*</t>
  </si>
  <si>
    <t xml:space="preserve">HANDEL </t>
  </si>
  <si>
    <t>TRANSPORT  I  ŁĄCZNOŚĆ</t>
  </si>
  <si>
    <t>- roboty inwestycyjne</t>
  </si>
  <si>
    <t>- zakupy inwestycyjne</t>
  </si>
  <si>
    <t xml:space="preserve"> - inne majątkowe</t>
  </si>
  <si>
    <t>w tym: na podstawie porozumień</t>
  </si>
  <si>
    <t xml:space="preserve"> - roboty inwestycyjne</t>
  </si>
  <si>
    <t>- bieżące</t>
  </si>
  <si>
    <t>DOCHODY OD OSÓB PRAWNYCH, OD OSÓB FIZYCZNYCH I OD INNYCH JEDNOSTEK NIEPOSIADAJĄCYCH OSOBOWOŚCI PRAWNEJ</t>
  </si>
  <si>
    <t>-  inne majątkowe</t>
  </si>
  <si>
    <t xml:space="preserve"> w tym: na podstawie porozumień</t>
  </si>
  <si>
    <r>
      <t xml:space="preserve">REALIZACJA   PLANU  DOCHODÓW  MIASTA  KOSZALINA  ZA   I  PÓŁROCZE  2005 ROKU                                                                                                  </t>
    </r>
    <r>
      <rPr>
        <b/>
        <sz val="11"/>
        <rFont val="Times New Roman"/>
        <family val="1"/>
      </rPr>
      <t>WG  ŹRÓDEŁ  POWSTAWANIA</t>
    </r>
  </si>
  <si>
    <t xml:space="preserve">              w  złotych</t>
  </si>
  <si>
    <t>PLAN PIERWOTNY</t>
  </si>
  <si>
    <t>ZMIANY W CIĄGU ROKU</t>
  </si>
  <si>
    <t>PLAN PO ZMIANACH</t>
  </si>
  <si>
    <t>WYKONANIE            I PÓŁROCZE  2005</t>
  </si>
  <si>
    <t>%           wykon.           planu</t>
  </si>
  <si>
    <t>Stru     ktura     %</t>
  </si>
  <si>
    <t>A</t>
  </si>
  <si>
    <t>DOCHODY WŁASNE   (I - VI)</t>
  </si>
  <si>
    <t>I</t>
  </si>
  <si>
    <t>PODATKI I OPŁATY LOKALNE                        (osoby prawne i fizyczne)</t>
  </si>
  <si>
    <t>Podatek od nieruchomości</t>
  </si>
  <si>
    <t>Podatek rolny</t>
  </si>
  <si>
    <t>Podatek  leśny</t>
  </si>
  <si>
    <t>Podatek od środków transportowych</t>
  </si>
  <si>
    <t>Opłata targowa</t>
  </si>
  <si>
    <r>
      <t xml:space="preserve">Wpływy z innych lokalnych opłat </t>
    </r>
    <r>
      <rPr>
        <sz val="6"/>
        <rFont val="Times New Roman"/>
        <family val="1"/>
      </rPr>
      <t>(za licencje na przewóz osób i rzeczy -TAXI)</t>
    </r>
  </si>
  <si>
    <t>Wpływy z podatków zniesionych</t>
  </si>
  <si>
    <t>Opłata skarbowa</t>
  </si>
  <si>
    <t>II</t>
  </si>
  <si>
    <t>PODATKI I OPŁATY POBIERANE PRZEZ URZĘDY SKARBOWE</t>
  </si>
  <si>
    <t>Karta podatkowa</t>
  </si>
  <si>
    <t>Podatek od spadku i darowizn</t>
  </si>
  <si>
    <t>Podatek od czynności cywilnoprawnych    (osoby prawe)</t>
  </si>
  <si>
    <t>Podatek od czynności cywilnoprawnych  (osoby fizyczne)</t>
  </si>
  <si>
    <t>III</t>
  </si>
  <si>
    <t>DOCHODY Z  MAJĄTKU MIASTA</t>
  </si>
  <si>
    <t>Wpływy z opłat za zarząd i użytkowanie nieruchomości (osoby prawne i fizyczne)</t>
  </si>
  <si>
    <t>Dochody ze sprzedaży nieruchomości</t>
  </si>
  <si>
    <t>Wpływy z tytułu przekształceń</t>
  </si>
  <si>
    <t>Dochody z dzierżawy i najmu</t>
  </si>
  <si>
    <t>Pozostałe wpływy</t>
  </si>
  <si>
    <t>IV</t>
  </si>
  <si>
    <t>UDZIAŁY W PODATKACH STANOWIĄCYCH DOCHÓD BUDŻETU PAŃSTWA</t>
  </si>
  <si>
    <t>Podatek dochodowy  od osób fizycznych</t>
  </si>
  <si>
    <t>Podatek dochodowy  od osób prawnych</t>
  </si>
  <si>
    <t>V</t>
  </si>
  <si>
    <t>POZOSTAŁE DOCHODY</t>
  </si>
  <si>
    <t>VI</t>
  </si>
  <si>
    <t>ŚRODKI Z EUROPEJSKIEGO FUNDUSZU ROZWOJU REGIONAKNEGO</t>
  </si>
  <si>
    <t>B</t>
  </si>
  <si>
    <t>SUBWENCJE</t>
  </si>
  <si>
    <t>Część oświatowa</t>
  </si>
  <si>
    <t>Część równoważąca</t>
  </si>
  <si>
    <t>Część uzupełniająca (na drogi krajowe)</t>
  </si>
  <si>
    <t>C</t>
  </si>
  <si>
    <t>DOTACJE CELOWE   I  FUNDUSZE CELOWE</t>
  </si>
  <si>
    <r>
      <t xml:space="preserve">na zadania </t>
    </r>
    <r>
      <rPr>
        <b/>
        <sz val="8"/>
        <rFont val="Times New Roman"/>
        <family val="1"/>
      </rPr>
      <t xml:space="preserve">własne </t>
    </r>
  </si>
  <si>
    <r>
      <t xml:space="preserve">na zadania </t>
    </r>
    <r>
      <rPr>
        <b/>
        <sz val="8"/>
        <rFont val="Times New Roman"/>
        <family val="1"/>
      </rPr>
      <t>zlecone</t>
    </r>
  </si>
  <si>
    <r>
      <t xml:space="preserve">na zadania realizowane na podstawie </t>
    </r>
    <r>
      <rPr>
        <b/>
        <sz val="8"/>
        <rFont val="Times New Roman"/>
        <family val="1"/>
      </rPr>
      <t xml:space="preserve">porozumień </t>
    </r>
    <r>
      <rPr>
        <sz val="8"/>
        <rFont val="Times New Roman"/>
        <family val="1"/>
      </rPr>
      <t>z organami administracji rządowej</t>
    </r>
  </si>
  <si>
    <r>
      <t xml:space="preserve">na zadania własne realizowane w drodze porozumień organami </t>
    </r>
    <r>
      <rPr>
        <b/>
        <sz val="8"/>
        <rFont val="Times New Roman"/>
        <family val="1"/>
      </rPr>
      <t xml:space="preserve">samorządu terytorialnego </t>
    </r>
    <r>
      <rPr>
        <sz val="8"/>
        <rFont val="Times New Roman"/>
        <family val="1"/>
      </rPr>
      <t xml:space="preserve">(z powiatu, gmin) oraz z </t>
    </r>
    <r>
      <rPr>
        <b/>
        <sz val="8"/>
        <rFont val="Times New Roman"/>
        <family val="1"/>
      </rPr>
      <t>funduszy celowych,</t>
    </r>
    <r>
      <rPr>
        <sz val="8"/>
        <rFont val="Times New Roman"/>
        <family val="1"/>
      </rPr>
      <t xml:space="preserve"> środków specjalnych</t>
    </r>
  </si>
  <si>
    <r>
      <t xml:space="preserve">DOCHODY OGÓŁEM  </t>
    </r>
    <r>
      <rPr>
        <b/>
        <sz val="8"/>
        <rFont val="Times New Roman"/>
        <family val="1"/>
      </rPr>
      <t>(A+B+C)</t>
    </r>
  </si>
  <si>
    <t>Tabela nr 3</t>
  </si>
  <si>
    <t>WYKONANIE PLANU DOTACJI I WYDATKÓW  ZADAŃ  ZLECONYCH                                                                                GMINIE   Z  ZAKRESU  ADMINISTRACJI RZĄDOWEJ                                                                                            ZA I PÓŁROCZE 2005 ROKU</t>
  </si>
  <si>
    <t>DOTACJE</t>
  </si>
  <si>
    <t>WYDATKI</t>
  </si>
  <si>
    <t xml:space="preserve">Dział              Rozdział                      </t>
  </si>
  <si>
    <t>Wykonanie</t>
  </si>
  <si>
    <t>% wykon. planu            (4 : 3)</t>
  </si>
  <si>
    <r>
      <t xml:space="preserve">% wykon. planu           </t>
    </r>
    <r>
      <rPr>
        <sz val="8"/>
        <rFont val="Times New Roman CE"/>
        <family val="1"/>
      </rPr>
      <t xml:space="preserve"> (7 : 6)</t>
    </r>
  </si>
  <si>
    <t>75011</t>
  </si>
  <si>
    <t>Urzędy wojewódzkie</t>
  </si>
  <si>
    <t>dofinansowanie kosztów utrzymania administracji realizującej  zadania z zakresu  komunikacji, spraw obywatelskich</t>
  </si>
  <si>
    <t>75101</t>
  </si>
  <si>
    <t>Urzędy naczelnych organów władzy państwowej</t>
  </si>
  <si>
    <t xml:space="preserve">dofinansowanie kosztów prowadzenia i aktualizacji rejestru wyborców </t>
  </si>
  <si>
    <t>75414</t>
  </si>
  <si>
    <t>Obrona cywilna</t>
  </si>
  <si>
    <t>dofinansowanie zadań z zakresu obrony cywilnej (konserwacja sprzętu oc.)</t>
  </si>
  <si>
    <t>85203</t>
  </si>
  <si>
    <t>Ośrodki wsparcia</t>
  </si>
  <si>
    <t>dofinansowanie działalności Środowiskowego Domu Samopomocy dla osób z zaburzeniami psychicznymi</t>
  </si>
  <si>
    <t>85212</t>
  </si>
  <si>
    <t>Świadczenia rodzinne oraz składki na ubezpieczenie emerytalne i rentowe z ubezpieczenia społecznego</t>
  </si>
  <si>
    <t>wypłata świadczeń rodzinnych i składek na ubezpieczenia emerytalne i rentowe</t>
  </si>
  <si>
    <t>Składki na ubezpieczenie zdrowotne opłacane za osoby pobierające niektóre świadczenia z pomocy społecznej</t>
  </si>
  <si>
    <t xml:space="preserve">składki na ubezpieczenie zdrowotne opłacane za osoby pobierające : zasiłek stały, zasiłek stały wyrównawczy, gwarantowany zasiłek okresowy lub rentę socjalną z pomocy społecznej </t>
  </si>
  <si>
    <t>85214</t>
  </si>
  <si>
    <t>Zasiłki i pomoc w naturze oraz składki na ubezpieczenia społeczne i zdrowotne</t>
  </si>
  <si>
    <t>świadczenia wypłacane najuboższym i składki za osoby pobierające świadczenia z pomocy społecznej</t>
  </si>
  <si>
    <t>92108</t>
  </si>
  <si>
    <t>Filharmonie, orkiestry, chóry i kapele</t>
  </si>
  <si>
    <t>dotacje na realizację programu na rzecz społeczności romskiej</t>
  </si>
  <si>
    <t>Tabela nr 4</t>
  </si>
  <si>
    <t>WYKONANIE PLANU DOTACJI I WYDATKÓW ZADAŃ  ZLECONYCH                                                                              POWIATOWI  Z  ZAKRESU  ADMINISTRACJI RZĄDOWEJ
  ZA I PÓŁROCZE 2005 ROKU</t>
  </si>
  <si>
    <t>% wykonania planu            (4 : 3)</t>
  </si>
  <si>
    <r>
      <t xml:space="preserve">% wykon. planu         </t>
    </r>
    <r>
      <rPr>
        <sz val="8"/>
        <rFont val="Times New Roman CE"/>
        <family val="1"/>
      </rPr>
      <t xml:space="preserve">   (7 : 6)</t>
    </r>
  </si>
  <si>
    <t>70005</t>
  </si>
  <si>
    <t>Gospodarka gruntami i nieruchomościami</t>
  </si>
  <si>
    <t>na pokrycie kosztów związanych z nieruchomościami Skarbu Państwa</t>
  </si>
  <si>
    <t>71013</t>
  </si>
  <si>
    <t xml:space="preserve">Prace geodezyjne i kartograficzne (nieinwestycyjne) </t>
  </si>
  <si>
    <t>na modernizację osnowy geodezyjnej III klasy Koszalina</t>
  </si>
  <si>
    <t>71014</t>
  </si>
  <si>
    <t>Opracowania geodezyjne i kartograficzne</t>
  </si>
  <si>
    <t>jw.</t>
  </si>
  <si>
    <t>71015</t>
  </si>
  <si>
    <t>Nadzór budowlany</t>
  </si>
  <si>
    <t>na funkcjonowanie Inspektoratu Nadzoru Budowlanego</t>
  </si>
  <si>
    <t>dofinansowanie kosztów utrzymania administracji realizującej  zadania z zakresu  komunikacji</t>
  </si>
  <si>
    <t>75045</t>
  </si>
  <si>
    <t>Komisje poborowe</t>
  </si>
  <si>
    <t>na działalność bieżącą Komisji Poborowych</t>
  </si>
  <si>
    <t>75212</t>
  </si>
  <si>
    <t>Pozostałe wydatki wojskowe</t>
  </si>
  <si>
    <t>na akcje kurierskie</t>
  </si>
  <si>
    <t>75411</t>
  </si>
  <si>
    <t>Komendy powiatowe Państwowej Straży Pożarnej</t>
  </si>
  <si>
    <t>na działalność  Komendy Powiatowej Państwowej Straży Pożarnej</t>
  </si>
  <si>
    <t>85156</t>
  </si>
  <si>
    <t>Składki na ubezpieczenia zdrowotne oraz świadczenia dla osób nie objętych obowiązkiem ubezpieczenia zdrowotnego</t>
  </si>
  <si>
    <t xml:space="preserve"> za dzieci z placówek opiekuńczo -wychowawczych</t>
  </si>
  <si>
    <t>dla Państwowej Straży Pożarnej</t>
  </si>
  <si>
    <t>85321</t>
  </si>
  <si>
    <t xml:space="preserve">Zespoły do spraw orzekania o stopniu niepełnosprawności </t>
  </si>
  <si>
    <t>na finansowanie działalności powiatowych zespołów do spraw orzekania o stopniu niepełnosprawności</t>
  </si>
  <si>
    <t>Tabela nr 5</t>
  </si>
  <si>
    <t>INFORMACJA  O  WYSOKOŚCI  I  ŹRÓDŁACH  POKRYCIA</t>
  </si>
  <si>
    <t>DEFICYTU   BUDŻETOWEGO</t>
  </si>
  <si>
    <t>W   2005    ROKU</t>
  </si>
  <si>
    <t>w    złotych</t>
  </si>
  <si>
    <t>PLAN</t>
  </si>
  <si>
    <t>Wykonanie            I półrocze</t>
  </si>
  <si>
    <t xml:space="preserve">  A.  DOCHODY</t>
  </si>
  <si>
    <r>
      <t xml:space="preserve">  B.  WYDATKI  </t>
    </r>
    <r>
      <rPr>
        <b/>
        <i/>
        <sz val="12"/>
        <color indexed="8"/>
        <rFont val="Times New Roman CE"/>
        <family val="1"/>
      </rPr>
      <t xml:space="preserve"> </t>
    </r>
  </si>
  <si>
    <t xml:space="preserve">       z tego:</t>
  </si>
  <si>
    <t xml:space="preserve">        wydatki bieżące    </t>
  </si>
  <si>
    <t xml:space="preserve">        wydatki majątkowe   </t>
  </si>
  <si>
    <t xml:space="preserve">  C.  NADWYŻKA / DEFICYT</t>
  </si>
  <si>
    <t xml:space="preserve">  D.  FINANSOWANIE</t>
  </si>
  <si>
    <t xml:space="preserve">       PRZYCHODY OGÓŁEM</t>
  </si>
  <si>
    <t xml:space="preserve">       kredyty i pożyczki</t>
  </si>
  <si>
    <t xml:space="preserve">       inne źródła</t>
  </si>
  <si>
    <t xml:space="preserve">       ROZCHODY OGÓŁEM</t>
  </si>
  <si>
    <t xml:space="preserve">      spłaty kredytów i pożyczek</t>
  </si>
  <si>
    <t xml:space="preserve">      lokaty</t>
  </si>
  <si>
    <t>Tabela nr 6</t>
  </si>
  <si>
    <t>DOTACJE  UDZIELANE  Z  BUDŻETU  MIASTA  NA  REALIZACJĘ  ZADAŃ PUBLICZNYCH   W   I   PÓŁROCZU    2005   ROKU</t>
  </si>
  <si>
    <t xml:space="preserve">Dział </t>
  </si>
  <si>
    <t xml:space="preserve">POWIAT </t>
  </si>
  <si>
    <t>Rozdz.  §</t>
  </si>
  <si>
    <t>Wyszczególnienie</t>
  </si>
  <si>
    <t>Plan</t>
  </si>
  <si>
    <t>%         wyk.</t>
  </si>
  <si>
    <t>%        wyk.</t>
  </si>
  <si>
    <t>%     wyk.</t>
  </si>
  <si>
    <t>Zdania w zakresie upowszechniania turystyki</t>
  </si>
  <si>
    <r>
      <t xml:space="preserve">Dotacja celowa z budżetu  lub dofinansowanie zadań zleconych do realizacji stowarzyszeniom - </t>
    </r>
    <r>
      <rPr>
        <i/>
        <sz val="9"/>
        <rFont val="Times New Roman CE"/>
        <family val="1"/>
      </rPr>
      <t>Polskie Towarzystwo Turystyczno - Krajoznawcze Oddział w Koszalinie</t>
    </r>
  </si>
  <si>
    <t>Zakłady gospodarki mieszkaniowej - ZBM</t>
  </si>
  <si>
    <t>Dotacja podmiotowa z budżetu dla zakładu budżetowego</t>
  </si>
  <si>
    <t>Starostwa powiatowe</t>
  </si>
  <si>
    <t xml:space="preserve">Dotacje celowe przekazane dla powiatu na zadania bieżące realizowane na podstawie porozumień (umów) między jednostkami samorządu terytorialnego </t>
  </si>
  <si>
    <t>Pozostała działalność</t>
  </si>
  <si>
    <r>
      <t xml:space="preserve">Dotacja celowa z budżetu  lub dofinansowanie zadań zleconych do realizacji fundacjom </t>
    </r>
    <r>
      <rPr>
        <i/>
        <sz val="10"/>
        <rFont val="Times New Roman CE"/>
        <family val="1"/>
      </rPr>
      <t>- dofinansowanie działalności CIP</t>
    </r>
  </si>
  <si>
    <t>Ochotnicze straże pożarne</t>
  </si>
  <si>
    <r>
      <t>Dotacja celowa z budżetu  lub dofinansowanie zadań zleconych do realizacji stowarzyszeniom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Oddział Ratownictwa Wodnego Klubu Płetwonurków "MARES"</t>
    </r>
  </si>
  <si>
    <t>Szkoły podstawowe</t>
  </si>
  <si>
    <t>Dotacja podmiotowa z budżetu dla niepublicznej szkoły lub innej placówki oświatowo - wychowawczej</t>
  </si>
  <si>
    <t>Oddziały przedszkolne w szkołach podstawowych</t>
  </si>
  <si>
    <t>Dotacje podmiotowe z budżetu dla niepublicznej szkoły</t>
  </si>
  <si>
    <t>Przedszkola</t>
  </si>
  <si>
    <t>Gimnazja</t>
  </si>
  <si>
    <t>Licea ogólnokształcące</t>
  </si>
  <si>
    <t>Dotacja podmiotowa dla niepublicznej szkoły lub innej placówki oświatowo-wychowawczej</t>
  </si>
  <si>
    <t>Szkoły zawodowe</t>
  </si>
  <si>
    <t>Dokształcanie i doskonalenie nauczycieli</t>
  </si>
  <si>
    <r>
      <t xml:space="preserve">Dotacja podmiotowa z budżetu dla niepublicznej szkoły lub innej placówki oświatowo - wychowawczej - </t>
    </r>
    <r>
      <rPr>
        <i/>
        <sz val="9"/>
        <rFont val="Times New Roman CE"/>
        <family val="1"/>
      </rPr>
      <t>nauka pływania</t>
    </r>
  </si>
  <si>
    <t>Dotacja celowa z budżetu na finansowanie i dofinansowanie zadań zleconych do realizacji stowarzyszeniom</t>
  </si>
  <si>
    <r>
      <t xml:space="preserve">Dotacja celowa z budżetu na finansowanie i dofinansowanie zadań zleconych do realizacji stowarzyszeniom - </t>
    </r>
    <r>
      <rPr>
        <i/>
        <sz val="9"/>
        <rFont val="Times New Roman CE"/>
        <family val="1"/>
      </rPr>
      <t>Społeczny Komitet Rozwoju Politechniki Koszalińskiej</t>
    </r>
  </si>
  <si>
    <t>Szpitale ogólne</t>
  </si>
  <si>
    <t>Dotacje celowe przekazane do samorządu województwa na zadania bieżące realizowane na podstawie porozumień miedzy jst</t>
  </si>
  <si>
    <t>Programy polityki zdrowotnej</t>
  </si>
  <si>
    <t>Dotacja podmiotowa z budżetu dla pozostałych jednostek sektora finansów publicznych</t>
  </si>
  <si>
    <t>Dotacja celowa z budżetu na finansowanie lub dofinansowanie zadań zleconych do realizacji pozostałym jednostkom nie zaliczanym do sektora finansów publicznych</t>
  </si>
  <si>
    <t>Zwalczanie narkomanii</t>
  </si>
  <si>
    <r>
      <t xml:space="preserve">Dotacja przedmiotowa z budżetu dla pozostałych jednostek sektora finansów publicznych - realizacja </t>
    </r>
    <r>
      <rPr>
        <sz val="9"/>
        <rFont val="Times New Roman CE"/>
        <family val="1"/>
      </rPr>
      <t>"</t>
    </r>
    <r>
      <rPr>
        <i/>
        <sz val="9"/>
        <rFont val="Times New Roman CE"/>
        <family val="1"/>
      </rPr>
      <t>Programu zwalczania narkomanii".</t>
    </r>
  </si>
  <si>
    <t xml:space="preserve">Dotacja celowa z budżetu na finansowanie lub dofinansowanie zadań zleconych do realizacji stowarzyszeniom </t>
  </si>
  <si>
    <t>Przeciwdziałanie alkoholizmowi</t>
  </si>
  <si>
    <t>Dotacja podmiotowa z budżetu dla samorządowej instytucji kultury</t>
  </si>
  <si>
    <t xml:space="preserve">Dotacja celowa z budżetu na finansowanie i dofinansowanie zadań zleconych do realizacji stowarzyszeniom </t>
  </si>
  <si>
    <r>
      <t xml:space="preserve">Placówki opiekuńczo-wychowawcze - </t>
    </r>
    <r>
      <rPr>
        <b/>
        <i/>
        <sz val="10"/>
        <rFont val="Times New Roman CE"/>
        <family val="1"/>
      </rPr>
      <t>Rodzinne Domy Dziecka</t>
    </r>
  </si>
  <si>
    <t>Żłobki</t>
  </si>
  <si>
    <t>Dotacja celowa z budżetu na finansowanie  lub dofinansowanie zadań zleconych do realizacji stowarzyszeniom - czynsz</t>
  </si>
  <si>
    <t>Pozostałe zadania w zakresie kultury</t>
  </si>
  <si>
    <t>Teatry dramatyczne i lalkowe</t>
  </si>
  <si>
    <t>Dotacja podmiotowa z budżetu samorządowej dla instytucji kultury</t>
  </si>
  <si>
    <t>Domy i ośrodki kultury, świetlice i kluby</t>
  </si>
  <si>
    <t xml:space="preserve">Dotacje podmiotowe z budżetu dla samorządowej  instytucji kultury </t>
  </si>
  <si>
    <t>Biblioteki</t>
  </si>
  <si>
    <t>Muzea</t>
  </si>
  <si>
    <t>Ochrona i konserwacja zabytków</t>
  </si>
  <si>
    <t>Zadania w zakresie kultury fizycznej i sportu</t>
  </si>
  <si>
    <t xml:space="preserve">         </t>
  </si>
  <si>
    <t>Tabela nr 7</t>
  </si>
  <si>
    <t>WYKONANIE  PLANU PRZYCHODÓW  I  KOSZTÓW   PRZEZ   ZAKŁADY   BUDŻETOWE  I  INSTYTUCJE   KULTURY                                     ZA  I PÓŁROCZE   2005  ROK</t>
  </si>
  <si>
    <t>w tys. zł</t>
  </si>
  <si>
    <t>Lp</t>
  </si>
  <si>
    <t xml:space="preserve">NAZWA ZAKŁADU  </t>
  </si>
  <si>
    <t xml:space="preserve"> - Strata                    + Zysk </t>
  </si>
  <si>
    <t>PRZYCHODY WŁASNE</t>
  </si>
  <si>
    <t>DOTACJA</t>
  </si>
  <si>
    <t>KOSZTY</t>
  </si>
  <si>
    <t>BUDŻETOWEGO  INSTYTUCJI  KULTURY</t>
  </si>
  <si>
    <t>na                  30-06-04</t>
  </si>
  <si>
    <t>Wykonanie         I  półrocze 2004</t>
  </si>
  <si>
    <t>PLAN  NA   2005</t>
  </si>
  <si>
    <t>Wykonanie         I  półrocze 2005</t>
  </si>
  <si>
    <t>Dynamika        6 : 4</t>
  </si>
  <si>
    <t>%     wykonania planu                      6 : 5</t>
  </si>
  <si>
    <t>Dynamika    11 : 9</t>
  </si>
  <si>
    <t>%     wykonania planu                     11 : 10</t>
  </si>
  <si>
    <t>Dynamika  16 : 14</t>
  </si>
  <si>
    <t>%     wykonania planu                 16 : 15</t>
  </si>
  <si>
    <t>na                               30-06-05</t>
  </si>
  <si>
    <t>Zarząd Budynków Mieszkalnych</t>
  </si>
  <si>
    <t>Żłobek                            Miejski</t>
  </si>
  <si>
    <t>Przedszkola              Miejskie</t>
  </si>
  <si>
    <t>Miejski Ośrodek Kultury</t>
  </si>
  <si>
    <t>Koszalińska      Biblioteka          Publiczna  i filie</t>
  </si>
  <si>
    <t>Bałtycki Teatr Dramatyczny</t>
  </si>
  <si>
    <t>Filharmonia Koszalińska</t>
  </si>
  <si>
    <t>Muzeum                                  w Koszalinie</t>
  </si>
  <si>
    <t xml:space="preserve">  Plan przychodów i wydatków funduszy celowych oraz dochodów własnych realizowany jest prawidłowo, co obrazują tabele nr 8 i 9</t>
  </si>
  <si>
    <t xml:space="preserve">                                       WYKONANIE PRZYCHODÓW  I  WYDATKÓW  FUNDUSZY  CELOWYCH</t>
  </si>
  <si>
    <t>Tabela nr 8</t>
  </si>
  <si>
    <t xml:space="preserve">                                                                ZA I PÓŁROCZE 2005 ROKU</t>
  </si>
  <si>
    <t xml:space="preserve"> w złotych</t>
  </si>
  <si>
    <t>Wykonanie            I półrocze         2004 roku</t>
  </si>
  <si>
    <t>Plan                 2005 r.</t>
  </si>
  <si>
    <t>Wykonanie            I półrocze         2005 roku</t>
  </si>
  <si>
    <t xml:space="preserve">Dynamika %      5:3    </t>
  </si>
  <si>
    <t xml:space="preserve">% wykonania planu                        5:4          </t>
  </si>
  <si>
    <t xml:space="preserve"> PRZYCHODY  OGÓŁEM                                                                                                                                    </t>
  </si>
  <si>
    <t xml:space="preserve">   z tego:</t>
  </si>
  <si>
    <t xml:space="preserve"> Gminny Fundusz Ochrony Środowiska i Gospodarki Wodnej</t>
  </si>
  <si>
    <t xml:space="preserve"> Powiatowy Fundusz Ochrony Środowiska i Gospodarki Wodnej</t>
  </si>
  <si>
    <t xml:space="preserve"> Powiatowy Fundusz Gospodarki Zasobem Geodezyjnym i Kartograficznym</t>
  </si>
  <si>
    <t xml:space="preserve"> WYDATKI  OGÓŁEM</t>
  </si>
  <si>
    <t xml:space="preserve"> STAN ŚRODKÓW OBROTOWYCH</t>
  </si>
  <si>
    <t>Tabela nr 9</t>
  </si>
  <si>
    <t xml:space="preserve">                                                                                          NA  30  CZERWCA  2005  ROKU</t>
  </si>
  <si>
    <t xml:space="preserve">Stan    środków </t>
  </si>
  <si>
    <t>Przychody</t>
  </si>
  <si>
    <t>Wydatki</t>
  </si>
  <si>
    <t>stan środków</t>
  </si>
  <si>
    <t>na początek roku</t>
  </si>
  <si>
    <t>wykonanie          I pólrocze             2004</t>
  </si>
  <si>
    <t>Plan             na 2005</t>
  </si>
  <si>
    <t>wykonanie          I pólrocze             2005</t>
  </si>
  <si>
    <t>% wykonania planu</t>
  </si>
  <si>
    <t>wykonanie            I pólrocze             2004</t>
  </si>
  <si>
    <t>wykonanie            I pólrocze             2005</t>
  </si>
  <si>
    <r>
      <t xml:space="preserve"> </t>
    </r>
    <r>
      <rPr>
        <sz val="9"/>
        <rFont val="Times New Roman"/>
        <family val="1"/>
      </rPr>
      <t xml:space="preserve">na koniec      I półrocza </t>
    </r>
    <r>
      <rPr>
        <sz val="8"/>
        <rFont val="Times New Roman"/>
        <family val="1"/>
      </rPr>
      <t xml:space="preserve">                          </t>
    </r>
    <r>
      <rPr>
        <sz val="7"/>
        <rFont val="Times New Roman"/>
        <family val="1"/>
      </rPr>
      <t>(3 + 6 -10)</t>
    </r>
  </si>
  <si>
    <t xml:space="preserve">Zarząd Dróg Miejskich </t>
  </si>
  <si>
    <t>Urząd Miejski</t>
  </si>
  <si>
    <t>Miejski Ośrodek Pomocy Społecznej</t>
  </si>
  <si>
    <t>4.</t>
  </si>
  <si>
    <t>Ośrodek Adopcyjno - Opiekuńczy</t>
  </si>
  <si>
    <t>5.</t>
  </si>
  <si>
    <t>Komenda Miejska Państwowej Straży Pożarnej</t>
  </si>
  <si>
    <t>6.</t>
  </si>
  <si>
    <t>Gminne jednostki oświatowe</t>
  </si>
  <si>
    <t>7.</t>
  </si>
  <si>
    <t>Powiatowe jednostki oświatowe</t>
  </si>
  <si>
    <t>dział 801</t>
  </si>
  <si>
    <t>dział 854</t>
  </si>
  <si>
    <t xml:space="preserve">                R A Z E M</t>
  </si>
  <si>
    <t xml:space="preserve">WYKONANIE   PLANU   PRZYCHODÓW  I  WYDATKÓW  DOCHODÓW  WŁASNYCH  </t>
  </si>
  <si>
    <t>REALIZACJA INWESTYCJI PLANOWANYCH DO REALIZACJI w 2005 r.</t>
  </si>
  <si>
    <t>(stan na dzień 30.06.2005 r.)</t>
  </si>
  <si>
    <t>Plan 2005 r.</t>
  </si>
  <si>
    <t xml:space="preserve">Wykonanie </t>
  </si>
  <si>
    <t xml:space="preserve">% </t>
  </si>
  <si>
    <t>Rozdział</t>
  </si>
  <si>
    <t>pierwotny</t>
  </si>
  <si>
    <t>po</t>
  </si>
  <si>
    <t>I półrocze</t>
  </si>
  <si>
    <t>wyk.</t>
  </si>
  <si>
    <t>Zakres rzeczowy</t>
  </si>
  <si>
    <t>§</t>
  </si>
  <si>
    <t xml:space="preserve"> zmianach</t>
  </si>
  <si>
    <t>2005 r.</t>
  </si>
  <si>
    <t>6  :  5</t>
  </si>
  <si>
    <t xml:space="preserve">INWESTYCJE KONTYNUOWANE </t>
  </si>
  <si>
    <t>Dział 600</t>
  </si>
  <si>
    <t>Ulica  Śródmiejska</t>
  </si>
  <si>
    <t>Inwestycja w trakcie realizacji, obejmująca dwa kontrakty w ramach Projektu Phare "Rozwój Małych i Średnich Przedsiębiorstw w Koszalinie (z wykonawcą ulicy - BUDIMEXem i Inżynierem Kontraktu - LAFRENTZ), umowę na nadzór autorski z Poznańskim Biurem Projektów oraz remonty dwóch obiektów na cele sakralne.</t>
  </si>
  <si>
    <t xml:space="preserve"> - środki Phare</t>
  </si>
  <si>
    <t>§ 6051</t>
  </si>
  <si>
    <t>Zaawansowanie robót drogowych wynosi 27%  (nie zaksięgowane wydatki ze środków Phare). Termin zakończenia 30.11.2005r. Zaawansowanie remontów obiektów dla celów sakralnych - przy ul. Jutrzenki ok. 80%, termin zakończenia 31.07.2005r.; przy ul. Piłsudskiego ok. 60%, termin zakończenia 31.08.2005r..</t>
  </si>
  <si>
    <t xml:space="preserve"> - środki własne</t>
  </si>
  <si>
    <t>§ 6052</t>
  </si>
  <si>
    <t>Inwestycja dofinansowana z WFOŚiGW - pożyczka preferencyjna na budowę ekranów akustycznych i separatora wód deszczowych wraz z osadnikiem.</t>
  </si>
  <si>
    <t>Osiedle Bukowe - drogi</t>
  </si>
  <si>
    <t>60016         §  6050</t>
  </si>
  <si>
    <t>Uzupełniono dokumentację techniczną ul. Wielkopolskiej-Kieleckiej oraz miejsc postojowych przy ul.Pomorskiej-Małopolskiej o specyfikacje techniczne wykonania i odbioru robót budowlanych. W trakcie procedury przetargowej na wykonawstwo parkingu przy ul.Pomorskiej-Małopolskiej.</t>
  </si>
  <si>
    <t>Osiedle "Wenedów"- drogi</t>
  </si>
  <si>
    <t xml:space="preserve">Opracowano dokumentację techniczną budowy II etapu drogi gminnej wraz z kanalizacją deszczową , oświetleniem i zatoką parkingową. Uzyskano pozwolenie na budowę. W trakcie przygotowania realizacji wraz z porozumieniem KTBS z miastem w sprawie realizacji robót.  </t>
  </si>
  <si>
    <t>Osiedle "Unii Europejskiej"-drogi</t>
  </si>
  <si>
    <t>Wykonano dokumentację techniczną oświetlenia tymczasowego ulicy Fińskiej. Rozstrzygnięto przetarg na wykonawstwo. Termin zakończenia robót - 25.07.2005r..            Wykonano specyfikację techniczną wykonania i i odbioru robót budowlanych ulicy Fińskiej (3 odcinków).  Dokonano opłaty za wyłączenie z produkcji rolniczej działek pod budowę dróg na osiedlu.</t>
  </si>
  <si>
    <t>Osiedle Topolowe - drogi</t>
  </si>
  <si>
    <t>Uzupełniono dokumentację techniczną ul. Orzechowej-Platanowej-Hebanowej o specyfikację techniczną wykonania i odbioru robót budowlanych. Rozstrzygnięto przetarg na budowę oświetlenia tych ulic. Termin zakończenia - 31.10.2005r.</t>
  </si>
  <si>
    <t>Osiedle Lipowe - drogi</t>
  </si>
  <si>
    <t>Zakończono budowę uzbrojenia ulic (223m kanalizacji deszczowej i 34m kanalizacji sanitarnej w ulicy Botanicznej, 39m kanalizacji deszczowej, 65 wodociągu i 43m sieci gazowej w ulicy Morelowej). W trakcie roboty drogowe. Termin zakończenia 30.10.2005r.. Brak fakturowania robót przez Wykonawcę.                                                                                       Inwestycja prowadzona w ramach robót publicznych. W kolumnie 6 wykazano wysokość refundacji wynagrodzeń za zatrudnionych bezrobotnych.</t>
  </si>
  <si>
    <t>Dział 700</t>
  </si>
  <si>
    <t>Mieszkania socjalne</t>
  </si>
  <si>
    <t>70095               § 6050</t>
  </si>
  <si>
    <t>Zakończono remont budynku na mieszkania socjalne przy ul. Bohaterów Warszawy i przekazano do eksploatacji. Przekazano klucze do 15 mieszkań.                                                                             Rozpoczęto adaptację budynku magazynowo technicznego na mieszkania socjalne przy ul. Boh.Warszawy 38 (26 mieszkań). Planowany termin zakończenia - 15.10.2005r.                                                                                    Inwestycja dofinansowywana ze środków budżetu państwa. Inwestycja prowadzona w ramach robót publicznych.                 W trakcie procedury przetargowej na dokumentację techniczną budowy budynku na mieszkania socjalne przy ul. Batalionów Chłopskich oraz opracowywania dokumentacji technicznej na adaptację budynku przy ul. 4-go Marca.</t>
  </si>
  <si>
    <t>Mieszkania komunalne</t>
  </si>
  <si>
    <t>70095                              § 6050</t>
  </si>
  <si>
    <t>Zakończono remont budynku na mieszkania komunalne przy ul.Bema i przekazano do eksploatacji. Przekazano klucze do 10 mieszkań.                                                                                    Inwestycja prowadzona w ramach robót publicznych.</t>
  </si>
  <si>
    <t>Dział 900</t>
  </si>
  <si>
    <t>Uzbrojenie terenu pod Słupską Specjalną Strefę Ekonomiczną, Kompleks Koszalin</t>
  </si>
  <si>
    <t>90001                                    § 6050</t>
  </si>
  <si>
    <t>Opracowano specyfikację techniczną wykonania i odbioru robót sieci wod.kan., rozstrzygnięto przetarg na wykonawstwo z planowanym terminem zakończenia 31.08.br. (teren fabryki rowerów). W trakcie procedury przetargowej na wykonanie pozostałego zakresu uzbrojenia w sieci wod.-kan.. Termin otwarcia ofert  - 29.07.br.</t>
  </si>
  <si>
    <t>Uzbrojenie ul. Szczecińskiej</t>
  </si>
  <si>
    <t>Zakończono prace projektowe i wystąpiono o pozwolenie na budowę.</t>
  </si>
  <si>
    <t>Magistrala wodociągowa do Dzierżęcina</t>
  </si>
  <si>
    <t>90095                                § 6050</t>
  </si>
  <si>
    <t>Zakończono procedury związane z prawem do terenu, uzyskano pozwolenie na budowę. Rozpoczęto realizację. Termin zakończenia - 31.08.2005r.</t>
  </si>
  <si>
    <t>Dokumentacja pod przyszłe inwestycje</t>
  </si>
  <si>
    <t>Opracowano dokumentację techniczną budowy ul. Ułańska-Kadetów, wodociągu w ul. Lubiatowskiej, parkingu przy ul. Kwiatkowskiego. W trakcie procedury przetargowej na wykonanie dokumentacji technicznej modernizacji ul. Kosynierów, budowy kanalizacji sanitarnej w ul.Sarzyńskiej oraz wielobranżowej dokumentacji ulic Bratków-Fiołków (os.Raduszka). Wystąpiono o decyzję ustalenia lokalizacji inwestycji celu publicznego połączenia ulicy Strażackiej z ulicą Połczyńską.</t>
  </si>
  <si>
    <t>Wydatki na inwestycje zakończone</t>
  </si>
  <si>
    <t xml:space="preserve">Opracowano koncepcję programową na wprowadzenie obiegu zamkniętego odcieków na terenie Zakładu Odzysku Odpadów i Raport ochrony środowiska dla wysypiska  w Sianowie. Zakupiono wykładzinę zabezpieczającą parkiet sali sportowej przy ZSO Nr 2. Wykonano podwyższenie balustrad i odprowadzenie wód deszczowych przy budynku MDK ul. Bogusława II-go. </t>
  </si>
  <si>
    <t>Inwestycyjne inicjatywy społeczne</t>
  </si>
  <si>
    <t>Zarządzeniem Prezydenta Miasta dnia 02.06.2005r. został wprowadzony nowy regulamin organizacji inwestycyjnych inicjatyw społecznych, wprowadzający nowe zasady realizacji inwestycji przy finansowym udziale mieszkańców. W trakcie wprowadzanie zapisów Regulaminu i podpisywanie umów z mieszkańcami, którzy zgłosili wolę udziału.</t>
  </si>
  <si>
    <t>Dział 921</t>
  </si>
  <si>
    <t>Modernizacja budynku  MOK - akustyka</t>
  </si>
  <si>
    <t>92109                                                § 6050</t>
  </si>
  <si>
    <t>Zakupiono urządzenia nagłaśniające (mikser, mikrofony, akcesoria, słuchawki wraz z systemem połączeń). W trakcie opracowanie dokumentacji technicznej na poprawę akustyki. Termin oddania - 11.07.2005r.</t>
  </si>
  <si>
    <t>Modernizacja budynku MOK i  remont amfiteatru</t>
  </si>
  <si>
    <t>92109                                                § 6220</t>
  </si>
  <si>
    <t xml:space="preserve">Dokonano opłat z tytułu odsetek od zaciągniętego kredytu na remont MOK-u oraz wykonano remont amfiteatru na kwotę 12,5 tys. Kosztorys i prace konserwacyjne dachu zostaną zrealizowane w II półroczu br. </t>
  </si>
  <si>
    <t>Dział 926</t>
  </si>
  <si>
    <t>Modernizacja stadionu "Bałtyk" I etap</t>
  </si>
  <si>
    <t>92601                               § 6050</t>
  </si>
  <si>
    <t xml:space="preserve"> Wykonano dokumentację techniczną wraz ze specyfikacją wykonania i odbioru robót budowlanych modernizacji stadionu  (boiska głównego o nawierzchni trawiastej wraz z bieżnią tartanową, niezbędnym uzbrojeniem i budynkiem sanitarno-szatniowym, EUROBOISA z nawierzchnią ze sztucznej trawy). W trakcie procedury przetargowej, termin otwarcia ofert - 11.07.2005r. Zrealizowano oświetlenie kortów tenisowych.</t>
  </si>
  <si>
    <t>Inwestycja zgłoszona o dofinansowanie ze środków UE (ZPORR) na budowę EUROBOISKA, zaś boiska głównego w trakcie opracowywania wniosku do Ministerstwa Edukacji Narodowej i Sportu; termin złożenia 29.07.2005r.</t>
  </si>
  <si>
    <t>Modernizacja dużego basenu</t>
  </si>
  <si>
    <t>92601                                   § 6050</t>
  </si>
  <si>
    <t>Inwestycja w trakcie realizacji. Zakończono roboty rozbiórkowe, montaż konstrukcji dachu wraz z deskowaniem, roboty ogólnobudowlane w pomieszczeniu dla niepełnosprawnych. W trakcie przebudowa trybun (zaawansowanie ok.80%), elewacja wraz z ociepleniem piwnic (ok. 70%), instalacje wewnętrzne wod.kan, c.o. ok.50%, elektryczne 55%, klimatyzacja i wentylacja ok.75%. W trakcie wykonanie ciągów wentylacyjno-klimatyzacyjnych, roboty budowlane pod wannę SPA do hydromasażu. Termin zakończenia robót budowlanych w połowie września, w zależności od wykonania uzupełnień w dokumentacji projektowej.</t>
  </si>
  <si>
    <t xml:space="preserve">INWESTYCJE ROZPOCZYNANE </t>
  </si>
  <si>
    <t>ul. Kamieniarska</t>
  </si>
  <si>
    <t>60016          § 6050</t>
  </si>
  <si>
    <t>Uzupełniono dokumentację techniczną o specyfikację techniczną wykonania i odbioru robót budowlanych.</t>
  </si>
  <si>
    <t>ul. Olchowa</t>
  </si>
  <si>
    <t>Uzupełniono dokumentację techniczną o specyfikację techniczną wykonania i odbioru robót budowlanych.                                                                 Inwestycja zgłoszona do dofinansowania ze środków UE (ZPORR). W trakcie rozpatrywania wniosków przez Regionalny Komitet Sterujący.</t>
  </si>
  <si>
    <t>Usprawnienie układu komunikacyjnego miasta Koszalin -  ul. Władysława IV</t>
  </si>
  <si>
    <t>60016          § 6050                     § 6051                         § 6052</t>
  </si>
  <si>
    <t>Wydatki  niekwalifikowane - opłata za sporządzanie aktów notarialnych do zabezpieczeń umowy o finansowaniu w ramach środków pomocowych ZPORR, ogłoszenie prasowe o prowadzeniu inwestycji oraz kserokopie dokumentacji projektowej. Realizacja zadania nastąpi w II półroczu br.</t>
  </si>
  <si>
    <t>Przebudowa skrzyżowanie ulic:  Armii Krajowej - Monte Cassino - Franciszkańskiej - Niepodległości</t>
  </si>
  <si>
    <t>Wydatki  niekwalifikowane - aktualizacja kosztorysów i specyfikacji  technicznych, opłata za sporządzanie aktów notarialnych do zabezpieczeń umowy o finansowaniu w ramach środków pomocowych ZPORR, ogłoszenia oraz kserokopie dokumentacji projektowej.  Realizacja zadania nastąpi w II półroczu br.</t>
  </si>
  <si>
    <t>ul. Walecznych</t>
  </si>
  <si>
    <t>Zakończono budowę nawierzchni wraz z brakującym uzbrojeniem. W trakcie rozliczenie końcowe robót.</t>
  </si>
  <si>
    <t>ul. Krańcowa</t>
  </si>
  <si>
    <t>Uzupełniono dokumentację techniczną o specyfikację techniczną wykonania i odbioru robót budowlanych. Wystąpiono z wnioskiem o pozwolenie na budowę.                                Dokonano opłaty za wyłączenie z produkcji rolniczej.</t>
  </si>
  <si>
    <t>Przebudowa ulicy Chrobrego</t>
  </si>
  <si>
    <r>
      <t>Przebudowa ulicy na odcinku od ul. Zwycięstwa do ul. Wyszyńskiego. Wykonano: roboty rozbiórkowe, krawężnikowe 6 m, nawierzchnię z kostki brukowej betonowej 606 m</t>
    </r>
    <r>
      <rPr>
        <i/>
        <vertAlign val="superscript"/>
        <sz val="10"/>
        <rFont val="Times New Roman CE"/>
        <family val="1"/>
      </rPr>
      <t>2</t>
    </r>
    <r>
      <rPr>
        <i/>
        <sz val="10"/>
        <rFont val="Times New Roman CE"/>
        <family val="1"/>
      </rPr>
      <t>, ułożono nawierzchnię z kostki kamiennej - 27,9 m</t>
    </r>
    <r>
      <rPr>
        <i/>
        <vertAlign val="superscript"/>
        <sz val="10"/>
        <rFont val="Times New Roman CE"/>
        <family val="1"/>
      </rPr>
      <t>2.</t>
    </r>
    <r>
      <rPr>
        <i/>
        <sz val="10"/>
        <rFont val="Times New Roman CE"/>
        <family val="1"/>
      </rPr>
      <t xml:space="preserve"> Regulacje 10 studzienek oraz wymianę  dwóch słupów oświetleniowych. </t>
    </r>
  </si>
  <si>
    <t>Przebudowa ulic: Mickiewicza, Asnyka, Grodzkiej</t>
  </si>
  <si>
    <t>Realizacja w II półroczu br.</t>
  </si>
  <si>
    <t>Parking przy Szpitalu Wojewódzkim</t>
  </si>
  <si>
    <t>60017          § 6050</t>
  </si>
  <si>
    <t>Dokumentacja przyszłościowa</t>
  </si>
  <si>
    <t>60095          § 6050</t>
  </si>
  <si>
    <t>Zarząd Dróg Miejskich</t>
  </si>
  <si>
    <t>Remont pomieszczeń biurowych - II półrocze br.</t>
  </si>
  <si>
    <t>70001          § 6210</t>
  </si>
  <si>
    <t>Dotacja na remonty budynków</t>
  </si>
  <si>
    <t>Dział 750</t>
  </si>
  <si>
    <t>75023          § 6050</t>
  </si>
  <si>
    <t>Podłączenie do Ogólnopolskiej Sieci Optycznej PIONIER -realizacja  II półrocze br.</t>
  </si>
  <si>
    <t>Dział 754</t>
  </si>
  <si>
    <t>Komenda Powiatowa Państwowej Straży Pożarnej</t>
  </si>
  <si>
    <t>75411          § 6050</t>
  </si>
  <si>
    <t>Modernizacja garażu przy ul. Strażackiej- wykonanie dokumentacji technicznej</t>
  </si>
  <si>
    <t>Dział 801</t>
  </si>
  <si>
    <t>Zespół Obsługi Ekonomiczno - Administracyjnej Przedszkoli</t>
  </si>
  <si>
    <t>80195          § 6050</t>
  </si>
  <si>
    <t>Wykonanie dokumentacji na budowę ścieżki rowerowej w Przedszkolu nr 34</t>
  </si>
  <si>
    <t>Dział 851</t>
  </si>
  <si>
    <t>Budowa Skate Parku</t>
  </si>
  <si>
    <t>85154          § 6050</t>
  </si>
  <si>
    <t>Oddano do użytku w lipcu br. całkowite rozliczenie II połowie roku</t>
  </si>
  <si>
    <t>Osiedle Raduszka-Wilkowo (uzbrojenie)</t>
  </si>
  <si>
    <t>90001                             § 6050</t>
  </si>
  <si>
    <t xml:space="preserve">Uzupełniono dokumentację techniczną o specyfikację techniczną wykonania i odbioru robót budowlanych . Wykonano studium wykonalności do wniosku o dofinansowanie ze środków U (ZPORR).  </t>
  </si>
  <si>
    <t>ul. Lniana -Różana</t>
  </si>
  <si>
    <t>90001                      § 6050</t>
  </si>
  <si>
    <t>W trakcie opracowywania dokumentacji technicznej. Termin oddania - 30.10.2005r.</t>
  </si>
  <si>
    <t>Osiedle Unii Europejskiej - uzbrojenie</t>
  </si>
  <si>
    <t xml:space="preserve"> 90001                       § 6050</t>
  </si>
  <si>
    <t>Uzupełniono dokumentację techniczną o specyfikację techniczną wykonania i odbioru robót budowlanych oraz zaktualizowano dokumentację techniczną uzbrojenia ul. Holenderskiej (dla budynków KTBS) oraz wystąpiono o pozwolenie na budowę.  Zakupiono grunt po budowę przepompowni wraz z pasem technicznym.</t>
  </si>
  <si>
    <t>Oświetlenie iluminacyjne</t>
  </si>
  <si>
    <t>90015                       § 6050</t>
  </si>
  <si>
    <t>W trakcie procedury na wykonawstwo oświetlenia Cerkwi Prawosławnej przy ul. Mickiewicza. Otwarcie ofert - 08.07.2005r.</t>
  </si>
  <si>
    <t>ul. ZWP - uzbrojenie (I etap)</t>
  </si>
  <si>
    <t>90095                             § 6050</t>
  </si>
  <si>
    <t xml:space="preserve">Wykonano dokumentację techniczną wraz ze specyfikacją wykonania i odbioru robót budowlanych. Uzyskano pozwolenie na budowę. W trakcie procedury przetargowej na wykonanie sieci wodociągowej na odcinku od ul.Sanatoryjnej do ul. Wopistów (przy planowanym Hospicjum). Termin otwarcia ofert - 14.07.2005r. </t>
  </si>
  <si>
    <t>Modernizacja Bałtyckiego Teatru Dramatycznego</t>
  </si>
  <si>
    <t>92106                § 6050</t>
  </si>
  <si>
    <t>Zakończono opracowanie dokumentacji technicznej, uzupełniono o specyfikację wykonania i odbioru robót budowlanych.  W trakcie realizacji remont kotłowni dla potrzeb teatru. Inwestycja zgłoszona o dofinansowanie ze środków UE (ZPORR). W trakcie rozpatrywania wniosków przez Regionalny Komitet Sterujący .</t>
  </si>
  <si>
    <t>Pawilon judo</t>
  </si>
  <si>
    <t xml:space="preserve">Ogółem inwestycje (I+II)  </t>
  </si>
  <si>
    <t xml:space="preserve">III.  ZAKUPY INWESTYCYJNE </t>
  </si>
  <si>
    <t>Załącznik nr 1</t>
  </si>
  <si>
    <t>IV.   INNE  MAJĄTKOWE</t>
  </si>
  <si>
    <t xml:space="preserve">Wydatki na zakup i objęcie akcji oraz wniesienie wkładów do spółek prawa handlowego - KTBS </t>
  </si>
  <si>
    <t>V.   REMONTY</t>
  </si>
  <si>
    <t>Załącznik nr 2</t>
  </si>
  <si>
    <t>OGÓŁEM  WYDATKI   MAJĄTKOWE  I  REMONTY</t>
  </si>
  <si>
    <t>.</t>
  </si>
  <si>
    <t>INFORMACJA  Z  REALIZACJI  ZAKUPÓW  INWESTYCYJNYCH</t>
  </si>
  <si>
    <t>(stan na dzień 30.06 2005 r.)</t>
  </si>
  <si>
    <t>w tys. zł.</t>
  </si>
  <si>
    <t>L.p.</t>
  </si>
  <si>
    <t>Rozdział   §</t>
  </si>
  <si>
    <t xml:space="preserve">Plan   po zmianach                 </t>
  </si>
  <si>
    <t>% wykonania              6  :  5</t>
  </si>
  <si>
    <t>Dział  600</t>
  </si>
  <si>
    <r>
      <t>ZDM- z</t>
    </r>
    <r>
      <rPr>
        <i/>
        <sz val="10"/>
        <rFont val="Times New Roman"/>
        <family val="1"/>
      </rPr>
      <t>akupy sprzętu komputerowego i oprogramowania</t>
    </r>
  </si>
  <si>
    <t xml:space="preserve"> 60095    6060</t>
  </si>
  <si>
    <t>Dział  700</t>
  </si>
  <si>
    <r>
      <t>Gospodarka gruntami i nieruchomościami - p</t>
    </r>
    <r>
      <rPr>
        <i/>
        <sz val="10"/>
        <rFont val="Times New Roman"/>
        <family val="1"/>
      </rPr>
      <t>ierwokupy nieruchomości, wykupy gruntów</t>
    </r>
  </si>
  <si>
    <t>70005    6060</t>
  </si>
  <si>
    <t>Dział  750</t>
  </si>
  <si>
    <r>
      <t>Urząd Miejski -</t>
    </r>
    <r>
      <rPr>
        <i/>
        <sz val="10"/>
        <rFont val="Times New Roman"/>
        <family val="1"/>
      </rPr>
      <t xml:space="preserve"> zakup sprzętu komputerowego, oprogramowania i urządzeń sieciowych</t>
    </r>
  </si>
  <si>
    <t>75023    6060</t>
  </si>
  <si>
    <t>Dział  754</t>
  </si>
  <si>
    <r>
      <t xml:space="preserve">Straż Miejska - </t>
    </r>
    <r>
      <rPr>
        <i/>
        <sz val="10"/>
        <rFont val="Times New Roman"/>
        <family val="1"/>
      </rPr>
      <t>zakup fotoradaru</t>
    </r>
  </si>
  <si>
    <t>75495       6060</t>
  </si>
  <si>
    <t>Dział  801</t>
  </si>
  <si>
    <r>
      <t xml:space="preserve">Zespół Szkół Nr 11 - </t>
    </r>
    <r>
      <rPr>
        <i/>
        <sz val="10"/>
        <rFont val="Times New Roman"/>
        <family val="1"/>
      </rPr>
      <t xml:space="preserve">zakup specjalistycznego ciągnika do koszenia trawy </t>
    </r>
  </si>
  <si>
    <t>80101  80110     6060</t>
  </si>
  <si>
    <t>Poprawienie bazy dydaktycznej szkół ponadgimnazjalnych</t>
  </si>
  <si>
    <t>80195  6060</t>
  </si>
  <si>
    <t>Dział  852</t>
  </si>
  <si>
    <r>
      <t xml:space="preserve">Powiatowe centra pomocy rodzinie - </t>
    </r>
    <r>
      <rPr>
        <i/>
        <sz val="10"/>
        <rFont val="Times New Roman"/>
        <family val="1"/>
      </rPr>
      <t>zakup sprzętu komputerowego</t>
    </r>
  </si>
  <si>
    <t>85218  6060</t>
  </si>
  <si>
    <r>
      <t>MOPS  -</t>
    </r>
    <r>
      <rPr>
        <i/>
        <sz val="10"/>
        <rFont val="Times New Roman"/>
        <family val="1"/>
      </rPr>
      <t xml:space="preserve"> zakup sprzętu komputerowego</t>
    </r>
  </si>
  <si>
    <t>75219    6060</t>
  </si>
  <si>
    <t>Dział  853</t>
  </si>
  <si>
    <r>
      <t>Zespoły do spraw orzekania o niepełnosprawności - z</t>
    </r>
    <r>
      <rPr>
        <i/>
        <sz val="10"/>
        <rFont val="Times New Roman"/>
        <family val="1"/>
      </rPr>
      <t>akup sprzętu komputerowego</t>
    </r>
  </si>
  <si>
    <t>85321   6060</t>
  </si>
  <si>
    <t>Dział  854</t>
  </si>
  <si>
    <t xml:space="preserve">      </t>
  </si>
  <si>
    <r>
      <t xml:space="preserve">Specjalny Ośrodki Szkolno-Wychowawczy - </t>
    </r>
    <r>
      <rPr>
        <i/>
        <sz val="10"/>
        <rFont val="Times New Roman"/>
        <family val="1"/>
      </rPr>
      <t>zakup wyposażenia do kuchni w internacie</t>
    </r>
  </si>
  <si>
    <t>85403    6060</t>
  </si>
  <si>
    <r>
      <t xml:space="preserve">Miejska Poradnia Psychologiczno - Pedagogiczna - </t>
    </r>
    <r>
      <rPr>
        <i/>
        <sz val="10"/>
        <rFont val="Times New Roman"/>
        <family val="1"/>
      </rPr>
      <t>zakup kserokopiarki</t>
    </r>
  </si>
  <si>
    <t>85406    6060</t>
  </si>
  <si>
    <t>Dział  900</t>
  </si>
  <si>
    <r>
      <t xml:space="preserve">Schronisko dla zwierząt - </t>
    </r>
    <r>
      <rPr>
        <i/>
        <sz val="10"/>
        <rFont val="Times New Roman"/>
        <family val="1"/>
      </rPr>
      <t>zakup części instalacyjnych do montażu kotła ważelnego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</si>
</sst>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&quot; zł&quot;#,##0.00_);[Red]\(&quot; zł&quot;#,##0.00\)"/>
    <numFmt numFmtId="168" formatCode="0.000"/>
  </numFmts>
  <fonts count="94">
    <font>
      <sz val="10"/>
      <name val="Arial CE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u val="single"/>
      <sz val="14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2"/>
      <color indexed="8"/>
      <name val="Times New Roman CE"/>
      <family val="1"/>
    </font>
    <font>
      <sz val="8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sz val="13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3"/>
      <color indexed="8"/>
      <name val="Arial Narrow"/>
      <family val="2"/>
    </font>
    <font>
      <b/>
      <i/>
      <sz val="11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sz val="14"/>
      <name val="Arial CE"/>
      <family val="2"/>
    </font>
    <font>
      <sz val="9"/>
      <name val="Arial CE"/>
      <family val="0"/>
    </font>
    <font>
      <sz val="14"/>
      <name val="Times New Roman"/>
      <family val="1"/>
    </font>
    <font>
      <sz val="7"/>
      <name val="Times New Roman"/>
      <family val="1"/>
    </font>
    <font>
      <sz val="14"/>
      <name val="Arial CE"/>
      <family val="0"/>
    </font>
    <font>
      <b/>
      <i/>
      <sz val="12"/>
      <name val="Times New Roman CE"/>
      <family val="1"/>
    </font>
    <font>
      <b/>
      <i/>
      <sz val="8"/>
      <name val="Times New Roman CE"/>
      <family val="1"/>
    </font>
    <font>
      <b/>
      <i/>
      <sz val="16"/>
      <name val="Times New Roman CE"/>
      <family val="1"/>
    </font>
    <font>
      <i/>
      <sz val="10"/>
      <name val="Arial CE"/>
      <family val="0"/>
    </font>
    <font>
      <b/>
      <sz val="16"/>
      <name val="Times New Roman CE"/>
      <family val="1"/>
    </font>
    <font>
      <b/>
      <i/>
      <sz val="9"/>
      <name val="Times New Roman CE"/>
      <family val="1"/>
    </font>
    <font>
      <b/>
      <sz val="6"/>
      <name val="Times New Roman CE"/>
      <family val="1"/>
    </font>
    <font>
      <b/>
      <sz val="6"/>
      <name val="Arial CE"/>
      <family val="0"/>
    </font>
    <font>
      <i/>
      <sz val="12"/>
      <name val="Arial CE"/>
      <family val="0"/>
    </font>
    <font>
      <i/>
      <sz val="12"/>
      <name val="Times New Roman CE"/>
      <family val="1"/>
    </font>
    <font>
      <b/>
      <i/>
      <sz val="12"/>
      <name val="Arial CE"/>
      <family val="0"/>
    </font>
    <font>
      <i/>
      <vertAlign val="superscript"/>
      <sz val="10"/>
      <name val="Times New Roman CE"/>
      <family val="1"/>
    </font>
    <font>
      <b/>
      <sz val="13"/>
      <name val="Arial CE"/>
      <family val="0"/>
    </font>
    <font>
      <sz val="12"/>
      <name val="Arial CE"/>
      <family val="0"/>
    </font>
    <font>
      <sz val="10"/>
      <name val="MS Sans Serif"/>
      <family val="0"/>
    </font>
    <font>
      <b/>
      <i/>
      <sz val="11"/>
      <name val="Arial CE"/>
      <family val="0"/>
    </font>
    <font>
      <sz val="18"/>
      <name val="Times New Roman CE"/>
      <family val="0"/>
    </font>
    <font>
      <b/>
      <sz val="18"/>
      <name val="Times New Roman CE"/>
      <family val="1"/>
    </font>
    <font>
      <i/>
      <sz val="7"/>
      <name val="Times New Roman CE"/>
      <family val="1"/>
    </font>
    <font>
      <i/>
      <sz val="8"/>
      <name val="Times New Roman CE"/>
      <family val="1"/>
    </font>
    <font>
      <b/>
      <i/>
      <sz val="7"/>
      <name val="Times New Roman CE"/>
      <family val="1"/>
    </font>
  </fonts>
  <fills count="2">
    <fill>
      <patternFill/>
    </fill>
    <fill>
      <patternFill patternType="gray125"/>
    </fill>
  </fills>
  <borders count="1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 wrapText="1"/>
      <protection/>
    </xf>
    <xf numFmtId="1" fontId="3" fillId="0" borderId="0" xfId="0" applyNumberFormat="1" applyFont="1" applyFill="1" applyBorder="1" applyAlignment="1" applyProtection="1">
      <alignment horizontal="centerContinuous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164" fontId="11" fillId="0" borderId="12" xfId="0" applyNumberFormat="1" applyFont="1" applyFill="1" applyBorder="1" applyAlignment="1" applyProtection="1">
      <alignment vertical="center"/>
      <protection/>
    </xf>
    <xf numFmtId="165" fontId="11" fillId="0" borderId="12" xfId="0" applyNumberFormat="1" applyFont="1" applyFill="1" applyBorder="1" applyAlignment="1" applyProtection="1">
      <alignment vertical="center"/>
      <protection/>
    </xf>
    <xf numFmtId="165" fontId="11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 wrapText="1"/>
      <protection/>
    </xf>
    <xf numFmtId="3" fontId="8" fillId="0" borderId="6" xfId="0" applyNumberFormat="1" applyFont="1" applyFill="1" applyBorder="1" applyAlignment="1" applyProtection="1">
      <alignment vertical="center"/>
      <protection/>
    </xf>
    <xf numFmtId="164" fontId="8" fillId="0" borderId="6" xfId="0" applyNumberFormat="1" applyFont="1" applyFill="1" applyBorder="1" applyAlignment="1" applyProtection="1">
      <alignment vertical="center"/>
      <protection/>
    </xf>
    <xf numFmtId="165" fontId="8" fillId="0" borderId="6" xfId="0" applyNumberFormat="1" applyFont="1" applyFill="1" applyBorder="1" applyAlignment="1" applyProtection="1">
      <alignment vertical="center"/>
      <protection/>
    </xf>
    <xf numFmtId="165" fontId="8" fillId="0" borderId="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3" fontId="11" fillId="0" borderId="6" xfId="0" applyNumberFormat="1" applyFont="1" applyFill="1" applyBorder="1" applyAlignment="1" applyProtection="1">
      <alignment horizontal="right" vertical="center"/>
      <protection/>
    </xf>
    <xf numFmtId="164" fontId="12" fillId="0" borderId="6" xfId="0" applyNumberFormat="1" applyFont="1" applyFill="1" applyBorder="1" applyAlignment="1" applyProtection="1">
      <alignment vertical="center"/>
      <protection/>
    </xf>
    <xf numFmtId="165" fontId="12" fillId="0" borderId="6" xfId="0" applyNumberFormat="1" applyFont="1" applyFill="1" applyBorder="1" applyAlignment="1" applyProtection="1">
      <alignment vertical="center"/>
      <protection/>
    </xf>
    <xf numFmtId="165" fontId="12" fillId="0" borderId="7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vertical="center" wrapText="1"/>
      <protection/>
    </xf>
    <xf numFmtId="3" fontId="14" fillId="0" borderId="6" xfId="0" applyNumberFormat="1" applyFont="1" applyFill="1" applyBorder="1" applyAlignment="1" applyProtection="1">
      <alignment vertical="center"/>
      <protection/>
    </xf>
    <xf numFmtId="164" fontId="14" fillId="0" borderId="6" xfId="0" applyNumberFormat="1" applyFont="1" applyFill="1" applyBorder="1" applyAlignment="1" applyProtection="1">
      <alignment vertical="center"/>
      <protection/>
    </xf>
    <xf numFmtId="165" fontId="14" fillId="0" borderId="6" xfId="0" applyNumberFormat="1" applyFont="1" applyFill="1" applyBorder="1" applyAlignment="1" applyProtection="1">
      <alignment vertical="center"/>
      <protection/>
    </xf>
    <xf numFmtId="165" fontId="14" fillId="0" borderId="7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11" fillId="0" borderId="6" xfId="0" applyNumberFormat="1" applyFont="1" applyFill="1" applyBorder="1" applyAlignment="1" applyProtection="1">
      <alignment vertical="center"/>
      <protection/>
    </xf>
    <xf numFmtId="164" fontId="11" fillId="0" borderId="6" xfId="0" applyNumberFormat="1" applyFont="1" applyFill="1" applyBorder="1" applyAlignment="1" applyProtection="1">
      <alignment vertical="center"/>
      <protection/>
    </xf>
    <xf numFmtId="165" fontId="11" fillId="0" borderId="6" xfId="0" applyNumberFormat="1" applyFont="1" applyFill="1" applyBorder="1" applyAlignment="1" applyProtection="1">
      <alignment vertical="center"/>
      <protection/>
    </xf>
    <xf numFmtId="165" fontId="11" fillId="0" borderId="7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5" fontId="5" fillId="0" borderId="15" xfId="0" applyNumberFormat="1" applyFont="1" applyFill="1" applyBorder="1" applyAlignment="1" applyProtection="1">
      <alignment horizontal="center" vertical="center"/>
      <protection/>
    </xf>
    <xf numFmtId="165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164" fontId="5" fillId="0" borderId="18" xfId="0" applyNumberFormat="1" applyFont="1" applyFill="1" applyBorder="1" applyAlignment="1" applyProtection="1">
      <alignment vertical="center"/>
      <protection/>
    </xf>
    <xf numFmtId="165" fontId="5" fillId="0" borderId="18" xfId="0" applyNumberFormat="1" applyFont="1" applyFill="1" applyBorder="1" applyAlignment="1" applyProtection="1">
      <alignment horizontal="center" vertical="center"/>
      <protection/>
    </xf>
    <xf numFmtId="165" fontId="5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6" fontId="17" fillId="0" borderId="0" xfId="0" applyFont="1" applyAlignment="1">
      <alignment/>
    </xf>
    <xf numFmtId="166" fontId="15" fillId="0" borderId="0" xfId="0" applyFont="1" applyAlignment="1">
      <alignment/>
    </xf>
    <xf numFmtId="0" fontId="15" fillId="0" borderId="0" xfId="0" applyFont="1" applyBorder="1" applyAlignment="1">
      <alignment/>
    </xf>
    <xf numFmtId="164" fontId="18" fillId="0" borderId="0" xfId="0" applyFont="1" applyAlignment="1">
      <alignment horizontal="centerContinuous" vertical="center" wrapText="1"/>
    </xf>
    <xf numFmtId="164" fontId="19" fillId="0" borderId="0" xfId="0" applyFont="1" applyAlignment="1">
      <alignment horizontal="centerContinuous" vertical="center" wrapText="1"/>
    </xf>
    <xf numFmtId="164" fontId="20" fillId="0" borderId="0" xfId="0" applyFont="1" applyAlignment="1">
      <alignment horizontal="centerContinuous" vertical="center" wrapText="1"/>
    </xf>
    <xf numFmtId="164" fontId="21" fillId="0" borderId="0" xfId="0" applyFont="1" applyAlignment="1">
      <alignment horizontal="centerContinuous" vertical="center" wrapText="1"/>
    </xf>
    <xf numFmtId="166" fontId="22" fillId="0" borderId="0" xfId="0" applyFont="1" applyAlignment="1">
      <alignment horizontal="centerContinuous" vertical="center" wrapText="1"/>
    </xf>
    <xf numFmtId="166" fontId="21" fillId="0" borderId="0" xfId="0" applyFont="1" applyAlignment="1">
      <alignment horizontal="centerContinuous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4" fontId="23" fillId="0" borderId="0" xfId="0" applyFont="1" applyAlignment="1">
      <alignment horizontal="centerContinuous" vertical="center" wrapText="1"/>
    </xf>
    <xf numFmtId="164" fontId="15" fillId="0" borderId="0" xfId="0" applyFont="1" applyAlignment="1">
      <alignment horizontal="centerContinuous"/>
    </xf>
    <xf numFmtId="164" fontId="15" fillId="0" borderId="0" xfId="0" applyFont="1" applyBorder="1" applyAlignment="1">
      <alignment horizontal="centerContinuous"/>
    </xf>
    <xf numFmtId="164" fontId="15" fillId="0" borderId="0" xfId="0" applyFont="1" applyAlignment="1">
      <alignment horizontal="centerContinuous"/>
    </xf>
    <xf numFmtId="166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top"/>
    </xf>
    <xf numFmtId="166" fontId="17" fillId="0" borderId="0" xfId="0" applyFont="1" applyBorder="1" applyAlignment="1">
      <alignment horizontal="centerContinuous"/>
    </xf>
    <xf numFmtId="166" fontId="15" fillId="0" borderId="0" xfId="0" applyFont="1" applyBorder="1" applyAlignment="1">
      <alignment horizontal="right"/>
    </xf>
    <xf numFmtId="166" fontId="15" fillId="0" borderId="0" xfId="0" applyFont="1" applyBorder="1" applyAlignment="1">
      <alignment horizontal="centerContinuous"/>
    </xf>
    <xf numFmtId="164" fontId="16" fillId="0" borderId="1" xfId="0" applyFont="1" applyBorder="1" applyAlignment="1">
      <alignment horizontal="center" vertical="center"/>
    </xf>
    <xf numFmtId="164" fontId="18" fillId="0" borderId="20" xfId="0" applyFont="1" applyBorder="1" applyAlignment="1">
      <alignment horizontal="center" vertical="center"/>
    </xf>
    <xf numFmtId="164" fontId="18" fillId="0" borderId="21" xfId="0" applyFont="1" applyBorder="1" applyAlignment="1">
      <alignment horizontal="center" vertical="center"/>
    </xf>
    <xf numFmtId="164" fontId="19" fillId="0" borderId="22" xfId="0" applyFont="1" applyBorder="1" applyAlignment="1">
      <alignment horizontal="centerContinuous" vertical="center" wrapText="1"/>
    </xf>
    <xf numFmtId="164" fontId="24" fillId="0" borderId="23" xfId="0" applyFont="1" applyBorder="1" applyAlignment="1">
      <alignment horizontal="centerContinuous" vertical="center" wrapText="1"/>
    </xf>
    <xf numFmtId="166" fontId="25" fillId="0" borderId="23" xfId="0" applyFont="1" applyBorder="1" applyAlignment="1">
      <alignment horizontal="centerContinuous" vertical="center" wrapText="1"/>
    </xf>
    <xf numFmtId="166" fontId="26" fillId="0" borderId="24" xfId="0" applyFont="1" applyBorder="1" applyAlignment="1">
      <alignment horizontal="centerContinuous" vertical="center" wrapText="1"/>
    </xf>
    <xf numFmtId="164" fontId="27" fillId="0" borderId="23" xfId="0" applyFont="1" applyBorder="1" applyAlignment="1">
      <alignment horizontal="centerContinuous" vertical="center" wrapText="1"/>
    </xf>
    <xf numFmtId="166" fontId="28" fillId="0" borderId="24" xfId="0" applyFont="1" applyBorder="1" applyAlignment="1">
      <alignment horizontal="centerContinuous" vertical="center" wrapText="1"/>
    </xf>
    <xf numFmtId="164" fontId="27" fillId="0" borderId="23" xfId="0" applyFont="1" applyBorder="1" applyAlignment="1">
      <alignment horizontal="centerContinuous" vertical="center" wrapText="1"/>
    </xf>
    <xf numFmtId="166" fontId="29" fillId="0" borderId="25" xfId="0" applyFont="1" applyBorder="1" applyAlignment="1">
      <alignment horizontal="centerContinuous" vertical="center" wrapText="1"/>
    </xf>
    <xf numFmtId="164" fontId="30" fillId="0" borderId="26" xfId="0" applyFont="1" applyBorder="1" applyAlignment="1">
      <alignment horizontal="center" vertical="center"/>
    </xf>
    <xf numFmtId="164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164" fontId="30" fillId="0" borderId="2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3" fontId="31" fillId="0" borderId="11" xfId="0" applyFont="1" applyBorder="1" applyAlignment="1">
      <alignment horizontal="center" vertical="center"/>
    </xf>
    <xf numFmtId="3" fontId="31" fillId="0" borderId="33" xfId="0" applyFont="1" applyBorder="1" applyAlignment="1">
      <alignment horizontal="center" vertical="center"/>
    </xf>
    <xf numFmtId="3" fontId="31" fillId="0" borderId="28" xfId="0" applyFont="1" applyBorder="1" applyAlignment="1">
      <alignment horizontal="center" vertical="center"/>
    </xf>
    <xf numFmtId="3" fontId="31" fillId="0" borderId="34" xfId="0" applyFont="1" applyBorder="1" applyAlignment="1">
      <alignment horizontal="center" vertical="center"/>
    </xf>
    <xf numFmtId="3" fontId="31" fillId="0" borderId="12" xfId="0" applyFont="1" applyBorder="1" applyAlignment="1">
      <alignment horizontal="center" vertical="center"/>
    </xf>
    <xf numFmtId="3" fontId="31" fillId="0" borderId="12" xfId="0" applyFont="1" applyBorder="1" applyAlignment="1">
      <alignment horizontal="center" vertical="center"/>
    </xf>
    <xf numFmtId="3" fontId="31" fillId="0" borderId="33" xfId="0" applyFont="1" applyBorder="1" applyAlignment="1">
      <alignment horizontal="center" vertical="center"/>
    </xf>
    <xf numFmtId="3" fontId="31" fillId="0" borderId="13" xfId="0" applyFont="1" applyBorder="1" applyAlignment="1">
      <alignment horizontal="center" vertical="center"/>
    </xf>
    <xf numFmtId="3" fontId="31" fillId="0" borderId="0" xfId="0" applyFont="1" applyBorder="1" applyAlignment="1">
      <alignment horizontal="center" vertical="center"/>
    </xf>
    <xf numFmtId="3" fontId="31" fillId="0" borderId="0" xfId="0" applyFont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 wrapText="1"/>
    </xf>
    <xf numFmtId="0" fontId="30" fillId="0" borderId="36" xfId="0" applyFont="1" applyBorder="1" applyAlignment="1">
      <alignment vertical="center" wrapText="1"/>
    </xf>
    <xf numFmtId="3" fontId="30" fillId="0" borderId="37" xfId="0" applyNumberFormat="1" applyFont="1" applyBorder="1" applyAlignment="1">
      <alignment horizontal="right" vertical="center" wrapText="1"/>
    </xf>
    <xf numFmtId="3" fontId="30" fillId="0" borderId="38" xfId="0" applyNumberFormat="1" applyFont="1" applyBorder="1" applyAlignment="1">
      <alignment horizontal="right" vertical="center" wrapText="1"/>
    </xf>
    <xf numFmtId="3" fontId="30" fillId="0" borderId="39" xfId="0" applyNumberFormat="1" applyFont="1" applyBorder="1" applyAlignment="1">
      <alignment horizontal="right" vertical="center" wrapText="1"/>
    </xf>
    <xf numFmtId="164" fontId="33" fillId="0" borderId="39" xfId="0" applyNumberFormat="1" applyFont="1" applyBorder="1" applyAlignment="1">
      <alignment horizontal="right" vertical="center" wrapText="1"/>
    </xf>
    <xf numFmtId="164" fontId="34" fillId="0" borderId="39" xfId="0" applyNumberFormat="1" applyFont="1" applyBorder="1" applyAlignment="1">
      <alignment horizontal="right" vertical="center" wrapText="1"/>
    </xf>
    <xf numFmtId="165" fontId="30" fillId="0" borderId="36" xfId="0" applyNumberFormat="1" applyFont="1" applyBorder="1" applyAlignment="1">
      <alignment horizontal="right" vertical="center" wrapText="1"/>
    </xf>
    <xf numFmtId="164" fontId="34" fillId="0" borderId="36" xfId="0" applyNumberFormat="1" applyFont="1" applyBorder="1" applyAlignment="1">
      <alignment horizontal="right" vertical="center"/>
    </xf>
    <xf numFmtId="164" fontId="34" fillId="0" borderId="40" xfId="0" applyNumberFormat="1" applyFont="1" applyBorder="1" applyAlignment="1">
      <alignment horizontal="right" vertical="center" wrapText="1"/>
    </xf>
    <xf numFmtId="164" fontId="30" fillId="0" borderId="0" xfId="0" applyNumberFormat="1" applyFont="1" applyBorder="1" applyAlignment="1">
      <alignment horizontal="right" vertical="center" wrapText="1"/>
    </xf>
    <xf numFmtId="3" fontId="30" fillId="0" borderId="0" xfId="0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3" fontId="17" fillId="0" borderId="42" xfId="0" applyNumberFormat="1" applyFont="1" applyBorder="1" applyAlignment="1">
      <alignment horizontal="right" vertical="center"/>
    </xf>
    <xf numFmtId="3" fontId="17" fillId="0" borderId="43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164" fontId="36" fillId="0" borderId="43" xfId="0" applyNumberFormat="1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165" fontId="17" fillId="0" borderId="41" xfId="0" applyNumberFormat="1" applyFont="1" applyBorder="1" applyAlignment="1">
      <alignment horizontal="right" vertical="center"/>
    </xf>
    <xf numFmtId="164" fontId="17" fillId="0" borderId="41" xfId="0" applyNumberFormat="1" applyFont="1" applyBorder="1" applyAlignment="1">
      <alignment horizontal="right" vertical="center"/>
    </xf>
    <xf numFmtId="164" fontId="17" fillId="0" borderId="7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3" fontId="17" fillId="0" borderId="0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45" xfId="0" applyNumberFormat="1" applyFont="1" applyBorder="1" applyAlignment="1">
      <alignment horizontal="right" vertical="center"/>
    </xf>
    <xf numFmtId="3" fontId="17" fillId="0" borderId="46" xfId="0" applyNumberFormat="1" applyFont="1" applyBorder="1" applyAlignment="1">
      <alignment horizontal="right" vertical="center"/>
    </xf>
    <xf numFmtId="164" fontId="17" fillId="0" borderId="46" xfId="0" applyNumberFormat="1" applyFont="1" applyBorder="1" applyAlignment="1">
      <alignment horizontal="right" vertical="center"/>
    </xf>
    <xf numFmtId="165" fontId="17" fillId="0" borderId="27" xfId="0" applyNumberFormat="1" applyFont="1" applyBorder="1" applyAlignment="1">
      <alignment horizontal="right" vertical="center"/>
    </xf>
    <xf numFmtId="164" fontId="17" fillId="0" borderId="27" xfId="0" applyNumberFormat="1" applyFont="1" applyBorder="1" applyAlignment="1">
      <alignment horizontal="right" vertical="center"/>
    </xf>
    <xf numFmtId="164" fontId="17" fillId="0" borderId="47" xfId="0" applyNumberFormat="1" applyFont="1" applyBorder="1" applyAlignment="1">
      <alignment horizontal="right" vertical="center"/>
    </xf>
    <xf numFmtId="49" fontId="30" fillId="0" borderId="35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vertical="center"/>
    </xf>
    <xf numFmtId="3" fontId="30" fillId="0" borderId="37" xfId="0" applyNumberFormat="1" applyFont="1" applyBorder="1" applyAlignment="1">
      <alignment horizontal="right" vertical="center"/>
    </xf>
    <xf numFmtId="3" fontId="30" fillId="0" borderId="38" xfId="0" applyNumberFormat="1" applyFont="1" applyBorder="1" applyAlignment="1">
      <alignment horizontal="right" vertical="center"/>
    </xf>
    <xf numFmtId="3" fontId="30" fillId="0" borderId="39" xfId="0" applyNumberFormat="1" applyFont="1" applyBorder="1" applyAlignment="1">
      <alignment horizontal="right" vertical="center"/>
    </xf>
    <xf numFmtId="164" fontId="34" fillId="0" borderId="39" xfId="0" applyNumberFormat="1" applyFont="1" applyBorder="1" applyAlignment="1">
      <alignment horizontal="right" vertical="center"/>
    </xf>
    <xf numFmtId="165" fontId="30" fillId="0" borderId="36" xfId="0" applyNumberFormat="1" applyFont="1" applyBorder="1" applyAlignment="1">
      <alignment horizontal="right" vertical="center"/>
    </xf>
    <xf numFmtId="164" fontId="34" fillId="0" borderId="36" xfId="0" applyNumberFormat="1" applyFont="1" applyBorder="1" applyAlignment="1">
      <alignment horizontal="center" vertical="center"/>
    </xf>
    <xf numFmtId="164" fontId="34" fillId="0" borderId="4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horizontal="right" vertical="center"/>
    </xf>
    <xf numFmtId="3" fontId="30" fillId="0" borderId="0" xfId="0" applyFont="1" applyBorder="1" applyAlignment="1">
      <alignment horizontal="center" vertical="center"/>
    </xf>
    <xf numFmtId="3" fontId="30" fillId="0" borderId="0" xfId="0" applyFont="1" applyAlignment="1">
      <alignment horizontal="center" vertical="center"/>
    </xf>
    <xf numFmtId="164" fontId="36" fillId="0" borderId="6" xfId="0" applyNumberFormat="1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164" fontId="17" fillId="0" borderId="41" xfId="0" applyNumberFormat="1" applyFont="1" applyBorder="1" applyAlignment="1">
      <alignment horizontal="right" vertical="center"/>
    </xf>
    <xf numFmtId="49" fontId="34" fillId="0" borderId="26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3" fontId="37" fillId="0" borderId="44" xfId="0" applyNumberFormat="1" applyFont="1" applyBorder="1" applyAlignment="1">
      <alignment horizontal="right" vertical="center"/>
    </xf>
    <xf numFmtId="3" fontId="37" fillId="0" borderId="45" xfId="0" applyNumberFormat="1" applyFont="1" applyBorder="1" applyAlignment="1">
      <alignment horizontal="right" vertical="center"/>
    </xf>
    <xf numFmtId="3" fontId="37" fillId="0" borderId="46" xfId="0" applyNumberFormat="1" applyFont="1" applyBorder="1" applyAlignment="1">
      <alignment horizontal="right" vertical="center"/>
    </xf>
    <xf numFmtId="164" fontId="36" fillId="0" borderId="46" xfId="0" applyNumberFormat="1" applyFont="1" applyBorder="1" applyAlignment="1">
      <alignment horizontal="right" vertical="center"/>
    </xf>
    <xf numFmtId="164" fontId="37" fillId="0" borderId="46" xfId="0" applyNumberFormat="1" applyFont="1" applyBorder="1" applyAlignment="1">
      <alignment horizontal="right" vertical="center"/>
    </xf>
    <xf numFmtId="165" fontId="37" fillId="0" borderId="27" xfId="0" applyNumberFormat="1" applyFont="1" applyBorder="1" applyAlignment="1">
      <alignment horizontal="right" vertical="center"/>
    </xf>
    <xf numFmtId="164" fontId="37" fillId="0" borderId="27" xfId="0" applyNumberFormat="1" applyFont="1" applyBorder="1" applyAlignment="1">
      <alignment horizontal="right" vertical="center"/>
    </xf>
    <xf numFmtId="164" fontId="37" fillId="0" borderId="47" xfId="0" applyNumberFormat="1" applyFont="1" applyBorder="1" applyAlignment="1">
      <alignment horizontal="right" vertical="center"/>
    </xf>
    <xf numFmtId="164" fontId="37" fillId="0" borderId="0" xfId="0" applyNumberFormat="1" applyFont="1" applyBorder="1" applyAlignment="1">
      <alignment horizontal="right" vertical="center"/>
    </xf>
    <xf numFmtId="3" fontId="37" fillId="0" borderId="0" xfId="0" applyFont="1" applyBorder="1" applyAlignment="1">
      <alignment horizontal="center" vertical="center"/>
    </xf>
    <xf numFmtId="3" fontId="37" fillId="0" borderId="0" xfId="0" applyFont="1" applyAlignment="1">
      <alignment horizontal="center" vertical="center"/>
    </xf>
    <xf numFmtId="3" fontId="30" fillId="0" borderId="0" xfId="0" applyFont="1" applyAlignment="1">
      <alignment horizontal="center" vertical="center" wrapText="1"/>
    </xf>
    <xf numFmtId="0" fontId="30" fillId="0" borderId="36" xfId="0" applyFont="1" applyBorder="1" applyAlignment="1">
      <alignment vertical="center" wrapText="1"/>
    </xf>
    <xf numFmtId="164" fontId="34" fillId="0" borderId="36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164" fontId="17" fillId="0" borderId="27" xfId="0" applyNumberFormat="1" applyFont="1" applyBorder="1" applyAlignment="1">
      <alignment horizontal="right" vertical="center"/>
    </xf>
    <xf numFmtId="164" fontId="36" fillId="0" borderId="45" xfId="0" applyNumberFormat="1" applyFont="1" applyBorder="1" applyAlignment="1">
      <alignment horizontal="right" vertical="center"/>
    </xf>
    <xf numFmtId="165" fontId="17" fillId="0" borderId="27" xfId="0" applyNumberFormat="1" applyFont="1" applyBorder="1" applyAlignment="1">
      <alignment horizontal="right" vertical="center"/>
    </xf>
    <xf numFmtId="49" fontId="30" fillId="0" borderId="8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vertical="center" wrapText="1"/>
    </xf>
    <xf numFmtId="3" fontId="30" fillId="0" borderId="49" xfId="0" applyNumberFormat="1" applyFont="1" applyBorder="1" applyAlignment="1">
      <alignment horizontal="right" vertical="center"/>
    </xf>
    <xf numFmtId="3" fontId="30" fillId="0" borderId="50" xfId="0" applyNumberFormat="1" applyFont="1" applyBorder="1" applyAlignment="1">
      <alignment horizontal="right" vertical="center"/>
    </xf>
    <xf numFmtId="3" fontId="30" fillId="0" borderId="9" xfId="0" applyNumberFormat="1" applyFont="1" applyBorder="1" applyAlignment="1">
      <alignment horizontal="right" vertical="center"/>
    </xf>
    <xf numFmtId="164" fontId="33" fillId="0" borderId="9" xfId="0" applyNumberFormat="1" applyFont="1" applyBorder="1" applyAlignment="1">
      <alignment horizontal="right" vertical="center" wrapText="1"/>
    </xf>
    <xf numFmtId="164" fontId="34" fillId="0" borderId="9" xfId="0" applyNumberFormat="1" applyFont="1" applyBorder="1" applyAlignment="1">
      <alignment horizontal="right" vertical="center"/>
    </xf>
    <xf numFmtId="165" fontId="30" fillId="0" borderId="48" xfId="0" applyNumberFormat="1" applyFont="1" applyBorder="1" applyAlignment="1">
      <alignment horizontal="right" vertical="center"/>
    </xf>
    <xf numFmtId="164" fontId="34" fillId="0" borderId="48" xfId="0" applyNumberFormat="1" applyFont="1" applyBorder="1" applyAlignment="1">
      <alignment horizontal="right" vertical="center"/>
    </xf>
    <xf numFmtId="164" fontId="34" fillId="0" borderId="10" xfId="0" applyNumberFormat="1" applyFont="1" applyBorder="1" applyAlignment="1">
      <alignment horizontal="right" vertical="center"/>
    </xf>
    <xf numFmtId="49" fontId="34" fillId="0" borderId="5" xfId="0" applyNumberFormat="1" applyFont="1" applyBorder="1" applyAlignment="1">
      <alignment horizontal="center" vertical="center"/>
    </xf>
    <xf numFmtId="0" fontId="37" fillId="0" borderId="41" xfId="0" applyFont="1" applyBorder="1" applyAlignment="1">
      <alignment vertical="center"/>
    </xf>
    <xf numFmtId="3" fontId="37" fillId="0" borderId="42" xfId="0" applyNumberFormat="1" applyFont="1" applyBorder="1" applyAlignment="1">
      <alignment horizontal="right" vertical="center"/>
    </xf>
    <xf numFmtId="3" fontId="37" fillId="0" borderId="43" xfId="0" applyNumberFormat="1" applyFont="1" applyBorder="1" applyAlignment="1">
      <alignment horizontal="right" vertical="center"/>
    </xf>
    <xf numFmtId="3" fontId="37" fillId="0" borderId="6" xfId="0" applyNumberFormat="1" applyFont="1" applyBorder="1" applyAlignment="1">
      <alignment horizontal="right" vertical="center"/>
    </xf>
    <xf numFmtId="164" fontId="37" fillId="0" borderId="6" xfId="0" applyNumberFormat="1" applyFont="1" applyBorder="1" applyAlignment="1">
      <alignment horizontal="right" vertical="center"/>
    </xf>
    <xf numFmtId="165" fontId="37" fillId="0" borderId="41" xfId="0" applyNumberFormat="1" applyFont="1" applyBorder="1" applyAlignment="1">
      <alignment horizontal="right" vertical="center"/>
    </xf>
    <xf numFmtId="164" fontId="37" fillId="0" borderId="41" xfId="0" applyNumberFormat="1" applyFont="1" applyBorder="1" applyAlignment="1">
      <alignment horizontal="right" vertical="center"/>
    </xf>
    <xf numFmtId="164" fontId="37" fillId="0" borderId="7" xfId="0" applyNumberFormat="1" applyFont="1" applyBorder="1" applyAlignment="1">
      <alignment horizontal="right" vertical="center"/>
    </xf>
    <xf numFmtId="164" fontId="17" fillId="0" borderId="47" xfId="0" applyNumberFormat="1" applyFont="1" applyBorder="1" applyAlignment="1">
      <alignment horizontal="right" vertical="center"/>
    </xf>
    <xf numFmtId="164" fontId="34" fillId="0" borderId="40" xfId="0" applyNumberFormat="1" applyFont="1" applyBorder="1" applyAlignment="1">
      <alignment horizontal="right" vertical="center"/>
    </xf>
    <xf numFmtId="49" fontId="35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45" xfId="0" applyNumberFormat="1" applyFont="1" applyBorder="1" applyAlignment="1">
      <alignment horizontal="right" vertical="center"/>
    </xf>
    <xf numFmtId="164" fontId="17" fillId="0" borderId="46" xfId="0" applyNumberFormat="1" applyFont="1" applyBorder="1" applyAlignment="1">
      <alignment horizontal="right" vertical="center"/>
    </xf>
    <xf numFmtId="165" fontId="17" fillId="0" borderId="27" xfId="0" applyNumberFormat="1" applyFont="1" applyBorder="1" applyAlignment="1">
      <alignment horizontal="right" vertical="center"/>
    </xf>
    <xf numFmtId="3" fontId="17" fillId="0" borderId="46" xfId="0" applyNumberFormat="1" applyFont="1" applyBorder="1" applyAlignment="1">
      <alignment horizontal="right" vertical="center"/>
    </xf>
    <xf numFmtId="164" fontId="17" fillId="0" borderId="27" xfId="0" applyNumberFormat="1" applyFont="1" applyBorder="1" applyAlignment="1">
      <alignment horizontal="right" vertical="center"/>
    </xf>
    <xf numFmtId="164" fontId="17" fillId="0" borderId="47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3" fontId="17" fillId="0" borderId="0" xfId="0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 wrapText="1"/>
    </xf>
    <xf numFmtId="0" fontId="30" fillId="0" borderId="41" xfId="0" applyFont="1" applyBorder="1" applyAlignment="1">
      <alignment vertical="center" wrapText="1"/>
    </xf>
    <xf numFmtId="3" fontId="30" fillId="0" borderId="42" xfId="0" applyNumberFormat="1" applyFont="1" applyBorder="1" applyAlignment="1">
      <alignment horizontal="right" vertical="center"/>
    </xf>
    <xf numFmtId="3" fontId="30" fillId="0" borderId="51" xfId="0" applyNumberFormat="1" applyFont="1" applyBorder="1" applyAlignment="1">
      <alignment horizontal="right" vertical="center"/>
    </xf>
    <xf numFmtId="164" fontId="30" fillId="0" borderId="43" xfId="0" applyNumberFormat="1" applyFont="1" applyBorder="1" applyAlignment="1">
      <alignment horizontal="right" vertical="center"/>
    </xf>
    <xf numFmtId="165" fontId="30" fillId="0" borderId="41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164" fontId="30" fillId="0" borderId="41" xfId="0" applyNumberFormat="1" applyFont="1" applyBorder="1" applyAlignment="1">
      <alignment horizontal="right" vertical="center"/>
    </xf>
    <xf numFmtId="49" fontId="35" fillId="0" borderId="5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3" fontId="17" fillId="0" borderId="42" xfId="0" applyNumberFormat="1" applyFont="1" applyBorder="1" applyAlignment="1">
      <alignment horizontal="right" vertical="center"/>
    </xf>
    <xf numFmtId="3" fontId="17" fillId="0" borderId="43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164" fontId="17" fillId="0" borderId="43" xfId="0" applyNumberFormat="1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165" fontId="16" fillId="0" borderId="27" xfId="0" applyNumberFormat="1" applyFont="1" applyBorder="1" applyAlignment="1">
      <alignment horizontal="right" vertical="center"/>
    </xf>
    <xf numFmtId="164" fontId="17" fillId="0" borderId="41" xfId="0" applyNumberFormat="1" applyFont="1" applyBorder="1" applyAlignment="1">
      <alignment horizontal="right" vertical="center"/>
    </xf>
    <xf numFmtId="164" fontId="17" fillId="0" borderId="7" xfId="0" applyNumberFormat="1" applyFont="1" applyBorder="1" applyAlignment="1">
      <alignment horizontal="right" vertical="center"/>
    </xf>
    <xf numFmtId="3" fontId="17" fillId="0" borderId="0" xfId="0" applyFont="1" applyAlignment="1">
      <alignment horizontal="center" vertical="center"/>
    </xf>
    <xf numFmtId="164" fontId="17" fillId="0" borderId="7" xfId="0" applyNumberFormat="1" applyFont="1" applyBorder="1" applyAlignment="1">
      <alignment horizontal="right" vertical="center"/>
    </xf>
    <xf numFmtId="164" fontId="37" fillId="0" borderId="47" xfId="0" applyNumberFormat="1" applyFont="1" applyBorder="1" applyAlignment="1">
      <alignment horizontal="right" vertical="center"/>
    </xf>
    <xf numFmtId="164" fontId="33" fillId="0" borderId="39" xfId="0" applyNumberFormat="1" applyFont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164" fontId="30" fillId="0" borderId="41" xfId="0" applyNumberFormat="1" applyFont="1" applyBorder="1" applyAlignment="1">
      <alignment horizontal="right" vertical="center"/>
    </xf>
    <xf numFmtId="3" fontId="30" fillId="0" borderId="43" xfId="0" applyNumberFormat="1" applyFont="1" applyBorder="1" applyAlignment="1">
      <alignment horizontal="right" vertical="center"/>
    </xf>
    <xf numFmtId="164" fontId="34" fillId="0" borderId="6" xfId="0" applyNumberFormat="1" applyFont="1" applyBorder="1" applyAlignment="1">
      <alignment horizontal="right" vertical="center"/>
    </xf>
    <xf numFmtId="164" fontId="34" fillId="0" borderId="52" xfId="0" applyNumberFormat="1" applyFont="1" applyBorder="1" applyAlignment="1">
      <alignment horizontal="right" vertical="center"/>
    </xf>
    <xf numFmtId="164" fontId="17" fillId="0" borderId="52" xfId="0" applyNumberFormat="1" applyFont="1" applyBorder="1" applyAlignment="1">
      <alignment horizontal="right" vertical="center"/>
    </xf>
    <xf numFmtId="164" fontId="30" fillId="0" borderId="27" xfId="0" applyNumberFormat="1" applyFont="1" applyBorder="1" applyAlignment="1">
      <alignment horizontal="right" vertical="center"/>
    </xf>
    <xf numFmtId="164" fontId="17" fillId="0" borderId="46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right" vertical="center"/>
    </xf>
    <xf numFmtId="3" fontId="18" fillId="0" borderId="38" xfId="0" applyNumberFormat="1" applyFont="1" applyBorder="1" applyAlignment="1">
      <alignment horizontal="right" vertical="center"/>
    </xf>
    <xf numFmtId="3" fontId="18" fillId="0" borderId="39" xfId="0" applyNumberFormat="1" applyFont="1" applyBorder="1" applyAlignment="1">
      <alignment horizontal="right" vertical="center"/>
    </xf>
    <xf numFmtId="164" fontId="29" fillId="0" borderId="39" xfId="0" applyNumberFormat="1" applyFont="1" applyBorder="1" applyAlignment="1">
      <alignment horizontal="right" vertical="center"/>
    </xf>
    <xf numFmtId="164" fontId="18" fillId="0" borderId="36" xfId="0" applyNumberFormat="1" applyFont="1" applyBorder="1" applyAlignment="1">
      <alignment horizontal="right" vertical="center"/>
    </xf>
    <xf numFmtId="164" fontId="29" fillId="0" borderId="36" xfId="0" applyNumberFormat="1" applyFont="1" applyBorder="1" applyAlignment="1">
      <alignment horizontal="right" vertical="center"/>
    </xf>
    <xf numFmtId="164" fontId="29" fillId="0" borderId="4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64" fontId="37" fillId="0" borderId="6" xfId="0" applyNumberFormat="1" applyFont="1" applyBorder="1" applyAlignment="1">
      <alignment horizontal="center" vertical="center"/>
    </xf>
    <xf numFmtId="164" fontId="37" fillId="0" borderId="7" xfId="0" applyNumberFormat="1" applyFont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 wrapText="1"/>
    </xf>
    <xf numFmtId="4" fontId="17" fillId="0" borderId="41" xfId="0" applyNumberFormat="1" applyFont="1" applyBorder="1" applyAlignment="1">
      <alignment horizontal="right" vertical="center"/>
    </xf>
    <xf numFmtId="3" fontId="17" fillId="0" borderId="53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49" fontId="27" fillId="0" borderId="54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vertical="center"/>
    </xf>
    <xf numFmtId="3" fontId="18" fillId="0" borderId="56" xfId="0" applyNumberFormat="1" applyFont="1" applyBorder="1" applyAlignment="1">
      <alignment horizontal="right" vertical="center"/>
    </xf>
    <xf numFmtId="3" fontId="18" fillId="0" borderId="57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164" fontId="18" fillId="0" borderId="30" xfId="0" applyNumberFormat="1" applyFont="1" applyBorder="1" applyAlignment="1">
      <alignment horizontal="right" vertical="center"/>
    </xf>
    <xf numFmtId="164" fontId="28" fillId="0" borderId="30" xfId="0" applyNumberFormat="1" applyFont="1" applyBorder="1" applyAlignment="1">
      <alignment horizontal="right" vertical="center"/>
    </xf>
    <xf numFmtId="164" fontId="27" fillId="0" borderId="58" xfId="0" applyNumberFormat="1" applyFont="1" applyBorder="1" applyAlignment="1">
      <alignment horizontal="right" vertical="center"/>
    </xf>
    <xf numFmtId="3" fontId="18" fillId="0" borderId="59" xfId="0" applyNumberFormat="1" applyFont="1" applyBorder="1" applyAlignment="1">
      <alignment horizontal="right" vertical="center"/>
    </xf>
    <xf numFmtId="164" fontId="27" fillId="0" borderId="55" xfId="0" applyNumberFormat="1" applyFont="1" applyBorder="1" applyAlignment="1">
      <alignment horizontal="right" vertical="center"/>
    </xf>
    <xf numFmtId="164" fontId="27" fillId="0" borderId="60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 vertical="center"/>
    </xf>
    <xf numFmtId="3" fontId="27" fillId="0" borderId="0" xfId="0" applyFont="1" applyBorder="1" applyAlignment="1">
      <alignment horizontal="center" vertical="center"/>
    </xf>
    <xf numFmtId="49" fontId="34" fillId="0" borderId="61" xfId="0" applyNumberFormat="1" applyFont="1" applyBorder="1" applyAlignment="1">
      <alignment horizontal="center" vertical="center"/>
    </xf>
    <xf numFmtId="0" fontId="34" fillId="0" borderId="62" xfId="0" applyFont="1" applyBorder="1" applyAlignment="1">
      <alignment vertical="center"/>
    </xf>
    <xf numFmtId="3" fontId="34" fillId="0" borderId="42" xfId="0" applyNumberFormat="1" applyFont="1" applyBorder="1" applyAlignment="1">
      <alignment horizontal="right" vertical="center"/>
    </xf>
    <xf numFmtId="3" fontId="34" fillId="0" borderId="63" xfId="0" applyNumberFormat="1" applyFont="1" applyBorder="1" applyAlignment="1">
      <alignment horizontal="right" vertical="center"/>
    </xf>
    <xf numFmtId="3" fontId="34" fillId="0" borderId="43" xfId="0" applyNumberFormat="1" applyFont="1" applyBorder="1" applyAlignment="1">
      <alignment horizontal="right" vertical="center"/>
    </xf>
    <xf numFmtId="164" fontId="34" fillId="0" borderId="43" xfId="0" applyNumberFormat="1" applyFont="1" applyBorder="1" applyAlignment="1">
      <alignment horizontal="right" vertical="center"/>
    </xf>
    <xf numFmtId="164" fontId="34" fillId="0" borderId="41" xfId="0" applyNumberFormat="1" applyFont="1" applyBorder="1" applyAlignment="1">
      <alignment horizontal="right" vertical="center"/>
    </xf>
    <xf numFmtId="3" fontId="34" fillId="0" borderId="64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/>
    </xf>
    <xf numFmtId="164" fontId="34" fillId="0" borderId="62" xfId="0" applyNumberFormat="1" applyFont="1" applyBorder="1" applyAlignment="1">
      <alignment horizontal="right" vertical="center"/>
    </xf>
    <xf numFmtId="164" fontId="34" fillId="0" borderId="0" xfId="0" applyNumberFormat="1" applyFont="1" applyBorder="1" applyAlignment="1">
      <alignment horizontal="right" vertical="center"/>
    </xf>
    <xf numFmtId="3" fontId="34" fillId="0" borderId="0" xfId="0" applyFont="1" applyBorder="1" applyAlignment="1">
      <alignment horizontal="center" vertical="center"/>
    </xf>
    <xf numFmtId="49" fontId="34" fillId="0" borderId="65" xfId="0" applyNumberFormat="1" applyFont="1" applyBorder="1" applyAlignment="1">
      <alignment vertical="center"/>
    </xf>
    <xf numFmtId="164" fontId="34" fillId="0" borderId="66" xfId="0" applyFont="1" applyBorder="1" applyAlignment="1">
      <alignment vertical="center" wrapText="1"/>
    </xf>
    <xf numFmtId="3" fontId="34" fillId="0" borderId="67" xfId="0" applyNumberFormat="1" applyFont="1" applyBorder="1" applyAlignment="1">
      <alignment horizontal="right" vertical="center"/>
    </xf>
    <xf numFmtId="3" fontId="34" fillId="0" borderId="68" xfId="0" applyNumberFormat="1" applyFont="1" applyBorder="1" applyAlignment="1">
      <alignment horizontal="right" vertical="center"/>
    </xf>
    <xf numFmtId="3" fontId="34" fillId="0" borderId="69" xfId="0" applyNumberFormat="1" applyFont="1" applyBorder="1" applyAlignment="1">
      <alignment horizontal="right" vertical="center"/>
    </xf>
    <xf numFmtId="164" fontId="34" fillId="0" borderId="70" xfId="0" applyNumberFormat="1" applyFont="1" applyBorder="1" applyAlignment="1">
      <alignment horizontal="right" vertical="center"/>
    </xf>
    <xf numFmtId="164" fontId="34" fillId="0" borderId="69" xfId="0" applyNumberFormat="1" applyFont="1" applyBorder="1" applyAlignment="1">
      <alignment horizontal="right" vertical="center"/>
    </xf>
    <xf numFmtId="164" fontId="34" fillId="0" borderId="71" xfId="0" applyNumberFormat="1" applyFont="1" applyBorder="1" applyAlignment="1">
      <alignment horizontal="right" vertical="center"/>
    </xf>
    <xf numFmtId="3" fontId="34" fillId="0" borderId="72" xfId="0" applyNumberFormat="1" applyFont="1" applyBorder="1" applyAlignment="1">
      <alignment horizontal="right" vertical="center"/>
    </xf>
    <xf numFmtId="3" fontId="34" fillId="0" borderId="70" xfId="0" applyNumberFormat="1" applyFont="1" applyBorder="1" applyAlignment="1">
      <alignment horizontal="right" vertical="center"/>
    </xf>
    <xf numFmtId="164" fontId="34" fillId="0" borderId="66" xfId="0" applyNumberFormat="1" applyFont="1" applyBorder="1" applyAlignment="1">
      <alignment horizontal="right" vertical="center"/>
    </xf>
    <xf numFmtId="164" fontId="34" fillId="0" borderId="73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right" vertical="center"/>
    </xf>
    <xf numFmtId="166" fontId="17" fillId="0" borderId="0" xfId="0" applyFont="1" applyBorder="1" applyAlignment="1">
      <alignment horizontal="right" vertical="center"/>
    </xf>
    <xf numFmtId="166" fontId="15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6" fontId="17" fillId="0" borderId="0" xfId="0" applyFont="1" applyAlignment="1">
      <alignment horizontal="right" vertical="center"/>
    </xf>
    <xf numFmtId="166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166" fontId="17" fillId="0" borderId="0" xfId="0" applyFont="1" applyAlignment="1">
      <alignment horizontal="right"/>
    </xf>
    <xf numFmtId="166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64" fontId="30" fillId="0" borderId="7" xfId="0" applyNumberFormat="1" applyFont="1" applyBorder="1" applyAlignment="1">
      <alignment horizontal="right" vertical="center"/>
    </xf>
    <xf numFmtId="164" fontId="16" fillId="0" borderId="27" xfId="0" applyNumberFormat="1" applyFont="1" applyBorder="1" applyAlignment="1">
      <alignment horizontal="right" vertical="center"/>
    </xf>
    <xf numFmtId="164" fontId="17" fillId="0" borderId="46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Continuous" wrapText="1"/>
    </xf>
    <xf numFmtId="164" fontId="27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wrapText="1"/>
    </xf>
    <xf numFmtId="164" fontId="2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33" fillId="0" borderId="1" xfId="0" applyNumberFormat="1" applyFont="1" applyAlignment="1">
      <alignment horizontal="center" wrapText="1"/>
    </xf>
    <xf numFmtId="0" fontId="16" fillId="0" borderId="74" xfId="0" applyFont="1" applyBorder="1" applyAlignment="1">
      <alignment horizontal="center" vertical="center" wrapText="1"/>
    </xf>
    <xf numFmtId="164" fontId="27" fillId="0" borderId="22" xfId="0" applyFont="1" applyBorder="1" applyAlignment="1">
      <alignment horizontal="centerContinuous" vertical="center"/>
    </xf>
    <xf numFmtId="164" fontId="27" fillId="0" borderId="75" xfId="0" applyFont="1" applyBorder="1" applyAlignment="1">
      <alignment horizontal="centerContinuous" vertical="center"/>
    </xf>
    <xf numFmtId="0" fontId="30" fillId="0" borderId="75" xfId="0" applyFont="1" applyBorder="1" applyAlignment="1">
      <alignment horizontal="centerContinuous" vertical="center" wrapText="1"/>
    </xf>
    <xf numFmtId="0" fontId="30" fillId="0" borderId="76" xfId="0" applyFont="1" applyBorder="1" applyAlignment="1">
      <alignment horizontal="centerContinuous" vertical="center" wrapText="1"/>
    </xf>
    <xf numFmtId="0" fontId="30" fillId="0" borderId="76" xfId="0" applyFont="1" applyBorder="1" applyAlignment="1">
      <alignment horizontal="centerContinuous" vertical="center"/>
    </xf>
    <xf numFmtId="0" fontId="30" fillId="0" borderId="75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30" fillId="0" borderId="77" xfId="0" applyFont="1" applyBorder="1" applyAlignment="1">
      <alignment horizontal="centerContinuous" vertical="center"/>
    </xf>
    <xf numFmtId="0" fontId="39" fillId="0" borderId="0" xfId="0" applyFont="1" applyAlignment="1">
      <alignment horizontal="center" vertical="center"/>
    </xf>
    <xf numFmtId="49" fontId="33" fillId="0" borderId="5" xfId="0" applyNumberFormat="1" applyFont="1" applyAlignment="1">
      <alignment horizontal="center" vertical="center"/>
    </xf>
    <xf numFmtId="0" fontId="16" fillId="0" borderId="62" xfId="0" applyFont="1" applyBorder="1" applyAlignment="1">
      <alignment vertical="center" wrapText="1"/>
    </xf>
    <xf numFmtId="0" fontId="16" fillId="0" borderId="55" xfId="0" applyFont="1" applyBorder="1" applyAlignment="1">
      <alignment horizontal="center" vertical="center" wrapText="1"/>
    </xf>
    <xf numFmtId="164" fontId="16" fillId="0" borderId="5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164" fontId="16" fillId="0" borderId="9" xfId="0" applyFont="1" applyAlignment="1">
      <alignment horizontal="center" vertical="center"/>
    </xf>
    <xf numFmtId="44" fontId="16" fillId="0" borderId="79" xfId="19" applyFont="1" applyBorder="1" applyAlignment="1">
      <alignment horizontal="center" vertical="center" wrapText="1"/>
    </xf>
    <xf numFmtId="44" fontId="16" fillId="0" borderId="80" xfId="19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centerContinuous" vertical="center" wrapText="1"/>
    </xf>
    <xf numFmtId="0" fontId="31" fillId="0" borderId="3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82" xfId="0" applyFont="1" applyBorder="1" applyAlignment="1">
      <alignment vertical="center" wrapText="1"/>
    </xf>
    <xf numFmtId="3" fontId="16" fillId="0" borderId="36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164" fontId="26" fillId="0" borderId="83" xfId="0" applyNumberFormat="1" applyFont="1" applyBorder="1" applyAlignment="1">
      <alignment vertical="center"/>
    </xf>
    <xf numFmtId="164" fontId="35" fillId="0" borderId="36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16" fillId="0" borderId="8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36" fillId="0" borderId="5" xfId="0" applyNumberFormat="1" applyFont="1" applyBorder="1" applyAlignment="1">
      <alignment horizontal="center" vertical="center"/>
    </xf>
    <xf numFmtId="0" fontId="36" fillId="0" borderId="62" xfId="0" applyFont="1" applyBorder="1" applyAlignment="1">
      <alignment vertical="center" wrapText="1"/>
    </xf>
    <xf numFmtId="3" fontId="36" fillId="0" borderId="41" xfId="0" applyNumberFormat="1" applyFont="1" applyBorder="1" applyAlignment="1">
      <alignment vertical="center"/>
    </xf>
    <xf numFmtId="3" fontId="36" fillId="0" borderId="43" xfId="0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40" fillId="0" borderId="53" xfId="0" applyNumberFormat="1" applyFont="1" applyBorder="1" applyAlignment="1">
      <alignment vertical="center"/>
    </xf>
    <xf numFmtId="164" fontId="36" fillId="0" borderId="41" xfId="0" applyNumberFormat="1" applyFont="1" applyBorder="1" applyAlignment="1">
      <alignment vertical="center"/>
    </xf>
    <xf numFmtId="3" fontId="36" fillId="0" borderId="6" xfId="0" applyNumberFormat="1" applyFont="1" applyAlignment="1">
      <alignment vertical="center"/>
    </xf>
    <xf numFmtId="3" fontId="36" fillId="0" borderId="52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164" fontId="36" fillId="0" borderId="41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vertical="center"/>
    </xf>
    <xf numFmtId="3" fontId="16" fillId="0" borderId="51" xfId="0" applyNumberFormat="1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3" fontId="36" fillId="0" borderId="53" xfId="0" applyNumberFormat="1" applyFont="1" applyBorder="1" applyAlignment="1">
      <alignment vertical="center"/>
    </xf>
    <xf numFmtId="3" fontId="36" fillId="0" borderId="47" xfId="0" applyNumberFormat="1" applyFont="1" applyBorder="1" applyAlignment="1">
      <alignment vertical="center"/>
    </xf>
    <xf numFmtId="49" fontId="16" fillId="0" borderId="35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vertical="center"/>
    </xf>
    <xf numFmtId="49" fontId="41" fillId="0" borderId="5" xfId="0" applyNumberFormat="1" applyFont="1" applyBorder="1" applyAlignment="1">
      <alignment horizontal="center" vertical="center"/>
    </xf>
    <xf numFmtId="0" fontId="41" fillId="0" borderId="62" xfId="0" applyFont="1" applyBorder="1" applyAlignment="1">
      <alignment vertical="center" wrapText="1"/>
    </xf>
    <xf numFmtId="3" fontId="41" fillId="0" borderId="41" xfId="0" applyNumberFormat="1" applyFont="1" applyBorder="1" applyAlignment="1">
      <alignment vertical="center"/>
    </xf>
    <xf numFmtId="3" fontId="41" fillId="0" borderId="43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41" fillId="0" borderId="6" xfId="0" applyNumberFormat="1" applyFont="1" applyAlignment="1">
      <alignment vertical="center"/>
    </xf>
    <xf numFmtId="3" fontId="36" fillId="0" borderId="7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64" fontId="40" fillId="0" borderId="53" xfId="0" applyNumberFormat="1" applyFont="1" applyBorder="1" applyAlignment="1">
      <alignment horizontal="center" vertical="center"/>
    </xf>
    <xf numFmtId="165" fontId="16" fillId="0" borderId="82" xfId="0" applyNumberFormat="1" applyFont="1" applyBorder="1" applyAlignment="1">
      <alignment vertical="center" wrapText="1"/>
    </xf>
    <xf numFmtId="3" fontId="16" fillId="0" borderId="51" xfId="0" applyNumberFormat="1" applyFont="1" applyBorder="1" applyAlignment="1">
      <alignment vertical="center"/>
    </xf>
    <xf numFmtId="3" fontId="36" fillId="0" borderId="43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17" fillId="0" borderId="52" xfId="0" applyNumberFormat="1" applyFont="1" applyBorder="1" applyAlignment="1">
      <alignment vertical="center"/>
    </xf>
    <xf numFmtId="3" fontId="36" fillId="0" borderId="7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3" fontId="16" fillId="0" borderId="41" xfId="0" applyNumberFormat="1" applyFont="1" applyBorder="1" applyAlignment="1">
      <alignment vertical="center"/>
    </xf>
    <xf numFmtId="164" fontId="16" fillId="0" borderId="83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85" xfId="0" applyFont="1" applyBorder="1" applyAlignment="1">
      <alignment vertical="center" wrapText="1"/>
    </xf>
    <xf numFmtId="3" fontId="17" fillId="0" borderId="27" xfId="0" applyNumberFormat="1" applyFont="1" applyBorder="1" applyAlignment="1">
      <alignment vertical="center"/>
    </xf>
    <xf numFmtId="3" fontId="17" fillId="0" borderId="43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3" fontId="17" fillId="0" borderId="46" xfId="0" applyNumberFormat="1" applyFont="1" applyAlignment="1">
      <alignment vertical="center"/>
    </xf>
    <xf numFmtId="3" fontId="17" fillId="0" borderId="41" xfId="0" applyNumberFormat="1" applyFont="1" applyBorder="1" applyAlignment="1">
      <alignment vertical="center"/>
    </xf>
    <xf numFmtId="3" fontId="17" fillId="0" borderId="4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4" fontId="26" fillId="0" borderId="83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vertical="center" wrapText="1"/>
    </xf>
    <xf numFmtId="3" fontId="36" fillId="0" borderId="27" xfId="0" applyNumberFormat="1" applyFont="1" applyBorder="1" applyAlignment="1">
      <alignment vertical="center"/>
    </xf>
    <xf numFmtId="3" fontId="36" fillId="0" borderId="45" xfId="0" applyNumberFormat="1" applyFont="1" applyBorder="1" applyAlignment="1">
      <alignment vertical="center"/>
    </xf>
    <xf numFmtId="3" fontId="36" fillId="0" borderId="46" xfId="0" applyNumberFormat="1" applyFont="1" applyBorder="1" applyAlignment="1">
      <alignment vertical="center"/>
    </xf>
    <xf numFmtId="164" fontId="40" fillId="0" borderId="86" xfId="0" applyNumberFormat="1" applyFont="1" applyBorder="1" applyAlignment="1">
      <alignment vertical="center"/>
    </xf>
    <xf numFmtId="164" fontId="32" fillId="0" borderId="27" xfId="0" applyNumberFormat="1" applyFont="1" applyBorder="1" applyAlignment="1">
      <alignment vertical="center"/>
    </xf>
    <xf numFmtId="3" fontId="36" fillId="0" borderId="46" xfId="0" applyNumberFormat="1" applyFont="1" applyBorder="1" applyAlignment="1">
      <alignment vertical="center"/>
    </xf>
    <xf numFmtId="3" fontId="36" fillId="0" borderId="45" xfId="0" applyNumberFormat="1" applyFont="1" applyBorder="1" applyAlignment="1">
      <alignment vertical="center"/>
    </xf>
    <xf numFmtId="3" fontId="36" fillId="0" borderId="87" xfId="0" applyNumberFormat="1" applyFont="1" applyBorder="1" applyAlignment="1">
      <alignment vertical="center"/>
    </xf>
    <xf numFmtId="49" fontId="16" fillId="0" borderId="62" xfId="0" applyNumberFormat="1" applyFont="1" applyBorder="1" applyAlignment="1">
      <alignment horizontal="center" vertical="center"/>
    </xf>
    <xf numFmtId="3" fontId="16" fillId="0" borderId="43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164" fontId="26" fillId="0" borderId="53" xfId="0" applyNumberFormat="1" applyFont="1" applyBorder="1" applyAlignment="1">
      <alignment vertical="center"/>
    </xf>
    <xf numFmtId="164" fontId="35" fillId="0" borderId="41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6" fillId="0" borderId="43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49" fontId="36" fillId="0" borderId="26" xfId="0" applyNumberFormat="1" applyFont="1" applyBorder="1" applyAlignment="1">
      <alignment horizontal="center" vertical="center"/>
    </xf>
    <xf numFmtId="164" fontId="40" fillId="0" borderId="88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164" fontId="16" fillId="0" borderId="83" xfId="0" applyNumberFormat="1" applyFont="1" applyBorder="1" applyAlignment="1">
      <alignment vertical="center"/>
    </xf>
    <xf numFmtId="164" fontId="31" fillId="0" borderId="6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vertical="center"/>
    </xf>
    <xf numFmtId="3" fontId="36" fillId="0" borderId="4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vertical="center"/>
    </xf>
    <xf numFmtId="164" fontId="36" fillId="0" borderId="41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vertical="center"/>
    </xf>
    <xf numFmtId="164" fontId="35" fillId="0" borderId="36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65" fontId="17" fillId="0" borderId="41" xfId="0" applyNumberFormat="1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30" fillId="0" borderId="74" xfId="0" applyFont="1" applyBorder="1" applyAlignment="1">
      <alignment vertical="center" wrapText="1"/>
    </xf>
    <xf numFmtId="3" fontId="30" fillId="0" borderId="20" xfId="0" applyNumberFormat="1" applyFont="1" applyBorder="1" applyAlignment="1">
      <alignment vertical="center"/>
    </xf>
    <xf numFmtId="3" fontId="30" fillId="0" borderId="2" xfId="0" applyNumberFormat="1" applyFont="1" applyFill="1" applyBorder="1" applyAlignment="1">
      <alignment horizontal="right" vertical="center"/>
    </xf>
    <xf numFmtId="3" fontId="30" fillId="0" borderId="89" xfId="0" applyNumberFormat="1" applyFont="1" applyBorder="1" applyAlignment="1">
      <alignment horizontal="right" vertical="center"/>
    </xf>
    <xf numFmtId="164" fontId="26" fillId="0" borderId="89" xfId="0" applyNumberFormat="1" applyFont="1" applyBorder="1" applyAlignment="1">
      <alignment vertical="center"/>
    </xf>
    <xf numFmtId="164" fontId="34" fillId="0" borderId="20" xfId="0" applyNumberFormat="1" applyFont="1" applyBorder="1" applyAlignment="1">
      <alignment horizontal="right" vertical="center"/>
    </xf>
    <xf numFmtId="3" fontId="30" fillId="0" borderId="89" xfId="0" applyNumberFormat="1" applyFont="1" applyBorder="1" applyAlignment="1">
      <alignment vertical="center"/>
    </xf>
    <xf numFmtId="3" fontId="30" fillId="0" borderId="90" xfId="0" applyNumberFormat="1" applyFont="1" applyBorder="1" applyAlignment="1">
      <alignment vertical="center"/>
    </xf>
    <xf numFmtId="3" fontId="30" fillId="0" borderId="91" xfId="0" applyNumberFormat="1" applyFont="1" applyBorder="1" applyAlignment="1">
      <alignment vertical="center"/>
    </xf>
    <xf numFmtId="3" fontId="30" fillId="0" borderId="2" xfId="0" applyNumberFormat="1" applyFont="1" applyBorder="1" applyAlignment="1">
      <alignment vertical="center"/>
    </xf>
    <xf numFmtId="3" fontId="30" fillId="0" borderId="2" xfId="0" applyNumberFormat="1" applyFont="1" applyBorder="1" applyAlignment="1">
      <alignment vertical="center"/>
    </xf>
    <xf numFmtId="3" fontId="30" fillId="0" borderId="92" xfId="0" applyNumberFormat="1" applyFont="1" applyBorder="1" applyAlignment="1">
      <alignment vertical="center"/>
    </xf>
    <xf numFmtId="49" fontId="17" fillId="0" borderId="5" xfId="0" applyNumberFormat="1" applyFont="1" applyBorder="1" applyAlignment="1">
      <alignment vertical="center"/>
    </xf>
    <xf numFmtId="0" fontId="17" fillId="0" borderId="62" xfId="0" applyFont="1" applyBorder="1" applyAlignment="1">
      <alignment vertical="center" wrapText="1"/>
    </xf>
    <xf numFmtId="3" fontId="17" fillId="0" borderId="62" xfId="0" applyNumberFormat="1" applyFont="1" applyBorder="1" applyAlignment="1">
      <alignment vertical="center"/>
    </xf>
    <xf numFmtId="3" fontId="17" fillId="0" borderId="43" xfId="0" applyNumberFormat="1" applyFont="1" applyFill="1" applyBorder="1" applyAlignment="1">
      <alignment vertical="center"/>
    </xf>
    <xf numFmtId="164" fontId="40" fillId="0" borderId="0" xfId="0" applyNumberFormat="1" applyFont="1" applyFill="1" applyBorder="1" applyAlignment="1">
      <alignment vertical="center"/>
    </xf>
    <xf numFmtId="3" fontId="17" fillId="0" borderId="43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63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5" fillId="0" borderId="5" xfId="0" applyNumberFormat="1" applyFont="1" applyBorder="1" applyAlignment="1">
      <alignment vertical="center"/>
    </xf>
    <xf numFmtId="165" fontId="15" fillId="0" borderId="62" xfId="0" applyNumberFormat="1" applyFont="1" applyBorder="1" applyAlignment="1">
      <alignment vertical="center" wrapText="1"/>
    </xf>
    <xf numFmtId="3" fontId="15" fillId="0" borderId="41" xfId="0" applyNumberFormat="1" applyFont="1" applyBorder="1" applyAlignment="1">
      <alignment vertical="center"/>
    </xf>
    <xf numFmtId="3" fontId="15" fillId="0" borderId="43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5" fillId="0" borderId="53" xfId="0" applyNumberFormat="1" applyFont="1" applyBorder="1" applyAlignment="1">
      <alignment vertical="center"/>
    </xf>
    <xf numFmtId="3" fontId="15" fillId="0" borderId="63" xfId="0" applyNumberFormat="1" applyFont="1" applyBorder="1" applyAlignment="1">
      <alignment vertical="center"/>
    </xf>
    <xf numFmtId="3" fontId="15" fillId="0" borderId="43" xfId="0" applyNumberFormat="1" applyFont="1" applyBorder="1" applyAlignment="1">
      <alignment vertical="center"/>
    </xf>
    <xf numFmtId="3" fontId="15" fillId="0" borderId="43" xfId="0" applyNumberFormat="1" applyFont="1" applyBorder="1" applyAlignment="1">
      <alignment vertical="center"/>
    </xf>
    <xf numFmtId="3" fontId="15" fillId="0" borderId="52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17" fillId="0" borderId="62" xfId="0" applyNumberFormat="1" applyFont="1" applyBorder="1" applyAlignment="1">
      <alignment vertical="center" wrapText="1"/>
    </xf>
    <xf numFmtId="3" fontId="17" fillId="0" borderId="6" xfId="0" applyNumberFormat="1" applyFont="1" applyBorder="1" applyAlignment="1">
      <alignment vertical="center"/>
    </xf>
    <xf numFmtId="3" fontId="17" fillId="0" borderId="53" xfId="0" applyNumberFormat="1" applyFont="1" applyBorder="1" applyAlignment="1">
      <alignment vertical="center"/>
    </xf>
    <xf numFmtId="3" fontId="17" fillId="0" borderId="64" xfId="0" applyNumberFormat="1" applyFont="1" applyBorder="1" applyAlignment="1">
      <alignment vertical="center"/>
    </xf>
    <xf numFmtId="3" fontId="17" fillId="0" borderId="41" xfId="0" applyNumberFormat="1" applyFont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/>
    </xf>
    <xf numFmtId="165" fontId="17" fillId="0" borderId="93" xfId="0" applyNumberFormat="1" applyFont="1" applyBorder="1" applyAlignment="1">
      <alignment vertical="center" wrapText="1"/>
    </xf>
    <xf numFmtId="3" fontId="17" fillId="0" borderId="93" xfId="0" applyNumberFormat="1" applyFont="1" applyBorder="1" applyAlignment="1">
      <alignment/>
    </xf>
    <xf numFmtId="3" fontId="17" fillId="0" borderId="94" xfId="0" applyNumberFormat="1" applyFont="1" applyFill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164" fontId="40" fillId="0" borderId="95" xfId="0" applyNumberFormat="1" applyFont="1" applyBorder="1" applyAlignment="1">
      <alignment vertical="center"/>
    </xf>
    <xf numFmtId="164" fontId="17" fillId="0" borderId="96" xfId="0" applyNumberFormat="1" applyFont="1" applyBorder="1" applyAlignment="1">
      <alignment horizontal="right" vertical="center"/>
    </xf>
    <xf numFmtId="3" fontId="17" fillId="0" borderId="94" xfId="0" applyNumberFormat="1" applyFont="1" applyBorder="1" applyAlignment="1">
      <alignment/>
    </xf>
    <xf numFmtId="3" fontId="17" fillId="0" borderId="95" xfId="0" applyNumberFormat="1" applyFont="1" applyBorder="1" applyAlignment="1">
      <alignment/>
    </xf>
    <xf numFmtId="3" fontId="17" fillId="0" borderId="97" xfId="0" applyNumberFormat="1" applyFont="1" applyBorder="1" applyAlignment="1">
      <alignment/>
    </xf>
    <xf numFmtId="3" fontId="17" fillId="0" borderId="98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164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99" xfId="0" applyFont="1" applyBorder="1" applyAlignment="1">
      <alignment/>
    </xf>
    <xf numFmtId="0" fontId="42" fillId="0" borderId="0" xfId="0" applyFont="1" applyAlignment="1">
      <alignment vertical="center"/>
    </xf>
    <xf numFmtId="168" fontId="16" fillId="0" borderId="0" xfId="0" applyNumberFormat="1" applyFont="1" applyBorder="1" applyAlignment="1">
      <alignment/>
    </xf>
    <xf numFmtId="168" fontId="1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4" fontId="27" fillId="0" borderId="0" xfId="0" applyFont="1" applyAlignment="1">
      <alignment horizontal="centerContinuous" wrapText="1"/>
    </xf>
    <xf numFmtId="168" fontId="27" fillId="0" borderId="0" xfId="0" applyNumberFormat="1" applyFont="1" applyBorder="1" applyAlignment="1">
      <alignment horizontal="centerContinuous" wrapText="1"/>
    </xf>
    <xf numFmtId="168" fontId="27" fillId="0" borderId="0" xfId="0" applyNumberFormat="1" applyFont="1" applyAlignment="1">
      <alignment horizontal="centerContinuous" wrapText="1"/>
    </xf>
    <xf numFmtId="168" fontId="38" fillId="0" borderId="0" xfId="0" applyNumberFormat="1" applyFont="1" applyAlignment="1">
      <alignment horizontal="centerContinuous" wrapText="1"/>
    </xf>
    <xf numFmtId="166" fontId="43" fillId="0" borderId="0" xfId="0" applyFont="1" applyAlignment="1">
      <alignment horizontal="centerContinuous" wrapText="1"/>
    </xf>
    <xf numFmtId="166" fontId="38" fillId="0" borderId="0" xfId="0" applyFont="1" applyAlignment="1">
      <alignment horizontal="centerContinuous" wrapText="1"/>
    </xf>
    <xf numFmtId="164" fontId="38" fillId="0" borderId="0" xfId="0" applyFont="1" applyAlignment="1">
      <alignment horizontal="centerContinuous" wrapText="1"/>
    </xf>
    <xf numFmtId="164" fontId="41" fillId="0" borderId="0" xfId="0" applyFont="1" applyAlignment="1">
      <alignment horizontal="center" vertical="top" wrapText="1"/>
    </xf>
    <xf numFmtId="166" fontId="41" fillId="0" borderId="0" xfId="0" applyFont="1" applyAlignment="1">
      <alignment horizontal="right" wrapText="1"/>
    </xf>
    <xf numFmtId="0" fontId="38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168" fontId="15" fillId="0" borderId="0" xfId="0" applyNumberFormat="1" applyFont="1" applyBorder="1" applyAlignment="1">
      <alignment horizontal="centerContinuous"/>
    </xf>
    <xf numFmtId="168" fontId="15" fillId="0" borderId="0" xfId="0" applyNumberFormat="1" applyFont="1" applyAlignment="1">
      <alignment horizontal="centerContinuous"/>
    </xf>
    <xf numFmtId="166" fontId="41" fillId="0" borderId="0" xfId="0" applyFont="1" applyBorder="1" applyAlignment="1">
      <alignment horizontal="left"/>
    </xf>
    <xf numFmtId="166" fontId="41" fillId="0" borderId="0" xfId="0" applyFont="1" applyBorder="1" applyAlignment="1">
      <alignment horizontal="centerContinuous"/>
    </xf>
    <xf numFmtId="164" fontId="16" fillId="0" borderId="57" xfId="0" applyFont="1" applyBorder="1" applyAlignment="1">
      <alignment horizontal="center" vertical="center"/>
    </xf>
    <xf numFmtId="164" fontId="18" fillId="0" borderId="58" xfId="0" applyFont="1" applyBorder="1" applyAlignment="1">
      <alignment horizontal="center" vertical="center"/>
    </xf>
    <xf numFmtId="168" fontId="19" fillId="0" borderId="81" xfId="0" applyNumberFormat="1" applyFont="1" applyBorder="1" applyAlignment="1">
      <alignment horizontal="centerContinuous" vertical="center" wrapText="1"/>
    </xf>
    <xf numFmtId="168" fontId="44" fillId="0" borderId="34" xfId="0" applyNumberFormat="1" applyFont="1" applyBorder="1" applyAlignment="1">
      <alignment horizontal="centerContinuous" vertical="center" wrapText="1"/>
    </xf>
    <xf numFmtId="168" fontId="19" fillId="0" borderId="12" xfId="0" applyNumberFormat="1" applyFont="1" applyBorder="1" applyAlignment="1">
      <alignment horizontal="centerContinuous" vertical="center" wrapText="1"/>
    </xf>
    <xf numFmtId="168" fontId="24" fillId="0" borderId="12" xfId="0" applyNumberFormat="1" applyFont="1" applyBorder="1" applyAlignment="1">
      <alignment horizontal="centerContinuous" vertical="center" wrapText="1"/>
    </xf>
    <xf numFmtId="166" fontId="25" fillId="0" borderId="12" xfId="0" applyFont="1" applyBorder="1" applyAlignment="1">
      <alignment horizontal="centerContinuous" vertical="center" wrapText="1"/>
    </xf>
    <xf numFmtId="166" fontId="26" fillId="0" borderId="33" xfId="0" applyFont="1" applyBorder="1" applyAlignment="1">
      <alignment horizontal="centerContinuous" vertical="center" wrapText="1"/>
    </xf>
    <xf numFmtId="164" fontId="27" fillId="0" borderId="12" xfId="0" applyFont="1" applyBorder="1" applyAlignment="1">
      <alignment horizontal="centerContinuous" vertical="center" wrapText="1"/>
    </xf>
    <xf numFmtId="166" fontId="27" fillId="0" borderId="33" xfId="0" applyFont="1" applyBorder="1" applyAlignment="1">
      <alignment horizontal="centerContinuous" vertical="center" wrapText="1"/>
    </xf>
    <xf numFmtId="164" fontId="27" fillId="0" borderId="34" xfId="0" applyFont="1" applyBorder="1" applyAlignment="1">
      <alignment horizontal="centerContinuous" vertical="center" wrapText="1"/>
    </xf>
    <xf numFmtId="164" fontId="27" fillId="0" borderId="12" xfId="0" applyFont="1" applyBorder="1" applyAlignment="1">
      <alignment horizontal="centerContinuous" vertical="center" wrapText="1"/>
    </xf>
    <xf numFmtId="166" fontId="18" fillId="0" borderId="33" xfId="0" applyFont="1" applyBorder="1" applyAlignment="1">
      <alignment horizontal="centerContinuous" vertical="center" wrapText="1"/>
    </xf>
    <xf numFmtId="164" fontId="33" fillId="0" borderId="100" xfId="0" applyFont="1" applyBorder="1" applyAlignment="1">
      <alignment horizontal="center" vertical="top"/>
    </xf>
    <xf numFmtId="164" fontId="16" fillId="0" borderId="27" xfId="0" applyFont="1" applyBorder="1" applyAlignment="1">
      <alignment horizontal="center" vertical="top"/>
    </xf>
    <xf numFmtId="168" fontId="45" fillId="0" borderId="101" xfId="0" applyNumberFormat="1" applyFont="1" applyBorder="1" applyAlignment="1">
      <alignment horizontal="center" vertical="center" wrapText="1"/>
    </xf>
    <xf numFmtId="168" fontId="45" fillId="0" borderId="102" xfId="0" applyNumberFormat="1" applyFont="1" applyBorder="1" applyAlignment="1">
      <alignment horizontal="center" vertical="center" wrapText="1"/>
    </xf>
    <xf numFmtId="168" fontId="45" fillId="0" borderId="46" xfId="0" applyNumberFormat="1" applyFont="1" applyBorder="1" applyAlignment="1">
      <alignment horizontal="center" vertical="center" wrapText="1"/>
    </xf>
    <xf numFmtId="164" fontId="45" fillId="0" borderId="46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168" fontId="45" fillId="0" borderId="45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3" fontId="46" fillId="0" borderId="103" xfId="0" applyFont="1" applyBorder="1" applyAlignment="1">
      <alignment horizontal="center" vertical="center"/>
    </xf>
    <xf numFmtId="3" fontId="46" fillId="0" borderId="33" xfId="0" applyFont="1" applyBorder="1" applyAlignment="1">
      <alignment horizontal="center" vertical="center"/>
    </xf>
    <xf numFmtId="3" fontId="46" fillId="0" borderId="104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" fontId="46" fillId="0" borderId="12" xfId="0" applyFont="1" applyBorder="1" applyAlignment="1">
      <alignment horizontal="center" vertical="center"/>
    </xf>
    <xf numFmtId="3" fontId="46" fillId="0" borderId="34" xfId="0" applyFont="1" applyBorder="1" applyAlignment="1">
      <alignment horizontal="center" vertical="center"/>
    </xf>
    <xf numFmtId="3" fontId="46" fillId="0" borderId="33" xfId="0" applyFont="1" applyBorder="1" applyAlignment="1">
      <alignment horizontal="center" vertical="center"/>
    </xf>
    <xf numFmtId="3" fontId="46" fillId="0" borderId="0" xfId="0" applyFont="1" applyBorder="1" applyAlignment="1">
      <alignment horizontal="center" vertical="center"/>
    </xf>
    <xf numFmtId="3" fontId="46" fillId="0" borderId="0" xfId="0" applyFont="1" applyAlignment="1">
      <alignment horizontal="center" vertical="center"/>
    </xf>
    <xf numFmtId="164" fontId="26" fillId="0" borderId="103" xfId="0" applyFont="1" applyBorder="1" applyAlignment="1">
      <alignment horizontal="center" vertical="center"/>
    </xf>
    <xf numFmtId="164" fontId="26" fillId="0" borderId="33" xfId="0" applyFont="1" applyBorder="1" applyAlignment="1">
      <alignment vertical="center" wrapText="1"/>
    </xf>
    <xf numFmtId="3" fontId="26" fillId="0" borderId="104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vertical="center"/>
    </xf>
    <xf numFmtId="164" fontId="26" fillId="0" borderId="12" xfId="0" applyNumberFormat="1" applyFont="1" applyBorder="1" applyAlignment="1">
      <alignment vertical="center"/>
    </xf>
    <xf numFmtId="164" fontId="26" fillId="0" borderId="33" xfId="0" applyNumberFormat="1" applyFont="1" applyBorder="1" applyAlignment="1">
      <alignment vertical="center"/>
    </xf>
    <xf numFmtId="3" fontId="26" fillId="0" borderId="105" xfId="0" applyNumberFormat="1" applyFont="1" applyBorder="1" applyAlignment="1">
      <alignment vertical="center"/>
    </xf>
    <xf numFmtId="164" fontId="26" fillId="0" borderId="3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64" fontId="24" fillId="0" borderId="33" xfId="0" applyFont="1" applyBorder="1" applyAlignment="1">
      <alignment vertical="center" wrapText="1"/>
    </xf>
    <xf numFmtId="164" fontId="26" fillId="0" borderId="33" xfId="0" applyFont="1" applyBorder="1" applyAlignment="1">
      <alignment vertical="center"/>
    </xf>
    <xf numFmtId="3" fontId="26" fillId="0" borderId="34" xfId="0" applyNumberFormat="1" applyFont="1" applyBorder="1" applyAlignment="1">
      <alignment vertical="center"/>
    </xf>
    <xf numFmtId="3" fontId="31" fillId="0" borderId="63" xfId="0" applyNumberFormat="1" applyFont="1" applyBorder="1" applyAlignment="1">
      <alignment horizontal="center" vertical="center"/>
    </xf>
    <xf numFmtId="164" fontId="31" fillId="0" borderId="41" xfId="0" applyFont="1" applyBorder="1" applyAlignment="1">
      <alignment vertical="center" wrapText="1"/>
    </xf>
    <xf numFmtId="3" fontId="31" fillId="0" borderId="64" xfId="0" applyNumberFormat="1" applyFont="1" applyBorder="1" applyAlignment="1">
      <alignment vertical="center"/>
    </xf>
    <xf numFmtId="3" fontId="31" fillId="0" borderId="6" xfId="0" applyNumberFormat="1" applyFont="1" applyBorder="1" applyAlignment="1">
      <alignment vertical="center"/>
    </xf>
    <xf numFmtId="3" fontId="31" fillId="0" borderId="6" xfId="0" applyNumberFormat="1" applyFont="1" applyBorder="1" applyAlignment="1">
      <alignment vertical="center"/>
    </xf>
    <xf numFmtId="164" fontId="31" fillId="0" borderId="6" xfId="0" applyNumberFormat="1" applyFont="1" applyBorder="1" applyAlignment="1">
      <alignment vertical="center"/>
    </xf>
    <xf numFmtId="164" fontId="31" fillId="0" borderId="41" xfId="0" applyNumberFormat="1" applyFont="1" applyBorder="1" applyAlignment="1">
      <alignment vertical="center"/>
    </xf>
    <xf numFmtId="164" fontId="31" fillId="0" borderId="41" xfId="0" applyFont="1" applyBorder="1" applyAlignment="1">
      <alignment vertical="center"/>
    </xf>
    <xf numFmtId="3" fontId="31" fillId="0" borderId="43" xfId="0" applyNumberFormat="1" applyFont="1" applyBorder="1" applyAlignment="1">
      <alignment vertical="center"/>
    </xf>
    <xf numFmtId="164" fontId="31" fillId="0" borderId="4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64" fontId="31" fillId="0" borderId="6" xfId="0" applyFont="1" applyBorder="1" applyAlignment="1">
      <alignment vertical="center"/>
    </xf>
    <xf numFmtId="3" fontId="26" fillId="0" borderId="103" xfId="0" applyNumberFormat="1" applyFont="1" applyBorder="1" applyAlignment="1">
      <alignment horizontal="center" vertical="center"/>
    </xf>
    <xf numFmtId="164" fontId="26" fillId="0" borderId="12" xfId="0" applyFont="1" applyBorder="1" applyAlignment="1">
      <alignment vertical="center"/>
    </xf>
    <xf numFmtId="164" fontId="26" fillId="0" borderId="33" xfId="0" applyFont="1" applyBorder="1" applyAlignment="1">
      <alignment horizontal="center" vertical="center"/>
    </xf>
    <xf numFmtId="164" fontId="31" fillId="0" borderId="43" xfId="0" applyNumberFormat="1" applyFont="1" applyBorder="1" applyAlignment="1">
      <alignment vertical="center"/>
    </xf>
    <xf numFmtId="3" fontId="31" fillId="0" borderId="100" xfId="0" applyNumberFormat="1" applyFont="1" applyBorder="1" applyAlignment="1">
      <alignment horizontal="center" vertical="center"/>
    </xf>
    <xf numFmtId="164" fontId="31" fillId="0" borderId="27" xfId="0" applyFont="1" applyBorder="1" applyAlignment="1">
      <alignment vertical="center" wrapText="1"/>
    </xf>
    <xf numFmtId="3" fontId="31" fillId="0" borderId="106" xfId="0" applyNumberFormat="1" applyFont="1" applyBorder="1" applyAlignment="1">
      <alignment vertical="center"/>
    </xf>
    <xf numFmtId="3" fontId="31" fillId="0" borderId="46" xfId="0" applyNumberFormat="1" applyFont="1" applyBorder="1" applyAlignment="1">
      <alignment vertical="center"/>
    </xf>
    <xf numFmtId="3" fontId="31" fillId="0" borderId="46" xfId="0" applyNumberFormat="1" applyFont="1" applyBorder="1" applyAlignment="1">
      <alignment vertical="center"/>
    </xf>
    <xf numFmtId="164" fontId="31" fillId="0" borderId="46" xfId="0" applyFont="1" applyBorder="1" applyAlignment="1">
      <alignment vertical="center"/>
    </xf>
    <xf numFmtId="164" fontId="31" fillId="0" borderId="27" xfId="0" applyNumberFormat="1" applyFont="1" applyBorder="1" applyAlignment="1">
      <alignment vertical="center"/>
    </xf>
    <xf numFmtId="164" fontId="31" fillId="0" borderId="27" xfId="0" applyFont="1" applyBorder="1" applyAlignment="1">
      <alignment vertical="center"/>
    </xf>
    <xf numFmtId="3" fontId="31" fillId="0" borderId="45" xfId="0" applyNumberFormat="1" applyFont="1" applyBorder="1" applyAlignment="1">
      <alignment vertical="center"/>
    </xf>
    <xf numFmtId="164" fontId="31" fillId="0" borderId="27" xfId="0" applyFont="1" applyBorder="1" applyAlignment="1">
      <alignment vertical="center"/>
    </xf>
    <xf numFmtId="164" fontId="26" fillId="0" borderId="97" xfId="0" applyFont="1" applyBorder="1" applyAlignment="1">
      <alignment horizontal="center" vertical="center"/>
    </xf>
    <xf numFmtId="164" fontId="24" fillId="0" borderId="96" xfId="0" applyFont="1" applyBorder="1" applyAlignment="1">
      <alignment vertical="center" wrapText="1"/>
    </xf>
    <xf numFmtId="3" fontId="26" fillId="0" borderId="107" xfId="0" applyNumberFormat="1" applyFont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164" fontId="26" fillId="0" borderId="18" xfId="0" applyFont="1" applyBorder="1" applyAlignment="1">
      <alignment vertical="center"/>
    </xf>
    <xf numFmtId="164" fontId="26" fillId="0" borderId="96" xfId="0" applyNumberFormat="1" applyFont="1" applyBorder="1" applyAlignment="1">
      <alignment vertical="center"/>
    </xf>
    <xf numFmtId="164" fontId="26" fillId="0" borderId="96" xfId="0" applyFont="1" applyBorder="1" applyAlignment="1">
      <alignment vertical="center"/>
    </xf>
    <xf numFmtId="3" fontId="26" fillId="0" borderId="94" xfId="0" applyNumberFormat="1" applyFont="1" applyBorder="1" applyAlignment="1">
      <alignment vertical="center"/>
    </xf>
    <xf numFmtId="164" fontId="26" fillId="0" borderId="96" xfId="0" applyFont="1" applyBorder="1" applyAlignment="1">
      <alignment vertical="center"/>
    </xf>
    <xf numFmtId="3" fontId="31" fillId="0" borderId="59" xfId="0" applyNumberFormat="1" applyFont="1" applyBorder="1" applyAlignment="1">
      <alignment horizontal="center" vertical="center"/>
    </xf>
    <xf numFmtId="164" fontId="31" fillId="0" borderId="58" xfId="0" applyFont="1" applyBorder="1" applyAlignment="1">
      <alignment vertical="center" wrapText="1"/>
    </xf>
    <xf numFmtId="3" fontId="31" fillId="0" borderId="59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164" fontId="31" fillId="0" borderId="15" xfId="0" applyFont="1" applyBorder="1" applyAlignment="1">
      <alignment vertical="center"/>
    </xf>
    <xf numFmtId="164" fontId="31" fillId="0" borderId="99" xfId="0" applyNumberFormat="1" applyFont="1" applyBorder="1" applyAlignment="1">
      <alignment vertical="center"/>
    </xf>
    <xf numFmtId="3" fontId="31" fillId="0" borderId="57" xfId="0" applyNumberFormat="1" applyFont="1" applyBorder="1" applyAlignment="1">
      <alignment vertical="center"/>
    </xf>
    <xf numFmtId="3" fontId="31" fillId="0" borderId="99" xfId="0" applyNumberFormat="1" applyFont="1" applyBorder="1" applyAlignment="1">
      <alignment vertical="center"/>
    </xf>
    <xf numFmtId="164" fontId="31" fillId="0" borderId="58" xfId="0" applyFont="1" applyBorder="1" applyAlignment="1">
      <alignment vertical="center"/>
    </xf>
    <xf numFmtId="3" fontId="31" fillId="0" borderId="64" xfId="0" applyNumberFormat="1" applyFont="1" applyBorder="1" applyAlignment="1">
      <alignment horizontal="center" vertical="center"/>
    </xf>
    <xf numFmtId="164" fontId="31" fillId="0" borderId="41" xfId="0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/>
    </xf>
    <xf numFmtId="164" fontId="31" fillId="0" borderId="18" xfId="0" applyFont="1" applyBorder="1" applyAlignment="1">
      <alignment vertical="center"/>
    </xf>
    <xf numFmtId="164" fontId="31" fillId="0" borderId="0" xfId="0" applyNumberFormat="1" applyFont="1" applyBorder="1" applyAlignment="1">
      <alignment vertical="center"/>
    </xf>
    <xf numFmtId="3" fontId="31" fillId="0" borderId="97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164" fontId="33" fillId="0" borderId="104" xfId="0" applyFont="1" applyBorder="1" applyAlignment="1">
      <alignment horizontal="center" vertical="center"/>
    </xf>
    <xf numFmtId="164" fontId="24" fillId="0" borderId="33" xfId="0" applyFont="1" applyBorder="1" applyAlignment="1">
      <alignment vertical="center" wrapText="1"/>
    </xf>
    <xf numFmtId="164" fontId="26" fillId="0" borderId="12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64" fontId="33" fillId="0" borderId="103" xfId="0" applyFont="1" applyBorder="1" applyAlignment="1">
      <alignment horizontal="center" vertical="center"/>
    </xf>
    <xf numFmtId="3" fontId="31" fillId="0" borderId="63" xfId="0" applyFont="1" applyBorder="1" applyAlignment="1">
      <alignment horizontal="center" vertical="center"/>
    </xf>
    <xf numFmtId="2" fontId="31" fillId="0" borderId="41" xfId="0" applyNumberFormat="1" applyFont="1" applyBorder="1" applyAlignment="1">
      <alignment vertical="center"/>
    </xf>
    <xf numFmtId="164" fontId="33" fillId="0" borderId="104" xfId="0" applyFont="1" applyBorder="1" applyAlignment="1">
      <alignment horizontal="center" vertical="center" wrapText="1"/>
    </xf>
    <xf numFmtId="164" fontId="33" fillId="0" borderId="108" xfId="0" applyFont="1" applyBorder="1" applyAlignment="1">
      <alignment horizontal="center" vertical="center" wrapText="1"/>
    </xf>
    <xf numFmtId="3" fontId="33" fillId="0" borderId="104" xfId="0" applyNumberFormat="1" applyFont="1" applyBorder="1" applyAlignment="1">
      <alignment vertical="center"/>
    </xf>
    <xf numFmtId="3" fontId="26" fillId="0" borderId="81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105" xfId="0" applyNumberFormat="1" applyFont="1" applyBorder="1" applyAlignment="1">
      <alignment vertical="center"/>
    </xf>
    <xf numFmtId="164" fontId="33" fillId="0" borderId="81" xfId="0" applyFont="1" applyBorder="1" applyAlignment="1">
      <alignment vertical="center"/>
    </xf>
    <xf numFmtId="164" fontId="33" fillId="0" borderId="33" xfId="0" applyNumberFormat="1" applyFont="1" applyBorder="1" applyAlignment="1">
      <alignment vertical="center"/>
    </xf>
    <xf numFmtId="164" fontId="33" fillId="0" borderId="33" xfId="0" applyFont="1" applyBorder="1" applyAlignment="1">
      <alignment vertical="center"/>
    </xf>
    <xf numFmtId="164" fontId="33" fillId="0" borderId="33" xfId="0" applyFont="1" applyBorder="1" applyAlignment="1">
      <alignment vertical="center"/>
    </xf>
    <xf numFmtId="0" fontId="15" fillId="0" borderId="0" xfId="0" applyFont="1" applyAlignment="1">
      <alignment horizontal="center"/>
    </xf>
    <xf numFmtId="168" fontId="1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9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horizontal="centerContinuous" vertical="center" wrapText="1"/>
    </xf>
    <xf numFmtId="0" fontId="5" fillId="0" borderId="29" xfId="0" applyFont="1" applyBorder="1" applyAlignment="1">
      <alignment horizontal="centerContinuous" vertical="center" wrapText="1"/>
    </xf>
    <xf numFmtId="0" fontId="7" fillId="0" borderId="102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9" fillId="0" borderId="10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10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164" fontId="6" fillId="0" borderId="3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5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164" fontId="6" fillId="0" borderId="5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14" fillId="0" borderId="6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3" fontId="14" fillId="0" borderId="6" xfId="0" applyNumberFormat="1" applyFont="1" applyBorder="1" applyAlignment="1">
      <alignment vertical="center"/>
    </xf>
    <xf numFmtId="164" fontId="14" fillId="0" borderId="4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9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/>
    </xf>
    <xf numFmtId="164" fontId="14" fillId="0" borderId="9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0" borderId="6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164" fontId="6" fillId="0" borderId="4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4" fillId="0" borderId="100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3" fontId="14" fillId="0" borderId="46" xfId="0" applyNumberFormat="1" applyFont="1" applyBorder="1" applyAlignment="1">
      <alignment vertical="center"/>
    </xf>
    <xf numFmtId="164" fontId="14" fillId="0" borderId="27" xfId="0" applyNumberFormat="1" applyFont="1" applyBorder="1" applyAlignment="1">
      <alignment vertical="center"/>
    </xf>
    <xf numFmtId="1" fontId="6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6" xfId="19" applyNumberFormat="1" applyFont="1" applyFill="1" applyBorder="1" applyAlignment="1" applyProtection="1">
      <alignment vertical="center" wrapText="1"/>
      <protection locked="0"/>
    </xf>
    <xf numFmtId="164" fontId="14" fillId="0" borderId="6" xfId="19" applyNumberFormat="1" applyFont="1" applyFill="1" applyBorder="1" applyAlignment="1" applyProtection="1">
      <alignment vertical="center" wrapText="1"/>
      <protection locked="0"/>
    </xf>
    <xf numFmtId="49" fontId="11" fillId="0" borderId="10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5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3" fontId="14" fillId="0" borderId="45" xfId="0" applyNumberFormat="1" applyFont="1" applyBorder="1" applyAlignment="1">
      <alignment vertical="center"/>
    </xf>
    <xf numFmtId="164" fontId="49" fillId="0" borderId="27" xfId="0" applyNumberFormat="1" applyFont="1" applyBorder="1" applyAlignment="1">
      <alignment vertical="center"/>
    </xf>
    <xf numFmtId="49" fontId="6" fillId="0" borderId="110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 wrapText="1"/>
    </xf>
    <xf numFmtId="3" fontId="6" fillId="0" borderId="78" xfId="0" applyNumberFormat="1" applyFont="1" applyBorder="1" applyAlignment="1">
      <alignment vertical="center"/>
    </xf>
    <xf numFmtId="164" fontId="6" fillId="0" borderId="79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Continuous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111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112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108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42" xfId="0" applyFont="1" applyFill="1" applyBorder="1" applyAlignment="1">
      <alignment vertical="center" wrapText="1"/>
    </xf>
    <xf numFmtId="3" fontId="57" fillId="0" borderId="43" xfId="0" applyNumberFormat="1" applyFont="1" applyFill="1" applyBorder="1" applyAlignment="1">
      <alignment vertical="center"/>
    </xf>
    <xf numFmtId="3" fontId="57" fillId="0" borderId="62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42" xfId="0" applyFont="1" applyFill="1" applyBorder="1" applyAlignment="1">
      <alignment vertical="center" wrapText="1"/>
    </xf>
    <xf numFmtId="3" fontId="55" fillId="0" borderId="43" xfId="0" applyNumberFormat="1" applyFont="1" applyFill="1" applyBorder="1" applyAlignment="1">
      <alignment vertical="center"/>
    </xf>
    <xf numFmtId="3" fontId="55" fillId="0" borderId="62" xfId="0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42" xfId="0" applyFont="1" applyFill="1" applyBorder="1" applyAlignment="1">
      <alignment vertical="center" wrapText="1"/>
    </xf>
    <xf numFmtId="0" fontId="60" fillId="0" borderId="42" xfId="0" applyFont="1" applyFill="1" applyBorder="1" applyAlignment="1">
      <alignment vertical="center" wrapText="1"/>
    </xf>
    <xf numFmtId="3" fontId="60" fillId="0" borderId="43" xfId="0" applyNumberFormat="1" applyFont="1" applyFill="1" applyBorder="1" applyAlignment="1">
      <alignment vertical="center"/>
    </xf>
    <xf numFmtId="3" fontId="60" fillId="0" borderId="62" xfId="0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42" xfId="0" applyFont="1" applyFill="1" applyBorder="1" applyAlignment="1">
      <alignment vertical="center" wrapText="1"/>
    </xf>
    <xf numFmtId="3" fontId="61" fillId="0" borderId="43" xfId="0" applyNumberFormat="1" applyFont="1" applyFill="1" applyBorder="1" applyAlignment="1">
      <alignment vertical="center"/>
    </xf>
    <xf numFmtId="3" fontId="61" fillId="0" borderId="62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55" fillId="0" borderId="41" xfId="0" applyNumberFormat="1" applyFont="1" applyFill="1" applyBorder="1" applyAlignment="1">
      <alignment vertical="center"/>
    </xf>
    <xf numFmtId="3" fontId="59" fillId="0" borderId="43" xfId="0" applyNumberFormat="1" applyFont="1" applyFill="1" applyBorder="1" applyAlignment="1">
      <alignment vertical="center"/>
    </xf>
    <xf numFmtId="3" fontId="59" fillId="0" borderId="41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3" fontId="59" fillId="0" borderId="62" xfId="0" applyNumberFormat="1" applyFont="1" applyFill="1" applyBorder="1" applyAlignment="1">
      <alignment vertical="center"/>
    </xf>
    <xf numFmtId="4" fontId="60" fillId="0" borderId="0" xfId="0" applyNumberFormat="1" applyFont="1" applyAlignment="1">
      <alignment vertical="center"/>
    </xf>
    <xf numFmtId="3" fontId="60" fillId="0" borderId="41" xfId="0" applyNumberFormat="1" applyFont="1" applyFill="1" applyBorder="1" applyAlignment="1">
      <alignment vertical="center"/>
    </xf>
    <xf numFmtId="0" fontId="60" fillId="0" borderId="113" xfId="0" applyFont="1" applyFill="1" applyBorder="1" applyAlignment="1">
      <alignment vertical="center" wrapText="1"/>
    </xf>
    <xf numFmtId="3" fontId="60" fillId="0" borderId="94" xfId="0" applyNumberFormat="1" applyFont="1" applyFill="1" applyBorder="1" applyAlignment="1">
      <alignment vertical="center"/>
    </xf>
    <xf numFmtId="3" fontId="60" fillId="0" borderId="93" xfId="0" applyNumberFormat="1" applyFont="1" applyFill="1" applyBorder="1" applyAlignment="1">
      <alignment vertical="center"/>
    </xf>
    <xf numFmtId="0" fontId="50" fillId="0" borderId="0" xfId="0" applyFont="1" applyFill="1" applyAlignment="1">
      <alignment wrapText="1"/>
    </xf>
    <xf numFmtId="4" fontId="63" fillId="0" borderId="0" xfId="0" applyNumberFormat="1" applyFont="1" applyFill="1" applyBorder="1" applyAlignment="1">
      <alignment horizontal="centerContinuous" vertical="center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wrapText="1"/>
    </xf>
    <xf numFmtId="4" fontId="5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Continuous" vertical="center"/>
    </xf>
    <xf numFmtId="164" fontId="10" fillId="0" borderId="0" xfId="0" applyNumberFormat="1" applyFont="1" applyBorder="1" applyAlignment="1">
      <alignment/>
    </xf>
    <xf numFmtId="1" fontId="4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0" applyNumberFormat="1" applyFont="1" applyBorder="1" applyAlignment="1">
      <alignment vertical="center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left" vertical="center"/>
      <protection locked="0"/>
    </xf>
    <xf numFmtId="1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10" fillId="0" borderId="114" xfId="0" applyNumberFormat="1" applyFont="1" applyFill="1" applyBorder="1" applyAlignment="1" applyProtection="1">
      <alignment horizontal="centerContinuous" vertical="center"/>
      <protection locked="0"/>
    </xf>
    <xf numFmtId="3" fontId="5" fillId="0" borderId="59" xfId="0" applyNumberFormat="1" applyFont="1" applyFill="1" applyBorder="1" applyAlignment="1" applyProtection="1">
      <alignment horizontal="centerContinuous" vertical="center"/>
      <protection locked="0"/>
    </xf>
    <xf numFmtId="3" fontId="8" fillId="0" borderId="9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15" xfId="0" applyNumberFormat="1" applyFont="1" applyFill="1" applyBorder="1" applyAlignment="1" applyProtection="1">
      <alignment horizontal="centerContinuous" vertical="center"/>
      <protection locked="0"/>
    </xf>
    <xf numFmtId="3" fontId="8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16" xfId="0" applyNumberFormat="1" applyFont="1" applyFill="1" applyBorder="1" applyAlignment="1" applyProtection="1">
      <alignment horizontal="centerContinuous" vertical="center"/>
      <protection locked="0"/>
    </xf>
    <xf numFmtId="3" fontId="8" fillId="0" borderId="11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1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0" applyNumberFormat="1" applyFont="1" applyBorder="1" applyAlignment="1">
      <alignment vertical="center"/>
    </xf>
    <xf numFmtId="1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3" xfId="19" applyNumberFormat="1" applyFont="1" applyFill="1" applyBorder="1" applyAlignment="1" applyProtection="1">
      <alignment horizontal="center" vertical="center" wrapText="1"/>
      <protection locked="0"/>
    </xf>
    <xf numFmtId="3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Border="1" applyAlignment="1">
      <alignment horizontal="center" vertical="center"/>
    </xf>
    <xf numFmtId="1" fontId="10" fillId="0" borderId="103" xfId="0" applyNumberFormat="1" applyFont="1" applyFill="1" applyBorder="1" applyAlignment="1" applyProtection="1">
      <alignment horizontal="centerContinuous" vertical="center"/>
      <protection locked="0"/>
    </xf>
    <xf numFmtId="1" fontId="10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3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08" xfId="0" applyNumberFormat="1" applyFont="1" applyFill="1" applyBorder="1" applyAlignment="1" applyProtection="1">
      <alignment horizontal="center" vertical="center"/>
      <protection locked="0"/>
    </xf>
    <xf numFmtId="3" fontId="10" fillId="0" borderId="103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1" fontId="6" fillId="0" borderId="10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81" xfId="19" applyNumberFormat="1" applyFont="1" applyFill="1" applyBorder="1" applyAlignment="1" applyProtection="1">
      <alignment vertical="center" wrapText="1"/>
      <protection locked="0"/>
    </xf>
    <xf numFmtId="3" fontId="6" fillId="0" borderId="103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49" fillId="0" borderId="108" xfId="0" applyNumberFormat="1" applyFont="1" applyFill="1" applyBorder="1" applyAlignment="1" applyProtection="1">
      <alignment horizontal="right" vertical="center"/>
      <protection locked="0"/>
    </xf>
    <xf numFmtId="3" fontId="6" fillId="0" borderId="108" xfId="0" applyNumberFormat="1" applyFont="1" applyFill="1" applyBorder="1" applyAlignment="1" applyProtection="1">
      <alignment vertical="center"/>
      <protection locked="0"/>
    </xf>
    <xf numFmtId="164" fontId="6" fillId="0" borderId="108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1" fontId="6" fillId="0" borderId="10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17" xfId="19" applyNumberFormat="1" applyFont="1" applyFill="1" applyBorder="1" applyAlignment="1" applyProtection="1">
      <alignment vertical="center" wrapText="1"/>
      <protection locked="0"/>
    </xf>
    <xf numFmtId="3" fontId="6" fillId="0" borderId="100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164" fontId="49" fillId="0" borderId="85" xfId="0" applyNumberFormat="1" applyFont="1" applyFill="1" applyBorder="1" applyAlignment="1" applyProtection="1">
      <alignment horizontal="right" vertical="center"/>
      <protection locked="0"/>
    </xf>
    <xf numFmtId="3" fontId="6" fillId="0" borderId="109" xfId="0" applyNumberFormat="1" applyFont="1" applyFill="1" applyBorder="1" applyAlignment="1" applyProtection="1">
      <alignment vertical="center"/>
      <protection locked="0"/>
    </xf>
    <xf numFmtId="3" fontId="6" fillId="0" borderId="118" xfId="0" applyNumberFormat="1" applyFont="1" applyFill="1" applyBorder="1" applyAlignment="1" applyProtection="1">
      <alignment vertical="center"/>
      <protection locked="0"/>
    </xf>
    <xf numFmtId="164" fontId="49" fillId="0" borderId="112" xfId="0" applyNumberFormat="1" applyFont="1" applyFill="1" applyBorder="1" applyAlignment="1" applyProtection="1">
      <alignment horizontal="right" vertical="center"/>
      <protection locked="0"/>
    </xf>
    <xf numFmtId="164" fontId="6" fillId="0" borderId="118" xfId="0" applyNumberFormat="1" applyFont="1" applyFill="1" applyBorder="1" applyAlignment="1" applyProtection="1">
      <alignment vertical="center"/>
      <protection locked="0"/>
    </xf>
    <xf numFmtId="1" fontId="4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3" xfId="19" applyNumberFormat="1" applyFont="1" applyFill="1" applyBorder="1" applyAlignment="1" applyProtection="1">
      <alignment vertical="center" wrapText="1"/>
      <protection locked="0"/>
    </xf>
    <xf numFmtId="3" fontId="4" fillId="0" borderId="97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164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164" fontId="4" fillId="0" borderId="6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64" fontId="6" fillId="0" borderId="12" xfId="19" applyNumberFormat="1" applyFont="1" applyFill="1" applyBorder="1" applyAlignment="1" applyProtection="1">
      <alignment vertical="center" wrapText="1"/>
      <protection locked="0"/>
    </xf>
    <xf numFmtId="164" fontId="6" fillId="0" borderId="9" xfId="19" applyNumberFormat="1" applyFont="1" applyFill="1" applyBorder="1" applyAlignment="1" applyProtection="1">
      <alignment vertical="center" wrapText="1"/>
      <protection locked="0"/>
    </xf>
    <xf numFmtId="3" fontId="6" fillId="0" borderId="116" xfId="0" applyNumberFormat="1" applyFont="1" applyFill="1" applyBorder="1" applyAlignment="1" applyProtection="1">
      <alignment vertical="center"/>
      <protection locked="0"/>
    </xf>
    <xf numFmtId="3" fontId="6" fillId="0" borderId="112" xfId="0" applyNumberFormat="1" applyFont="1" applyFill="1" applyBorder="1" applyAlignment="1" applyProtection="1">
      <alignment vertical="center"/>
      <protection locked="0"/>
    </xf>
    <xf numFmtId="164" fontId="4" fillId="0" borderId="6" xfId="19" applyNumberFormat="1" applyFont="1" applyFill="1" applyBorder="1" applyAlignment="1" applyProtection="1">
      <alignment vertical="center" wrapText="1"/>
      <protection locked="0"/>
    </xf>
    <xf numFmtId="1" fontId="6" fillId="0" borderId="116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02" xfId="19" applyNumberFormat="1" applyFont="1" applyFill="1" applyBorder="1" applyAlignment="1" applyProtection="1">
      <alignment vertical="center" wrapText="1"/>
      <protection locked="0"/>
    </xf>
    <xf numFmtId="3" fontId="6" fillId="0" borderId="102" xfId="0" applyNumberFormat="1" applyFont="1" applyFill="1" applyBorder="1" applyAlignment="1" applyProtection="1">
      <alignment vertical="center"/>
      <protection locked="0"/>
    </xf>
    <xf numFmtId="164" fontId="49" fillId="0" borderId="62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164" fontId="49" fillId="0" borderId="118" xfId="0" applyNumberFormat="1" applyFont="1" applyFill="1" applyBorder="1" applyAlignment="1" applyProtection="1">
      <alignment horizontal="right" vertical="center"/>
      <protection locked="0"/>
    </xf>
    <xf numFmtId="1" fontId="4" fillId="0" borderId="10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6" xfId="19" applyNumberFormat="1" applyFont="1" applyFill="1" applyBorder="1" applyAlignment="1" applyProtection="1">
      <alignment vertical="center" wrapText="1"/>
      <protection locked="0"/>
    </xf>
    <xf numFmtId="3" fontId="4" fillId="0" borderId="100" xfId="0" applyNumberFormat="1" applyFont="1" applyFill="1" applyBorder="1" applyAlignment="1" applyProtection="1">
      <alignment horizontal="right" vertical="center"/>
      <protection locked="0"/>
    </xf>
    <xf numFmtId="3" fontId="4" fillId="0" borderId="85" xfId="0" applyNumberFormat="1" applyFont="1" applyFill="1" applyBorder="1" applyAlignment="1" applyProtection="1">
      <alignment horizontal="right" vertical="center"/>
      <protection locked="0"/>
    </xf>
    <xf numFmtId="164" fontId="4" fillId="0" borderId="85" xfId="0" applyNumberFormat="1" applyFont="1" applyFill="1" applyBorder="1" applyAlignment="1" applyProtection="1">
      <alignment horizontal="right" vertical="center"/>
      <protection locked="0"/>
    </xf>
    <xf numFmtId="164" fontId="49" fillId="0" borderId="93" xfId="0" applyNumberFormat="1" applyFont="1" applyFill="1" applyBorder="1" applyAlignment="1" applyProtection="1">
      <alignment horizontal="right" vertical="center"/>
      <protection locked="0"/>
    </xf>
    <xf numFmtId="1" fontId="4" fillId="0" borderId="10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9" xfId="19" applyNumberFormat="1" applyFont="1" applyFill="1" applyBorder="1" applyAlignment="1" applyProtection="1">
      <alignment vertical="center" wrapText="1"/>
      <protection locked="0"/>
    </xf>
    <xf numFmtId="3" fontId="4" fillId="0" borderId="109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64" fontId="14" fillId="0" borderId="118" xfId="0" applyNumberFormat="1" applyFont="1" applyFill="1" applyBorder="1" applyAlignment="1" applyProtection="1">
      <alignment horizontal="right"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1" fontId="6" fillId="0" borderId="109" xfId="0" applyNumberFormat="1" applyFont="1" applyFill="1" applyBorder="1" applyAlignment="1" applyProtection="1">
      <alignment horizontal="center" vertical="center"/>
      <protection locked="0"/>
    </xf>
    <xf numFmtId="1" fontId="4" fillId="0" borderId="100" xfId="0" applyNumberFormat="1" applyFont="1" applyFill="1" applyBorder="1" applyAlignment="1" applyProtection="1">
      <alignment horizontal="center" vertical="center"/>
      <protection locked="0"/>
    </xf>
    <xf numFmtId="3" fontId="4" fillId="0" borderId="100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164" fontId="14" fillId="0" borderId="85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3" fontId="4" fillId="0" borderId="85" xfId="0" applyNumberFormat="1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9" xfId="19" applyNumberFormat="1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164" fontId="14" fillId="0" borderId="82" xfId="0" applyNumberFormat="1" applyFont="1" applyFill="1" applyBorder="1" applyAlignment="1" applyProtection="1">
      <alignment horizontal="right" vertical="center"/>
      <protection locked="0"/>
    </xf>
    <xf numFmtId="164" fontId="49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3" fontId="6" fillId="0" borderId="104" xfId="0" applyNumberFormat="1" applyFont="1" applyFill="1" applyBorder="1" applyAlignment="1" applyProtection="1">
      <alignment vertical="center"/>
      <protection locked="0"/>
    </xf>
    <xf numFmtId="164" fontId="6" fillId="0" borderId="93" xfId="0" applyNumberFormat="1" applyFont="1" applyFill="1" applyBorder="1" applyAlignment="1" applyProtection="1">
      <alignment vertical="center"/>
      <protection locked="0"/>
    </xf>
    <xf numFmtId="3" fontId="6" fillId="0" borderId="109" xfId="0" applyNumberFormat="1" applyFont="1" applyFill="1" applyBorder="1" applyAlignment="1" applyProtection="1">
      <alignment horizontal="right" vertical="center"/>
      <protection locked="0"/>
    </xf>
    <xf numFmtId="3" fontId="6" fillId="0" borderId="118" xfId="0" applyNumberFormat="1" applyFont="1" applyFill="1" applyBorder="1" applyAlignment="1" applyProtection="1">
      <alignment horizontal="right" vertical="center"/>
      <protection locked="0"/>
    </xf>
    <xf numFmtId="164" fontId="6" fillId="0" borderId="118" xfId="0" applyNumberFormat="1" applyFont="1" applyFill="1" applyBorder="1" applyAlignment="1" applyProtection="1">
      <alignment horizontal="right" vertical="center"/>
      <protection locked="0"/>
    </xf>
    <xf numFmtId="3" fontId="6" fillId="0" borderId="101" xfId="0" applyNumberFormat="1" applyFont="1" applyFill="1" applyBorder="1" applyAlignment="1" applyProtection="1">
      <alignment vertical="center"/>
      <protection locked="0"/>
    </xf>
    <xf numFmtId="3" fontId="6" fillId="0" borderId="119" xfId="0" applyNumberFormat="1" applyFont="1" applyFill="1" applyBorder="1" applyAlignment="1" applyProtection="1">
      <alignment vertical="center"/>
      <protection locked="0"/>
    </xf>
    <xf numFmtId="164" fontId="6" fillId="0" borderId="62" xfId="0" applyNumberFormat="1" applyFont="1" applyFill="1" applyBorder="1" applyAlignment="1" applyProtection="1">
      <alignment vertical="center"/>
      <protection locked="0"/>
    </xf>
    <xf numFmtId="3" fontId="4" fillId="0" borderId="120" xfId="0" applyNumberFormat="1" applyFont="1" applyFill="1" applyBorder="1" applyAlignment="1" applyProtection="1">
      <alignment vertical="center"/>
      <protection locked="0"/>
    </xf>
    <xf numFmtId="3" fontId="4" fillId="0" borderId="117" xfId="0" applyNumberFormat="1" applyFont="1" applyFill="1" applyBorder="1" applyAlignment="1" applyProtection="1">
      <alignment vertical="center"/>
      <protection locked="0"/>
    </xf>
    <xf numFmtId="1" fontId="4" fillId="0" borderId="51" xfId="0" applyNumberFormat="1" applyFont="1" applyFill="1" applyBorder="1" applyAlignment="1" applyProtection="1">
      <alignment horizontal="centerContinuous" vertical="center"/>
      <protection locked="0"/>
    </xf>
    <xf numFmtId="1" fontId="4" fillId="0" borderId="63" xfId="0" applyNumberFormat="1" applyFont="1" applyFill="1" applyBorder="1" applyAlignment="1" applyProtection="1">
      <alignment horizontal="center" vertical="center"/>
      <protection locked="0"/>
    </xf>
    <xf numFmtId="164" fontId="4" fillId="0" borderId="118" xfId="0" applyNumberFormat="1" applyFont="1" applyFill="1" applyBorder="1" applyAlignment="1" applyProtection="1">
      <alignment vertical="center"/>
      <protection locked="0"/>
    </xf>
    <xf numFmtId="164" fontId="4" fillId="0" borderId="82" xfId="0" applyNumberFormat="1" applyFont="1" applyFill="1" applyBorder="1" applyAlignment="1" applyProtection="1">
      <alignment vertical="center"/>
      <protection locked="0"/>
    </xf>
    <xf numFmtId="1" fontId="6" fillId="0" borderId="97" xfId="0" applyNumberFormat="1" applyFont="1" applyFill="1" applyBorder="1" applyAlignment="1" applyProtection="1">
      <alignment horizontal="center" vertical="center"/>
      <protection locked="0"/>
    </xf>
    <xf numFmtId="164" fontId="6" fillId="0" borderId="18" xfId="19" applyNumberFormat="1" applyFont="1" applyFill="1" applyBorder="1" applyAlignment="1" applyProtection="1">
      <alignment vertical="center" wrapText="1"/>
      <protection locked="0"/>
    </xf>
    <xf numFmtId="3" fontId="6" fillId="0" borderId="97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9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164" fontId="6" fillId="0" borderId="48" xfId="19" applyNumberFormat="1" applyFont="1" applyFill="1" applyBorder="1" applyAlignment="1" applyProtection="1">
      <alignment vertical="center" wrapText="1"/>
      <protection locked="0"/>
    </xf>
    <xf numFmtId="1" fontId="6" fillId="0" borderId="97" xfId="0" applyNumberFormat="1" applyFont="1" applyFill="1" applyBorder="1" applyAlignment="1" applyProtection="1">
      <alignment horizontal="centerContinuous" vertical="center"/>
      <protection locked="0"/>
    </xf>
    <xf numFmtId="1" fontId="6" fillId="0" borderId="104" xfId="0" applyNumberFormat="1" applyFont="1" applyFill="1" applyBorder="1" applyAlignment="1" applyProtection="1">
      <alignment horizontal="centerContinuous" vertical="center"/>
      <protection locked="0"/>
    </xf>
    <xf numFmtId="1" fontId="6" fillId="0" borderId="34" xfId="0" applyNumberFormat="1" applyFont="1" applyFill="1" applyBorder="1" applyAlignment="1" applyProtection="1">
      <alignment horizontal="left" vertical="center"/>
      <protection locked="0"/>
    </xf>
    <xf numFmtId="164" fontId="10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7" fillId="0" borderId="56" xfId="0" applyFont="1" applyBorder="1" applyAlignment="1">
      <alignment horizontal="center" wrapText="1"/>
    </xf>
    <xf numFmtId="0" fontId="7" fillId="0" borderId="99" xfId="0" applyFont="1" applyBorder="1" applyAlignment="1">
      <alignment horizontal="center" wrapText="1"/>
    </xf>
    <xf numFmtId="0" fontId="65" fillId="0" borderId="56" xfId="0" applyFont="1" applyBorder="1" applyAlignment="1">
      <alignment horizontal="center" wrapText="1"/>
    </xf>
    <xf numFmtId="0" fontId="5" fillId="0" borderId="108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center" vertical="top" wrapText="1"/>
    </xf>
    <xf numFmtId="0" fontId="65" fillId="0" borderId="44" xfId="0" applyFont="1" applyBorder="1" applyAlignment="1">
      <alignment horizontal="centerContinuous" vertical="top" wrapText="1"/>
    </xf>
    <xf numFmtId="0" fontId="66" fillId="0" borderId="102" xfId="0" applyFont="1" applyBorder="1" applyAlignment="1">
      <alignment horizontal="centerContinuous" vertical="center" wrapText="1"/>
    </xf>
    <xf numFmtId="0" fontId="66" fillId="0" borderId="102" xfId="0" applyFont="1" applyBorder="1" applyAlignment="1">
      <alignment horizontal="centerContinuous" vertical="center" wrapText="1"/>
    </xf>
    <xf numFmtId="0" fontId="67" fillId="0" borderId="102" xfId="0" applyFont="1" applyBorder="1" applyAlignment="1">
      <alignment horizontal="centerContinuous" vertical="center" wrapText="1"/>
    </xf>
    <xf numFmtId="0" fontId="67" fillId="0" borderId="31" xfId="0" applyFont="1" applyBorder="1" applyAlignment="1">
      <alignment horizontal="centerContinuous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164" fontId="9" fillId="0" borderId="37" xfId="0" applyFont="1" applyBorder="1" applyAlignment="1">
      <alignment vertical="center"/>
    </xf>
    <xf numFmtId="164" fontId="9" fillId="0" borderId="39" xfId="0" applyFont="1" applyBorder="1" applyAlignment="1">
      <alignment vertical="center"/>
    </xf>
    <xf numFmtId="164" fontId="9" fillId="0" borderId="39" xfId="0" applyFont="1" applyBorder="1" applyAlignment="1">
      <alignment vertical="center"/>
    </xf>
    <xf numFmtId="164" fontId="9" fillId="0" borderId="36" xfId="0" applyFont="1" applyBorder="1" applyAlignment="1">
      <alignment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164" fontId="9" fillId="0" borderId="9" xfId="0" applyFont="1" applyBorder="1" applyAlignment="1">
      <alignment vertical="center"/>
    </xf>
    <xf numFmtId="0" fontId="8" fillId="0" borderId="104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164" fontId="8" fillId="0" borderId="28" xfId="0" applyFont="1" applyBorder="1" applyAlignment="1">
      <alignment horizontal="center" vertical="center"/>
    </xf>
    <xf numFmtId="164" fontId="8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12" xfId="0" applyFont="1" applyBorder="1" applyAlignment="1">
      <alignment vertical="center"/>
    </xf>
    <xf numFmtId="164" fontId="8" fillId="0" borderId="33" xfId="0" applyFont="1" applyBorder="1" applyAlignment="1">
      <alignment vertical="center"/>
    </xf>
    <xf numFmtId="164" fontId="8" fillId="0" borderId="2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6" fillId="0" borderId="0" xfId="0" applyFont="1" applyBorder="1" applyAlignment="1">
      <alignment/>
    </xf>
    <xf numFmtId="0" fontId="66" fillId="0" borderId="123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0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58" xfId="0" applyNumberFormat="1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164" fontId="4" fillId="0" borderId="96" xfId="0" applyNumberFormat="1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0" fontId="4" fillId="0" borderId="10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48" xfId="0" applyNumberFormat="1" applyFont="1" applyBorder="1" applyAlignment="1">
      <alignment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2" fillId="0" borderId="9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164" fontId="2" fillId="0" borderId="96" xfId="0" applyNumberFormat="1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164" fontId="4" fillId="0" borderId="48" xfId="0" applyNumberFormat="1" applyFont="1" applyBorder="1" applyAlignment="1">
      <alignment horizontal="right" vertical="center" wrapText="1"/>
    </xf>
    <xf numFmtId="0" fontId="0" fillId="0" borderId="97" xfId="0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3" fontId="4" fillId="0" borderId="78" xfId="0" applyNumberFormat="1" applyFont="1" applyBorder="1" applyAlignment="1">
      <alignment vertical="center" wrapText="1"/>
    </xf>
    <xf numFmtId="164" fontId="4" fillId="0" borderId="78" xfId="0" applyNumberFormat="1" applyFont="1" applyBorder="1" applyAlignment="1">
      <alignment vertical="center"/>
    </xf>
    <xf numFmtId="164" fontId="4" fillId="0" borderId="79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19" fillId="0" borderId="59" xfId="0" applyFont="1" applyBorder="1" applyAlignment="1">
      <alignment horizontal="centerContinuous"/>
    </xf>
    <xf numFmtId="0" fontId="19" fillId="0" borderId="15" xfId="0" applyFont="1" applyBorder="1" applyAlignment="1">
      <alignment horizontal="center"/>
    </xf>
    <xf numFmtId="0" fontId="41" fillId="0" borderId="56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Continuous" vertical="center"/>
    </xf>
    <xf numFmtId="0" fontId="19" fillId="0" borderId="105" xfId="0" applyFont="1" applyBorder="1" applyAlignment="1">
      <alignment horizontal="centerContinuous" vertical="center"/>
    </xf>
    <xf numFmtId="0" fontId="70" fillId="0" borderId="105" xfId="0" applyFont="1" applyBorder="1" applyAlignment="1">
      <alignment horizontal="centerContinuous" vertical="center" wrapText="1"/>
    </xf>
    <xf numFmtId="0" fontId="31" fillId="0" borderId="56" xfId="0" applyFont="1" applyBorder="1" applyAlignment="1">
      <alignment horizontal="center" wrapText="1"/>
    </xf>
    <xf numFmtId="0" fontId="33" fillId="0" borderId="107" xfId="0" applyFont="1" applyBorder="1" applyAlignment="1">
      <alignment horizontal="center" vertical="top"/>
    </xf>
    <xf numFmtId="0" fontId="41" fillId="0" borderId="18" xfId="0" applyFont="1" applyBorder="1" applyAlignment="1">
      <alignment vertical="center"/>
    </xf>
    <xf numFmtId="0" fontId="41" fillId="0" borderId="113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Continuous" vertical="center" wrapText="1"/>
    </xf>
    <xf numFmtId="0" fontId="41" fillId="0" borderId="12" xfId="0" applyFont="1" applyBorder="1" applyAlignment="1">
      <alignment horizontal="center" vertical="center" wrapText="1"/>
    </xf>
    <xf numFmtId="0" fontId="31" fillId="0" borderId="114" xfId="0" applyFont="1" applyBorder="1" applyAlignment="1">
      <alignment horizontal="centerContinuous" vertical="center" wrapText="1"/>
    </xf>
    <xf numFmtId="0" fontId="31" fillId="0" borderId="103" xfId="0" applyFont="1" applyBorder="1" applyAlignment="1">
      <alignment horizontal="centerContinuous" vertical="center" wrapText="1"/>
    </xf>
    <xf numFmtId="0" fontId="31" fillId="0" borderId="113" xfId="0" applyFon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31" fillId="0" borderId="10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6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164" fontId="16" fillId="0" borderId="42" xfId="0" applyNumberFormat="1" applyFont="1" applyBorder="1" applyAlignment="1">
      <alignment vertical="center"/>
    </xf>
    <xf numFmtId="164" fontId="16" fillId="0" borderId="6" xfId="0" applyNumberFormat="1" applyFont="1" applyBorder="1" applyAlignment="1">
      <alignment vertical="center"/>
    </xf>
    <xf numFmtId="164" fontId="16" fillId="0" borderId="58" xfId="0" applyNumberFormat="1" applyFont="1" applyBorder="1" applyAlignment="1">
      <alignment vertical="center"/>
    </xf>
    <xf numFmtId="164" fontId="16" fillId="0" borderId="4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24" xfId="0" applyFont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164" fontId="16" fillId="0" borderId="37" xfId="0" applyNumberFormat="1" applyFont="1" applyBorder="1" applyAlignment="1">
      <alignment vertical="center"/>
    </xf>
    <xf numFmtId="164" fontId="16" fillId="0" borderId="39" xfId="0" applyNumberFormat="1" applyFont="1" applyBorder="1" applyAlignment="1">
      <alignment vertical="center"/>
    </xf>
    <xf numFmtId="164" fontId="16" fillId="0" borderId="48" xfId="0" applyNumberFormat="1" applyFont="1" applyBorder="1" applyAlignment="1">
      <alignment horizontal="right" vertical="center"/>
    </xf>
    <xf numFmtId="164" fontId="16" fillId="0" borderId="49" xfId="0" applyNumberFormat="1" applyFont="1" applyBorder="1" applyAlignment="1">
      <alignment vertical="center"/>
    </xf>
    <xf numFmtId="164" fontId="16" fillId="0" borderId="39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16" fillId="0" borderId="79" xfId="0" applyNumberFormat="1" applyFont="1" applyBorder="1" applyAlignment="1">
      <alignment vertical="center"/>
    </xf>
    <xf numFmtId="164" fontId="16" fillId="0" borderId="96" xfId="0" applyNumberFormat="1" applyFont="1" applyBorder="1" applyAlignment="1">
      <alignment vertical="center"/>
    </xf>
    <xf numFmtId="0" fontId="15" fillId="0" borderId="64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164" fontId="15" fillId="0" borderId="42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vertical="center"/>
    </xf>
    <xf numFmtId="164" fontId="16" fillId="0" borderId="53" xfId="0" applyNumberFormat="1" applyFont="1" applyBorder="1" applyAlignment="1">
      <alignment vertical="center"/>
    </xf>
    <xf numFmtId="0" fontId="17" fillId="0" borderId="64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164" fontId="17" fillId="0" borderId="42" xfId="0" applyNumberFormat="1" applyFont="1" applyBorder="1" applyAlignment="1">
      <alignment vertical="center"/>
    </xf>
    <xf numFmtId="164" fontId="17" fillId="0" borderId="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4" fontId="18" fillId="0" borderId="104" xfId="0" applyNumberFormat="1" applyFont="1" applyBorder="1" applyAlignment="1">
      <alignment horizontal="center" vertical="center"/>
    </xf>
    <xf numFmtId="164" fontId="18" fillId="0" borderId="28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8" fillId="0" borderId="93" xfId="0" applyNumberFormat="1" applyFont="1" applyBorder="1" applyAlignment="1">
      <alignment vertical="center"/>
    </xf>
    <xf numFmtId="164" fontId="18" fillId="0" borderId="108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0" fontId="27" fillId="0" borderId="0" xfId="0" applyFont="1" applyAlignment="1">
      <alignment horizontal="centerContinuous" vertical="top"/>
    </xf>
    <xf numFmtId="0" fontId="23" fillId="0" borderId="0" xfId="0" applyFont="1" applyAlignment="1">
      <alignment horizontal="centerContinuous"/>
    </xf>
    <xf numFmtId="164" fontId="19" fillId="0" borderId="34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2" fillId="0" borderId="0" xfId="0" applyFont="1" applyAlignment="1">
      <alignment wrapText="1"/>
    </xf>
    <xf numFmtId="0" fontId="7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13" fillId="0" borderId="0" xfId="0" applyFont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6" fillId="0" borderId="0" xfId="0" applyFont="1" applyAlignment="1">
      <alignment/>
    </xf>
    <xf numFmtId="0" fontId="6" fillId="0" borderId="5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4" fillId="0" borderId="55" xfId="0" applyFont="1" applyBorder="1" applyAlignment="1">
      <alignment horizontal="centerContinuous" vertical="center"/>
    </xf>
    <xf numFmtId="0" fontId="77" fillId="0" borderId="0" xfId="0" applyFont="1" applyAlignment="1">
      <alignment/>
    </xf>
    <xf numFmtId="0" fontId="6" fillId="0" borderId="6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49" fontId="78" fillId="0" borderId="4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3" fillId="0" borderId="104" xfId="0" applyFont="1" applyBorder="1" applyAlignment="1">
      <alignment horizontal="center" vertical="center"/>
    </xf>
    <xf numFmtId="0" fontId="73" fillId="0" borderId="105" xfId="0" applyFont="1" applyBorder="1" applyAlignment="1">
      <alignment horizontal="left" vertical="center"/>
    </xf>
    <xf numFmtId="0" fontId="81" fillId="0" borderId="34" xfId="0" applyFont="1" applyBorder="1" applyAlignment="1">
      <alignment horizontal="left" vertical="center"/>
    </xf>
    <xf numFmtId="164" fontId="73" fillId="0" borderId="12" xfId="0" applyNumberFormat="1" applyFont="1" applyBorder="1" applyAlignment="1">
      <alignment vertical="center"/>
    </xf>
    <xf numFmtId="165" fontId="73" fillId="0" borderId="12" xfId="0" applyNumberFormat="1" applyFont="1" applyBorder="1" applyAlignment="1">
      <alignment vertical="center"/>
    </xf>
    <xf numFmtId="0" fontId="82" fillId="0" borderId="108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73" fillId="0" borderId="106" xfId="0" applyFont="1" applyBorder="1" applyAlignment="1">
      <alignment horizontal="center" vertical="center"/>
    </xf>
    <xf numFmtId="0" fontId="73" fillId="0" borderId="8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64" fillId="0" borderId="102" xfId="0" applyNumberFormat="1" applyFont="1" applyBorder="1" applyAlignment="1">
      <alignment vertical="center"/>
    </xf>
    <xf numFmtId="165" fontId="64" fillId="0" borderId="102" xfId="0" applyNumberFormat="1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5" xfId="0" applyFont="1" applyBorder="1" applyAlignment="1">
      <alignment vertical="center"/>
    </xf>
    <xf numFmtId="0" fontId="7" fillId="0" borderId="126" xfId="0" applyFont="1" applyBorder="1" applyAlignment="1">
      <alignment horizontal="center" vertical="center" wrapText="1"/>
    </xf>
    <xf numFmtId="164" fontId="4" fillId="0" borderId="126" xfId="0" applyNumberFormat="1" applyFont="1" applyBorder="1" applyAlignment="1">
      <alignment vertical="center"/>
    </xf>
    <xf numFmtId="165" fontId="4" fillId="0" borderId="126" xfId="0" applyNumberFormat="1" applyFont="1" applyBorder="1" applyAlignment="1">
      <alignment vertical="center"/>
    </xf>
    <xf numFmtId="0" fontId="14" fillId="0" borderId="36" xfId="0" applyFont="1" applyBorder="1" applyAlignment="1">
      <alignment horizontal="left" vertical="center" wrapText="1"/>
    </xf>
    <xf numFmtId="0" fontId="4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 wrapText="1"/>
    </xf>
    <xf numFmtId="164" fontId="4" fillId="0" borderId="128" xfId="0" applyNumberFormat="1" applyFont="1" applyBorder="1" applyAlignment="1">
      <alignment vertical="center"/>
    </xf>
    <xf numFmtId="165" fontId="4" fillId="0" borderId="128" xfId="0" applyNumberFormat="1" applyFont="1" applyBorder="1" applyAlignment="1">
      <alignment vertical="center"/>
    </xf>
    <xf numFmtId="0" fontId="14" fillId="0" borderId="41" xfId="0" applyFont="1" applyBorder="1" applyAlignment="1">
      <alignment horizontal="left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 wrapText="1"/>
    </xf>
    <xf numFmtId="164" fontId="4" fillId="0" borderId="130" xfId="0" applyNumberFormat="1" applyFont="1" applyBorder="1" applyAlignment="1">
      <alignment vertical="center"/>
    </xf>
    <xf numFmtId="165" fontId="4" fillId="0" borderId="130" xfId="0" applyNumberFormat="1" applyFont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14" fillId="0" borderId="48" xfId="0" applyFont="1" applyBorder="1" applyAlignment="1">
      <alignment horizontal="left" vertical="center" wrapText="1"/>
    </xf>
    <xf numFmtId="0" fontId="73" fillId="0" borderId="100" xfId="0" applyFont="1" applyBorder="1" applyAlignment="1">
      <alignment horizontal="center" vertical="center"/>
    </xf>
    <xf numFmtId="164" fontId="64" fillId="0" borderId="9" xfId="0" applyNumberFormat="1" applyFont="1" applyBorder="1" applyAlignment="1">
      <alignment vertical="center"/>
    </xf>
    <xf numFmtId="165" fontId="64" fillId="0" borderId="9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65" fontId="4" fillId="0" borderId="39" xfId="0" applyNumberFormat="1" applyFont="1" applyBorder="1" applyAlignment="1">
      <alignment vertical="center"/>
    </xf>
    <xf numFmtId="0" fontId="73" fillId="0" borderId="120" xfId="0" applyFont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4" fillId="0" borderId="131" xfId="0" applyFont="1" applyBorder="1" applyAlignment="1">
      <alignment horizontal="center" vertical="center"/>
    </xf>
    <xf numFmtId="0" fontId="4" fillId="0" borderId="125" xfId="0" applyFont="1" applyBorder="1" applyAlignment="1">
      <alignment vertical="center"/>
    </xf>
    <xf numFmtId="164" fontId="4" fillId="0" borderId="126" xfId="0" applyNumberFormat="1" applyFont="1" applyBorder="1" applyAlignment="1">
      <alignment vertical="center"/>
    </xf>
    <xf numFmtId="0" fontId="14" fillId="0" borderId="132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vertical="center"/>
    </xf>
    <xf numFmtId="165" fontId="4" fillId="0" borderId="46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0" fontId="73" fillId="0" borderId="105" xfId="0" applyFont="1" applyBorder="1" applyAlignment="1">
      <alignment horizontal="left" vertical="center"/>
    </xf>
    <xf numFmtId="165" fontId="73" fillId="0" borderId="12" xfId="0" applyNumberFormat="1" applyFont="1" applyBorder="1" applyAlignment="1">
      <alignment vertical="center"/>
    </xf>
    <xf numFmtId="0" fontId="82" fillId="0" borderId="33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73" fillId="0" borderId="101" xfId="0" applyFont="1" applyBorder="1" applyAlignment="1">
      <alignment horizontal="center" vertical="center"/>
    </xf>
    <xf numFmtId="164" fontId="64" fillId="0" borderId="46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4" fillId="0" borderId="88" xfId="0" applyFont="1" applyBorder="1" applyAlignment="1">
      <alignment vertical="center"/>
    </xf>
    <xf numFmtId="0" fontId="14" fillId="0" borderId="6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165" fontId="73" fillId="0" borderId="9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3" fillId="0" borderId="122" xfId="0" applyFont="1" applyBorder="1" applyAlignment="1">
      <alignment vertical="center" wrapText="1"/>
    </xf>
    <xf numFmtId="0" fontId="7" fillId="0" borderId="122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0" fontId="4" fillId="0" borderId="108" xfId="0" applyFont="1" applyBorder="1" applyAlignment="1">
      <alignment horizontal="left" vertical="center" wrapText="1"/>
    </xf>
    <xf numFmtId="0" fontId="73" fillId="0" borderId="104" xfId="0" applyFont="1" applyBorder="1" applyAlignment="1">
      <alignment horizontal="left" vertical="center"/>
    </xf>
    <xf numFmtId="0" fontId="83" fillId="0" borderId="104" xfId="0" applyFont="1" applyBorder="1" applyAlignment="1">
      <alignment vertical="center"/>
    </xf>
    <xf numFmtId="0" fontId="73" fillId="0" borderId="105" xfId="0" applyFont="1" applyBorder="1" applyAlignment="1">
      <alignment horizontal="center" vertical="center"/>
    </xf>
    <xf numFmtId="164" fontId="73" fillId="0" borderId="12" xfId="0" applyNumberFormat="1" applyFont="1" applyBorder="1" applyAlignment="1">
      <alignment horizontal="center" vertical="center"/>
    </xf>
    <xf numFmtId="165" fontId="73" fillId="0" borderId="12" xfId="0" applyNumberFormat="1" applyFont="1" applyBorder="1" applyAlignment="1">
      <alignment horizontal="center" vertical="center"/>
    </xf>
    <xf numFmtId="0" fontId="82" fillId="0" borderId="33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73" fillId="0" borderId="59" xfId="0" applyFont="1" applyBorder="1" applyAlignment="1">
      <alignment horizontal="left" vertical="center"/>
    </xf>
    <xf numFmtId="0" fontId="83" fillId="0" borderId="59" xfId="0" applyFont="1" applyBorder="1" applyAlignment="1">
      <alignment vertical="center"/>
    </xf>
    <xf numFmtId="0" fontId="73" fillId="0" borderId="99" xfId="0" applyFont="1" applyBorder="1" applyAlignment="1">
      <alignment horizontal="center" vertical="center"/>
    </xf>
    <xf numFmtId="164" fontId="73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center" vertical="center"/>
    </xf>
    <xf numFmtId="0" fontId="47" fillId="0" borderId="104" xfId="0" applyFont="1" applyBorder="1" applyAlignment="1">
      <alignment horizontal="centerContinuous" vertical="center" wrapText="1"/>
    </xf>
    <xf numFmtId="0" fontId="85" fillId="0" borderId="104" xfId="0" applyFont="1" applyBorder="1" applyAlignment="1">
      <alignment horizontal="centerContinuous" vertical="center" wrapText="1"/>
    </xf>
    <xf numFmtId="0" fontId="47" fillId="0" borderId="105" xfId="0" applyFont="1" applyBorder="1" applyAlignment="1">
      <alignment horizontal="centerContinuous" vertical="center"/>
    </xf>
    <xf numFmtId="164" fontId="47" fillId="0" borderId="12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27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top" wrapText="1"/>
    </xf>
    <xf numFmtId="0" fontId="27" fillId="0" borderId="0" xfId="0" applyFont="1" applyAlignment="1">
      <alignment horizontal="centerContinuous" vertical="top" wrapText="1"/>
    </xf>
    <xf numFmtId="0" fontId="38" fillId="0" borderId="0" xfId="0" applyFont="1" applyAlignment="1">
      <alignment/>
    </xf>
    <xf numFmtId="0" fontId="23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 vertical="top" wrapText="1"/>
    </xf>
    <xf numFmtId="0" fontId="17" fillId="0" borderId="0" xfId="0" applyFont="1" applyAlignment="1">
      <alignment horizontal="center"/>
    </xf>
    <xf numFmtId="0" fontId="30" fillId="0" borderId="5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5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4" fillId="0" borderId="104" xfId="0" applyFont="1" applyBorder="1" applyAlignment="1">
      <alignment horizontal="center" vertical="center"/>
    </xf>
    <xf numFmtId="0" fontId="34" fillId="0" borderId="105" xfId="0" applyFont="1" applyBorder="1" applyAlignment="1">
      <alignment vertical="center" wrapText="1"/>
    </xf>
    <xf numFmtId="0" fontId="35" fillId="0" borderId="34" xfId="0" applyFont="1" applyBorder="1" applyAlignment="1">
      <alignment horizontal="center" vertical="center" wrapText="1"/>
    </xf>
    <xf numFmtId="164" fontId="34" fillId="0" borderId="34" xfId="0" applyNumberFormat="1" applyFont="1" applyBorder="1" applyAlignment="1">
      <alignment horizontal="right" vertical="center" wrapText="1"/>
    </xf>
    <xf numFmtId="164" fontId="34" fillId="0" borderId="12" xfId="0" applyNumberFormat="1" applyFont="1" applyBorder="1" applyAlignment="1">
      <alignment vertical="center"/>
    </xf>
    <xf numFmtId="164" fontId="34" fillId="0" borderId="33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right" vertical="center" wrapText="1"/>
    </xf>
    <xf numFmtId="164" fontId="15" fillId="0" borderId="41" xfId="0" applyNumberFormat="1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/>
    </xf>
    <xf numFmtId="0" fontId="15" fillId="0" borderId="102" xfId="0" applyFont="1" applyBorder="1" applyAlignment="1">
      <alignment vertical="center" wrapText="1"/>
    </xf>
    <xf numFmtId="0" fontId="15" fillId="0" borderId="102" xfId="0" applyFont="1" applyBorder="1" applyAlignment="1">
      <alignment horizontal="center" vertical="center" wrapText="1"/>
    </xf>
    <xf numFmtId="164" fontId="39" fillId="0" borderId="102" xfId="0" applyNumberFormat="1" applyFont="1" applyBorder="1" applyAlignment="1">
      <alignment horizontal="right" vertical="center" wrapText="1"/>
    </xf>
    <xf numFmtId="164" fontId="39" fillId="0" borderId="102" xfId="0" applyNumberFormat="1" applyFont="1" applyBorder="1" applyAlignment="1">
      <alignment vertical="center"/>
    </xf>
    <xf numFmtId="164" fontId="39" fillId="0" borderId="31" xfId="0" applyNumberFormat="1" applyFont="1" applyBorder="1" applyAlignment="1">
      <alignment vertical="center"/>
    </xf>
    <xf numFmtId="0" fontId="15" fillId="0" borderId="116" xfId="0" applyFont="1" applyBorder="1" applyAlignment="1">
      <alignment horizontal="center" vertical="center"/>
    </xf>
    <xf numFmtId="164" fontId="15" fillId="0" borderId="102" xfId="0" applyNumberFormat="1" applyFont="1" applyBorder="1" applyAlignment="1">
      <alignment horizontal="right" vertical="center" wrapText="1"/>
    </xf>
    <xf numFmtId="164" fontId="15" fillId="0" borderId="102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0" fontId="15" fillId="0" borderId="110" xfId="0" applyFont="1" applyBorder="1" applyAlignment="1">
      <alignment horizontal="center" vertical="center"/>
    </xf>
    <xf numFmtId="0" fontId="17" fillId="0" borderId="78" xfId="0" applyFont="1" applyBorder="1" applyAlignment="1">
      <alignment vertical="center" wrapText="1"/>
    </xf>
    <xf numFmtId="0" fontId="15" fillId="0" borderId="78" xfId="0" applyFont="1" applyBorder="1" applyAlignment="1">
      <alignment horizontal="center" vertical="center" wrapText="1"/>
    </xf>
    <xf numFmtId="164" fontId="15" fillId="0" borderId="78" xfId="0" applyNumberFormat="1" applyFont="1" applyBorder="1" applyAlignment="1">
      <alignment horizontal="right" vertical="center" wrapText="1"/>
    </xf>
    <xf numFmtId="164" fontId="15" fillId="0" borderId="78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5" fillId="0" borderId="109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right" vertical="center" wrapText="1"/>
    </xf>
    <xf numFmtId="164" fontId="15" fillId="0" borderId="9" xfId="0" applyNumberFormat="1" applyFont="1" applyBorder="1" applyAlignment="1">
      <alignment vertical="center"/>
    </xf>
    <xf numFmtId="164" fontId="15" fillId="0" borderId="48" xfId="0" applyNumberFormat="1" applyFont="1" applyBorder="1" applyAlignment="1">
      <alignment vertical="center"/>
    </xf>
    <xf numFmtId="0" fontId="15" fillId="0" borderId="78" xfId="0" applyFont="1" applyBorder="1" applyAlignment="1">
      <alignment vertical="center" wrapText="1"/>
    </xf>
    <xf numFmtId="164" fontId="15" fillId="0" borderId="79" xfId="0" applyNumberFormat="1" applyFont="1" applyBorder="1" applyAlignment="1">
      <alignment vertical="center"/>
    </xf>
    <xf numFmtId="164" fontId="15" fillId="0" borderId="58" xfId="0" applyNumberFormat="1" applyFont="1" applyBorder="1" applyAlignment="1">
      <alignment vertical="center"/>
    </xf>
    <xf numFmtId="0" fontId="39" fillId="0" borderId="100" xfId="0" applyFont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164" fontId="39" fillId="0" borderId="46" xfId="0" applyNumberFormat="1" applyFont="1" applyBorder="1" applyAlignment="1">
      <alignment horizontal="right" vertical="center" wrapText="1"/>
    </xf>
    <xf numFmtId="164" fontId="39" fillId="0" borderId="46" xfId="0" applyNumberFormat="1" applyFont="1" applyBorder="1" applyAlignment="1">
      <alignment vertical="center"/>
    </xf>
    <xf numFmtId="164" fontId="39" fillId="0" borderId="27" xfId="0" applyNumberFormat="1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95" xfId="0" applyFont="1" applyBorder="1" applyAlignment="1">
      <alignment vertical="center" wrapText="1"/>
    </xf>
    <xf numFmtId="0" fontId="35" fillId="0" borderId="94" xfId="0" applyFont="1" applyBorder="1" applyAlignment="1">
      <alignment horizontal="center" vertical="center" wrapText="1"/>
    </xf>
    <xf numFmtId="164" fontId="34" fillId="0" borderId="94" xfId="0" applyNumberFormat="1" applyFont="1" applyBorder="1" applyAlignment="1">
      <alignment horizontal="right" vertical="center" wrapText="1"/>
    </xf>
    <xf numFmtId="164" fontId="34" fillId="0" borderId="18" xfId="0" applyNumberFormat="1" applyFont="1" applyBorder="1" applyAlignment="1">
      <alignment vertical="center"/>
    </xf>
    <xf numFmtId="164" fontId="34" fillId="0" borderId="96" xfId="0" applyNumberFormat="1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164" fontId="39" fillId="0" borderId="6" xfId="0" applyNumberFormat="1" applyFont="1" applyBorder="1" applyAlignment="1">
      <alignment horizontal="right" vertical="center" wrapText="1"/>
    </xf>
    <xf numFmtId="164" fontId="39" fillId="0" borderId="6" xfId="0" applyNumberFormat="1" applyFont="1" applyBorder="1" applyAlignment="1">
      <alignment vertical="center"/>
    </xf>
    <xf numFmtId="164" fontId="39" fillId="0" borderId="41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30" fillId="0" borderId="104" xfId="0" applyFont="1" applyBorder="1" applyAlignment="1">
      <alignment horizontal="center" vertical="center"/>
    </xf>
    <xf numFmtId="0" fontId="30" fillId="0" borderId="105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164" fontId="30" fillId="0" borderId="12" xfId="0" applyNumberFormat="1" applyFont="1" applyBorder="1" applyAlignment="1">
      <alignment vertical="center"/>
    </xf>
    <xf numFmtId="164" fontId="30" fillId="0" borderId="33" xfId="0" applyNumberFormat="1" applyFont="1" applyBorder="1" applyAlignment="1">
      <alignment vertical="center"/>
    </xf>
    <xf numFmtId="0" fontId="39" fillId="0" borderId="0" xfId="0" applyFont="1" applyAlignment="1">
      <alignment wrapText="1"/>
    </xf>
    <xf numFmtId="164" fontId="39" fillId="0" borderId="0" xfId="0" applyNumberFormat="1" applyFont="1" applyAlignment="1">
      <alignment/>
    </xf>
    <xf numFmtId="0" fontId="1" fillId="0" borderId="0" xfId="17" applyFont="1" applyAlignment="1">
      <alignment vertical="center"/>
      <protection/>
    </xf>
    <xf numFmtId="0" fontId="1" fillId="0" borderId="0" xfId="17" applyFont="1" applyAlignment="1">
      <alignment vertical="center" wrapText="1"/>
      <protection/>
    </xf>
    <xf numFmtId="0" fontId="1" fillId="0" borderId="0" xfId="17" applyFont="1" applyAlignment="1">
      <alignment horizontal="center" vertical="center" wrapText="1"/>
      <protection/>
    </xf>
    <xf numFmtId="0" fontId="14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47" fillId="0" borderId="0" xfId="17" applyFont="1" applyAlignment="1">
      <alignment horizontal="centerContinuous" vertical="center" wrapText="1"/>
      <protection/>
    </xf>
    <xf numFmtId="0" fontId="47" fillId="0" borderId="0" xfId="17" applyFont="1" applyAlignment="1">
      <alignment horizontal="centerContinuous" vertical="center"/>
      <protection/>
    </xf>
    <xf numFmtId="0" fontId="47" fillId="0" borderId="0" xfId="17" applyFont="1" applyAlignment="1">
      <alignment vertical="center"/>
      <protection/>
    </xf>
    <xf numFmtId="0" fontId="1" fillId="0" borderId="0" xfId="17" applyFont="1" applyAlignment="1">
      <alignment horizontal="centerContinuous" vertical="center"/>
      <protection/>
    </xf>
    <xf numFmtId="0" fontId="1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 wrapText="1"/>
      <protection/>
    </xf>
    <xf numFmtId="0" fontId="7" fillId="0" borderId="116" xfId="17" applyFont="1" applyBorder="1" applyAlignment="1">
      <alignment horizontal="center" vertical="center" wrapText="1"/>
      <protection/>
    </xf>
    <xf numFmtId="0" fontId="2" fillId="0" borderId="119" xfId="17" applyFont="1" applyBorder="1" applyAlignment="1">
      <alignment horizontal="center" vertical="center" wrapText="1"/>
      <protection/>
    </xf>
    <xf numFmtId="0" fontId="6" fillId="0" borderId="102" xfId="17" applyFont="1" applyBorder="1" applyAlignment="1">
      <alignment horizontal="center" vertical="center" wrapText="1"/>
      <protection/>
    </xf>
    <xf numFmtId="0" fontId="8" fillId="0" borderId="102" xfId="17" applyFont="1" applyBorder="1" applyAlignment="1">
      <alignment horizontal="center" vertical="center" wrapText="1"/>
      <protection/>
    </xf>
    <xf numFmtId="0" fontId="9" fillId="0" borderId="63" xfId="17" applyFont="1" applyBorder="1" applyAlignment="1">
      <alignment horizontal="center" vertical="center" wrapText="1"/>
      <protection/>
    </xf>
    <xf numFmtId="0" fontId="9" fillId="0" borderId="53" xfId="17" applyFont="1" applyBorder="1" applyAlignment="1">
      <alignment horizontal="center" vertical="center" wrapText="1"/>
      <protection/>
    </xf>
    <xf numFmtId="0" fontId="9" fillId="0" borderId="6" xfId="17" applyFont="1" applyBorder="1" applyAlignment="1">
      <alignment horizontal="center" vertical="center" wrapText="1"/>
      <protection/>
    </xf>
    <xf numFmtId="0" fontId="9" fillId="0" borderId="79" xfId="17" applyFont="1" applyBorder="1" applyAlignment="1">
      <alignment horizontal="center" vertical="center" wrapText="1"/>
      <protection/>
    </xf>
    <xf numFmtId="0" fontId="9" fillId="0" borderId="0" xfId="17" applyFont="1" applyAlignment="1">
      <alignment vertical="center"/>
      <protection/>
    </xf>
    <xf numFmtId="0" fontId="64" fillId="0" borderId="104" xfId="17" applyFont="1" applyBorder="1" applyAlignment="1">
      <alignment horizontal="center" vertical="center"/>
      <protection/>
    </xf>
    <xf numFmtId="0" fontId="64" fillId="0" borderId="105" xfId="17" applyFont="1" applyBorder="1" applyAlignment="1">
      <alignment vertical="center" wrapText="1"/>
      <protection/>
    </xf>
    <xf numFmtId="0" fontId="64" fillId="0" borderId="34" xfId="17" applyFont="1" applyBorder="1" applyAlignment="1">
      <alignment horizontal="center" vertical="center" wrapText="1"/>
      <protection/>
    </xf>
    <xf numFmtId="164" fontId="64" fillId="0" borderId="12" xfId="17" applyNumberFormat="1" applyFont="1" applyBorder="1" applyAlignment="1">
      <alignment horizontal="right" vertical="center"/>
      <protection/>
    </xf>
    <xf numFmtId="164" fontId="64" fillId="0" borderId="108" xfId="17" applyNumberFormat="1" applyFont="1" applyBorder="1" applyAlignment="1">
      <alignment horizontal="right" vertical="center"/>
      <protection/>
    </xf>
    <xf numFmtId="0" fontId="64" fillId="0" borderId="0" xfId="17" applyFont="1" applyAlignment="1">
      <alignment vertical="center"/>
      <protection/>
    </xf>
    <xf numFmtId="0" fontId="4" fillId="0" borderId="63" xfId="17" applyFont="1" applyBorder="1" applyAlignment="1">
      <alignment horizontal="center" vertical="center"/>
      <protection/>
    </xf>
    <xf numFmtId="0" fontId="4" fillId="0" borderId="53" xfId="17" applyFont="1" applyBorder="1" applyAlignment="1">
      <alignment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164" fontId="4" fillId="0" borderId="6" xfId="17" applyNumberFormat="1" applyFont="1" applyBorder="1" applyAlignment="1">
      <alignment vertical="center"/>
      <protection/>
    </xf>
    <xf numFmtId="164" fontId="4" fillId="0" borderId="62" xfId="17" applyNumberFormat="1" applyFont="1" applyBorder="1" applyAlignment="1">
      <alignment vertical="center"/>
      <protection/>
    </xf>
    <xf numFmtId="0" fontId="64" fillId="0" borderId="105" xfId="17" applyFont="1" applyBorder="1" applyAlignment="1">
      <alignment horizontal="left" vertical="center" wrapText="1"/>
      <protection/>
    </xf>
    <xf numFmtId="0" fontId="4" fillId="0" borderId="53" xfId="17" applyFont="1" applyBorder="1" applyAlignment="1">
      <alignment horizontal="left" vertical="center" wrapText="1"/>
      <protection/>
    </xf>
    <xf numFmtId="164" fontId="4" fillId="0" borderId="6" xfId="17" applyNumberFormat="1" applyFont="1" applyBorder="1" applyAlignment="1">
      <alignment horizontal="right" vertical="center"/>
      <protection/>
    </xf>
    <xf numFmtId="164" fontId="9" fillId="0" borderId="6" xfId="17" applyNumberFormat="1" applyFont="1" applyBorder="1" applyAlignment="1">
      <alignment horizontal="right" vertical="center"/>
      <protection/>
    </xf>
    <xf numFmtId="164" fontId="9" fillId="0" borderId="62" xfId="17" applyNumberFormat="1" applyFont="1" applyBorder="1" applyAlignment="1">
      <alignment horizontal="right" vertical="center"/>
      <protection/>
    </xf>
    <xf numFmtId="164" fontId="64" fillId="0" borderId="12" xfId="17" applyNumberFormat="1" applyFont="1" applyBorder="1" applyAlignment="1">
      <alignment vertical="center"/>
      <protection/>
    </xf>
    <xf numFmtId="0" fontId="64" fillId="0" borderId="0" xfId="17" applyFont="1" applyBorder="1" applyAlignment="1">
      <alignment vertical="center"/>
      <protection/>
    </xf>
    <xf numFmtId="0" fontId="4" fillId="0" borderId="51" xfId="17" applyFont="1" applyBorder="1" applyAlignment="1">
      <alignment horizontal="center" vertical="center"/>
      <protection/>
    </xf>
    <xf numFmtId="0" fontId="4" fillId="0" borderId="83" xfId="17" applyFont="1" applyBorder="1" applyAlignment="1">
      <alignment vertical="center" wrapText="1"/>
      <protection/>
    </xf>
    <xf numFmtId="0" fontId="4" fillId="0" borderId="39" xfId="17" applyFont="1" applyBorder="1" applyAlignment="1">
      <alignment horizontal="center" vertical="center" wrapText="1"/>
      <protection/>
    </xf>
    <xf numFmtId="164" fontId="4" fillId="0" borderId="39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4" fillId="0" borderId="63" xfId="17" applyFont="1" applyBorder="1" applyAlignment="1">
      <alignment horizontal="center" vertical="center"/>
      <protection/>
    </xf>
    <xf numFmtId="0" fontId="4" fillId="0" borderId="86" xfId="17" applyFont="1" applyBorder="1" applyAlignment="1">
      <alignment vertical="center" wrapText="1"/>
      <protection/>
    </xf>
    <xf numFmtId="0" fontId="4" fillId="0" borderId="46" xfId="17" applyFont="1" applyBorder="1" applyAlignment="1">
      <alignment horizontal="center" vertical="center" wrapText="1"/>
      <protection/>
    </xf>
    <xf numFmtId="164" fontId="4" fillId="0" borderId="46" xfId="17" applyNumberFormat="1" applyFont="1" applyBorder="1" applyAlignment="1">
      <alignment vertical="center"/>
      <protection/>
    </xf>
    <xf numFmtId="164" fontId="4" fillId="0" borderId="6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4" fillId="0" borderId="51" xfId="17" applyFont="1" applyBorder="1" applyAlignment="1">
      <alignment horizontal="center" vertical="center"/>
      <protection/>
    </xf>
    <xf numFmtId="164" fontId="4" fillId="0" borderId="15" xfId="17" applyNumberFormat="1" applyFont="1" applyBorder="1" applyAlignment="1">
      <alignment vertical="center"/>
      <protection/>
    </xf>
    <xf numFmtId="164" fontId="64" fillId="0" borderId="12" xfId="17" applyNumberFormat="1" applyFont="1" applyBorder="1" applyAlignment="1">
      <alignment vertical="center"/>
      <protection/>
    </xf>
    <xf numFmtId="0" fontId="88" fillId="0" borderId="0" xfId="0" applyFont="1" applyAlignment="1">
      <alignment vertical="center"/>
    </xf>
    <xf numFmtId="0" fontId="4" fillId="0" borderId="64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vertical="center" wrapText="1"/>
      <protection/>
    </xf>
    <xf numFmtId="0" fontId="4" fillId="0" borderId="43" xfId="17" applyFont="1" applyBorder="1" applyAlignment="1">
      <alignment horizontal="center" vertical="center" wrapText="1"/>
      <protection/>
    </xf>
    <xf numFmtId="164" fontId="4" fillId="0" borderId="62" xfId="17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" fillId="0" borderId="51" xfId="17" applyFont="1" applyBorder="1" applyAlignment="1">
      <alignment horizontal="center" vertical="center"/>
      <protection/>
    </xf>
    <xf numFmtId="0" fontId="4" fillId="0" borderId="83" xfId="17" applyFont="1" applyBorder="1" applyAlignment="1">
      <alignment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53" xfId="17" applyFont="1" applyBorder="1" applyAlignment="1">
      <alignment vertical="center" wrapText="1"/>
      <protection/>
    </xf>
    <xf numFmtId="0" fontId="64" fillId="0" borderId="105" xfId="17" applyFont="1" applyBorder="1" applyAlignment="1">
      <alignment horizontal="center" vertical="center" wrapText="1"/>
      <protection/>
    </xf>
    <xf numFmtId="164" fontId="64" fillId="0" borderId="34" xfId="17" applyNumberFormat="1" applyFont="1" applyBorder="1" applyAlignment="1">
      <alignment vertical="center"/>
      <protection/>
    </xf>
    <xf numFmtId="164" fontId="4" fillId="0" borderId="43" xfId="17" applyNumberFormat="1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4" fillId="0" borderId="100" xfId="17" applyFont="1" applyBorder="1" applyAlignment="1">
      <alignment horizontal="center" vertical="center"/>
      <protection/>
    </xf>
    <xf numFmtId="0" fontId="4" fillId="0" borderId="86" xfId="17" applyFont="1" applyBorder="1" applyAlignment="1">
      <alignment vertical="center" wrapText="1"/>
      <protection/>
    </xf>
    <xf numFmtId="0" fontId="4" fillId="0" borderId="46" xfId="17" applyFont="1" applyBorder="1" applyAlignment="1">
      <alignment horizontal="center" vertical="center" wrapText="1"/>
      <protection/>
    </xf>
    <xf numFmtId="164" fontId="4" fillId="0" borderId="46" xfId="17" applyNumberFormat="1" applyFont="1" applyBorder="1" applyAlignment="1">
      <alignment vertical="center"/>
      <protection/>
    </xf>
    <xf numFmtId="0" fontId="5" fillId="0" borderId="104" xfId="17" applyFont="1" applyBorder="1" applyAlignment="1">
      <alignment horizontal="center" vertical="center"/>
      <protection/>
    </xf>
    <xf numFmtId="0" fontId="5" fillId="0" borderId="105" xfId="17" applyFont="1" applyBorder="1" applyAlignment="1">
      <alignment vertical="center" wrapText="1"/>
      <protection/>
    </xf>
    <xf numFmtId="0" fontId="5" fillId="0" borderId="34" xfId="17" applyFont="1" applyBorder="1" applyAlignment="1">
      <alignment horizontal="center" vertical="center" wrapText="1"/>
      <protection/>
    </xf>
    <xf numFmtId="164" fontId="5" fillId="0" borderId="12" xfId="17" applyNumberFormat="1" applyFont="1" applyBorder="1" applyAlignment="1">
      <alignment vertical="center"/>
      <protection/>
    </xf>
    <xf numFmtId="164" fontId="11" fillId="0" borderId="108" xfId="17" applyNumberFormat="1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3" fillId="0" borderId="72" xfId="0" applyFont="1" applyBorder="1" applyAlignment="1">
      <alignment/>
    </xf>
    <xf numFmtId="0" fontId="15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33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35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18" fillId="0" borderId="5" xfId="0" applyFont="1" applyBorder="1" applyAlignment="1">
      <alignment/>
    </xf>
    <xf numFmtId="0" fontId="23" fillId="0" borderId="43" xfId="0" applyFont="1" applyBorder="1" applyAlignment="1">
      <alignment horizontal="right"/>
    </xf>
    <xf numFmtId="0" fontId="23" fillId="0" borderId="52" xfId="0" applyFont="1" applyBorder="1" applyAlignment="1">
      <alignment/>
    </xf>
    <xf numFmtId="0" fontId="39" fillId="0" borderId="5" xfId="0" applyFont="1" applyBorder="1" applyAlignment="1">
      <alignment/>
    </xf>
    <xf numFmtId="4" fontId="39" fillId="0" borderId="43" xfId="0" applyNumberFormat="1" applyFont="1" applyBorder="1" applyAlignment="1">
      <alignment horizontal="right"/>
    </xf>
    <xf numFmtId="164" fontId="39" fillId="0" borderId="52" xfId="0" applyNumberFormat="1" applyFont="1" applyBorder="1" applyAlignment="1">
      <alignment horizontal="right"/>
    </xf>
    <xf numFmtId="164" fontId="39" fillId="0" borderId="43" xfId="0" applyNumberFormat="1" applyFont="1" applyBorder="1" applyAlignment="1">
      <alignment horizontal="right"/>
    </xf>
    <xf numFmtId="0" fontId="39" fillId="0" borderId="43" xfId="0" applyFont="1" applyBorder="1" applyAlignment="1">
      <alignment horizontal="right"/>
    </xf>
    <xf numFmtId="0" fontId="15" fillId="0" borderId="5" xfId="0" applyFont="1" applyBorder="1" applyAlignment="1">
      <alignment/>
    </xf>
    <xf numFmtId="0" fontId="15" fillId="0" borderId="43" xfId="0" applyFont="1" applyBorder="1" applyAlignment="1">
      <alignment horizontal="right"/>
    </xf>
    <xf numFmtId="0" fontId="39" fillId="0" borderId="26" xfId="0" applyFont="1" applyBorder="1" applyAlignment="1">
      <alignment/>
    </xf>
    <xf numFmtId="164" fontId="39" fillId="0" borderId="46" xfId="0" applyNumberFormat="1" applyFont="1" applyBorder="1" applyAlignment="1">
      <alignment horizontal="right"/>
    </xf>
    <xf numFmtId="164" fontId="39" fillId="0" borderId="45" xfId="0" applyNumberFormat="1" applyFont="1" applyBorder="1" applyAlignment="1">
      <alignment horizontal="right"/>
    </xf>
    <xf numFmtId="164" fontId="39" fillId="0" borderId="87" xfId="0" applyNumberFormat="1" applyFont="1" applyBorder="1" applyAlignment="1">
      <alignment horizontal="right"/>
    </xf>
    <xf numFmtId="0" fontId="39" fillId="0" borderId="17" xfId="0" applyFont="1" applyBorder="1" applyAlignment="1">
      <alignment/>
    </xf>
    <xf numFmtId="164" fontId="39" fillId="0" borderId="18" xfId="0" applyNumberFormat="1" applyFont="1" applyBorder="1" applyAlignment="1">
      <alignment horizontal="right"/>
    </xf>
    <xf numFmtId="164" fontId="39" fillId="0" borderId="94" xfId="0" applyNumberFormat="1" applyFont="1" applyBorder="1" applyAlignment="1">
      <alignment horizontal="right"/>
    </xf>
    <xf numFmtId="164" fontId="39" fillId="0" borderId="98" xfId="0" applyNumberFormat="1" applyFont="1" applyBorder="1" applyAlignment="1">
      <alignment horizontal="right"/>
    </xf>
    <xf numFmtId="0" fontId="18" fillId="0" borderId="17" xfId="0" applyFont="1" applyBorder="1" applyAlignment="1">
      <alignment vertical="center"/>
    </xf>
    <xf numFmtId="0" fontId="15" fillId="0" borderId="94" xfId="0" applyFont="1" applyBorder="1" applyAlignment="1">
      <alignment horizontal="right" vertical="center"/>
    </xf>
    <xf numFmtId="164" fontId="39" fillId="0" borderId="98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64" fontId="18" fillId="0" borderId="43" xfId="0" applyNumberFormat="1" applyFont="1" applyBorder="1" applyAlignment="1">
      <alignment horizontal="right" vertical="center"/>
    </xf>
    <xf numFmtId="164" fontId="30" fillId="0" borderId="52" xfId="0" applyNumberFormat="1" applyFont="1" applyBorder="1" applyAlignment="1">
      <alignment horizontal="right" vertical="center"/>
    </xf>
    <xf numFmtId="0" fontId="18" fillId="0" borderId="136" xfId="0" applyFont="1" applyBorder="1" applyAlignment="1">
      <alignment vertical="center"/>
    </xf>
    <xf numFmtId="165" fontId="18" fillId="0" borderId="69" xfId="0" applyNumberFormat="1" applyFont="1" applyBorder="1" applyAlignment="1">
      <alignment horizontal="right" vertical="center"/>
    </xf>
    <xf numFmtId="164" fontId="30" fillId="0" borderId="73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0" fontId="4" fillId="0" borderId="0" xfId="0" applyBorder="1" applyAlignment="1">
      <alignment horizontal="centerContinuous"/>
    </xf>
    <xf numFmtId="0" fontId="4" fillId="0" borderId="0" xfId="0" applyBorder="1" applyAlignment="1">
      <alignment horizontal="centerContinuous" wrapText="1"/>
    </xf>
    <xf numFmtId="0" fontId="12" fillId="0" borderId="0" xfId="0" applyFont="1" applyBorder="1" applyAlignment="1">
      <alignment horizontal="center" vertical="top"/>
    </xf>
    <xf numFmtId="0" fontId="1" fillId="0" borderId="0" xfId="0" applyBorder="1" applyAlignment="1">
      <alignment horizontal="centerContinuous"/>
    </xf>
    <xf numFmtId="0" fontId="4" fillId="0" borderId="0" xfId="0" applyBorder="1" applyAlignment="1">
      <alignment/>
    </xf>
    <xf numFmtId="0" fontId="47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4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57" xfId="0" applyBorder="1" applyAlignment="1">
      <alignment horizontal="center"/>
    </xf>
    <xf numFmtId="0" fontId="5" fillId="0" borderId="15" xfId="0" applyBorder="1" applyAlignment="1">
      <alignment horizontal="centerContinuous" wrapText="1"/>
    </xf>
    <xf numFmtId="0" fontId="5" fillId="0" borderId="102" xfId="0" applyBorder="1" applyAlignment="1">
      <alignment horizontal="centerContinuous"/>
    </xf>
    <xf numFmtId="0" fontId="5" fillId="0" borderId="102" xfId="0" applyBorder="1" applyAlignment="1">
      <alignment horizontal="centerContinuous"/>
    </xf>
    <xf numFmtId="0" fontId="5" fillId="0" borderId="102" xfId="0" applyBorder="1" applyAlignment="1">
      <alignment horizontal="centerContinuous" wrapText="1"/>
    </xf>
    <xf numFmtId="0" fontId="5" fillId="0" borderId="102" xfId="0" applyBorder="1" applyAlignment="1">
      <alignment horizontal="center" vertical="center"/>
    </xf>
    <xf numFmtId="0" fontId="5" fillId="0" borderId="119" xfId="0" applyBorder="1" applyAlignment="1">
      <alignment horizontal="centerContinuous"/>
    </xf>
    <xf numFmtId="0" fontId="5" fillId="0" borderId="58" xfId="0" applyBorder="1" applyAlignment="1">
      <alignment horizontal="centerContinuous" wrapText="1"/>
    </xf>
    <xf numFmtId="0" fontId="5" fillId="0" borderId="100" xfId="0" applyBorder="1" applyAlignment="1">
      <alignment horizontal="centerContinuous" vertical="center"/>
    </xf>
    <xf numFmtId="0" fontId="5" fillId="0" borderId="46" xfId="0" applyBorder="1" applyAlignment="1">
      <alignment horizontal="centerContinuous" vertical="center" wrapText="1"/>
    </xf>
    <xf numFmtId="0" fontId="6" fillId="0" borderId="9" xfId="0" applyFont="1" applyBorder="1" applyAlignment="1">
      <alignment horizontal="centerContinuous" vertical="center" wrapText="1"/>
    </xf>
    <xf numFmtId="0" fontId="6" fillId="0" borderId="9" xfId="0" applyBorder="1" applyAlignment="1">
      <alignment horizontal="centerContinuous" vertical="center" wrapText="1"/>
    </xf>
    <xf numFmtId="0" fontId="6" fillId="0" borderId="9" xfId="0" applyBorder="1" applyAlignment="1">
      <alignment horizontal="centerContinuous" vertical="center"/>
    </xf>
    <xf numFmtId="0" fontId="5" fillId="0" borderId="9" xfId="0" applyBorder="1" applyAlignment="1">
      <alignment horizontal="centerContinuous" vertical="center"/>
    </xf>
    <xf numFmtId="0" fontId="6" fillId="0" borderId="117" xfId="0" applyBorder="1" applyAlignment="1">
      <alignment horizontal="centerContinuous" vertical="center"/>
    </xf>
    <xf numFmtId="0" fontId="5" fillId="0" borderId="27" xfId="0" applyBorder="1" applyAlignment="1">
      <alignment horizontal="centerContinuous" vertical="center"/>
    </xf>
    <xf numFmtId="0" fontId="4" fillId="0" borderId="0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09" xfId="0" applyBorder="1" applyAlignment="1">
      <alignment horizontal="center" vertical="center"/>
    </xf>
    <xf numFmtId="0" fontId="5" fillId="0" borderId="9" xfId="0" applyBorder="1" applyAlignment="1">
      <alignment vertical="center" wrapText="1"/>
    </xf>
    <xf numFmtId="0" fontId="1" fillId="0" borderId="9" xfId="0" applyBorder="1" applyAlignment="1">
      <alignment horizontal="centerContinuous" vertical="center"/>
    </xf>
    <xf numFmtId="0" fontId="1" fillId="0" borderId="9" xfId="0" applyBorder="1" applyAlignment="1">
      <alignment horizontal="center" vertical="center"/>
    </xf>
    <xf numFmtId="4" fontId="1" fillId="0" borderId="9" xfId="0" applyNumberFormat="1" applyBorder="1" applyAlignment="1">
      <alignment horizontal="right" vertical="center"/>
    </xf>
    <xf numFmtId="0" fontId="1" fillId="0" borderId="9" xfId="0" applyBorder="1" applyAlignment="1">
      <alignment horizontal="center" vertical="center"/>
    </xf>
    <xf numFmtId="4" fontId="5" fillId="0" borderId="9" xfId="15" applyNumberFormat="1" applyBorder="1" applyAlignment="1" applyProtection="1">
      <alignment horizontal="right" vertical="center"/>
      <protection locked="0"/>
    </xf>
    <xf numFmtId="0" fontId="1" fillId="0" borderId="48" xfId="0" applyBorder="1" applyAlignment="1">
      <alignment horizontal="center" vertical="center"/>
    </xf>
    <xf numFmtId="0" fontId="89" fillId="0" borderId="0" xfId="0" applyBorder="1" applyAlignment="1">
      <alignment/>
    </xf>
    <xf numFmtId="0" fontId="5" fillId="0" borderId="109" xfId="0" applyBorder="1" applyAlignment="1">
      <alignment horizontal="center"/>
    </xf>
    <xf numFmtId="0" fontId="5" fillId="0" borderId="9" xfId="0" applyBorder="1" applyAlignment="1">
      <alignment horizontal="left" vertical="center" wrapText="1"/>
    </xf>
    <xf numFmtId="3" fontId="1" fillId="0" borderId="9" xfId="0" applyNumberFormat="1" applyBorder="1" applyAlignment="1">
      <alignment horizontal="right" vertical="center"/>
    </xf>
    <xf numFmtId="0" fontId="1" fillId="0" borderId="9" xfId="0" applyBorder="1" applyAlignment="1">
      <alignment horizontal="right" vertical="center"/>
    </xf>
    <xf numFmtId="3" fontId="5" fillId="0" borderId="9" xfId="15" applyNumberForma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5" fillId="0" borderId="10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9" xfId="15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1" fillId="0" borderId="39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right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5" fillId="0" borderId="104" xfId="0" applyBorder="1" applyAlignment="1">
      <alignment horizontal="center" vertical="center"/>
    </xf>
    <xf numFmtId="0" fontId="2" fillId="0" borderId="34" xfId="0" applyBorder="1" applyAlignment="1">
      <alignment horizontal="left" vertical="center" wrapText="1"/>
    </xf>
    <xf numFmtId="0" fontId="5" fillId="0" borderId="12" xfId="0" applyBorder="1" applyAlignment="1">
      <alignment horizontal="center" vertical="center"/>
    </xf>
    <xf numFmtId="4" fontId="5" fillId="0" borderId="12" xfId="0" applyNumberFormat="1" applyBorder="1" applyAlignment="1">
      <alignment horizontal="right" vertical="center"/>
    </xf>
    <xf numFmtId="3" fontId="5" fillId="0" borderId="12" xfId="0" applyNumberFormat="1" applyBorder="1" applyAlignment="1">
      <alignment horizontal="center" vertical="center"/>
    </xf>
    <xf numFmtId="4" fontId="5" fillId="0" borderId="12" xfId="0" applyNumberFormat="1" applyBorder="1" applyAlignment="1">
      <alignment horizontal="center" vertical="center"/>
    </xf>
    <xf numFmtId="0" fontId="5" fillId="0" borderId="33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Border="1" applyAlignment="1">
      <alignment/>
    </xf>
    <xf numFmtId="1" fontId="10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>
      <alignment horizontal="centerContinuous"/>
    </xf>
    <xf numFmtId="164" fontId="11" fillId="0" borderId="0" xfId="0" applyNumberFormat="1" applyFont="1" applyBorder="1" applyAlignment="1">
      <alignment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Alignment="1">
      <alignment horizontal="centerContinuous"/>
    </xf>
    <xf numFmtId="164" fontId="10" fillId="0" borderId="114" xfId="0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59" xfId="0" applyNumberFormat="1" applyFont="1" applyFill="1" applyBorder="1" applyAlignment="1" applyProtection="1">
      <alignment horizontal="centerContinuous" vertical="center"/>
      <protection locked="0"/>
    </xf>
    <xf numFmtId="3" fontId="4" fillId="0" borderId="99" xfId="0" applyNumberFormat="1" applyFont="1" applyFill="1" applyBorder="1" applyAlignment="1" applyProtection="1">
      <alignment horizontal="centerContinuous" vertical="center"/>
      <protection locked="0"/>
    </xf>
    <xf numFmtId="3" fontId="6" fillId="0" borderId="9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5" xfId="0" applyNumberFormat="1" applyFont="1" applyFill="1" applyBorder="1" applyAlignment="1" applyProtection="1">
      <alignment horizontal="centerContinuous" vertical="center"/>
      <protection locked="0"/>
    </xf>
    <xf numFmtId="3" fontId="8" fillId="0" borderId="11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5" xfId="0" applyNumberFormat="1" applyFont="1" applyFill="1" applyBorder="1" applyAlignment="1" applyProtection="1">
      <alignment horizontal="centerContinuous" vertical="center"/>
      <protection locked="0"/>
    </xf>
    <xf numFmtId="3" fontId="6" fillId="0" borderId="99" xfId="0" applyNumberFormat="1" applyFont="1" applyBorder="1" applyAlignment="1">
      <alignment horizontal="centerContinuous" vertical="center"/>
    </xf>
    <xf numFmtId="3" fontId="6" fillId="0" borderId="11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1" xfId="0" applyNumberFormat="1" applyFont="1" applyFill="1" applyBorder="1" applyAlignment="1" applyProtection="1">
      <alignment horizontal="centerContinuous" vertical="center"/>
      <protection locked="0"/>
    </xf>
    <xf numFmtId="3" fontId="8" fillId="0" borderId="101" xfId="0" applyNumberFormat="1" applyFont="1" applyFill="1" applyBorder="1" applyAlignment="1" applyProtection="1">
      <alignment horizontal="centerContinuous" vertical="center"/>
      <protection locked="0"/>
    </xf>
    <xf numFmtId="3" fontId="6" fillId="0" borderId="11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1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3" xfId="19" applyNumberFormat="1" applyFont="1" applyFill="1" applyBorder="1" applyAlignment="1" applyProtection="1">
      <alignment horizontal="center" vertical="center" wrapText="1"/>
      <protection locked="0"/>
    </xf>
    <xf numFmtId="3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3" xfId="0" applyNumberFormat="1" applyFont="1" applyFill="1" applyBorder="1" applyAlignment="1" applyProtection="1">
      <alignment horizontal="centerContinuous" vertical="center"/>
      <protection locked="0"/>
    </xf>
    <xf numFmtId="1" fontId="9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3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08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>
      <alignment/>
    </xf>
    <xf numFmtId="49" fontId="8" fillId="0" borderId="103" xfId="0" applyNumberFormat="1" applyFont="1" applyFill="1" applyBorder="1" applyAlignment="1" applyProtection="1">
      <alignment horizontal="centerContinuous" vertical="center"/>
      <protection locked="0"/>
    </xf>
    <xf numFmtId="1" fontId="8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3" xfId="0" applyNumberFormat="1" applyFont="1" applyFill="1" applyBorder="1" applyAlignment="1" applyProtection="1">
      <alignment horizontal="right" vertical="center"/>
      <protection locked="0"/>
    </xf>
    <xf numFmtId="164" fontId="13" fillId="0" borderId="108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164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6" fillId="0" borderId="34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14" fillId="0" borderId="33" xfId="0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>
      <alignment/>
    </xf>
    <xf numFmtId="49" fontId="8" fillId="0" borderId="116" xfId="0" applyNumberFormat="1" applyFont="1" applyFill="1" applyBorder="1" applyAlignment="1" applyProtection="1">
      <alignment horizontal="centerContinuous" vertical="center"/>
      <protection locked="0"/>
    </xf>
    <xf numFmtId="1" fontId="8" fillId="0" borderId="119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16" xfId="0" applyNumberFormat="1" applyFont="1" applyFill="1" applyBorder="1" applyAlignment="1" applyProtection="1">
      <alignment horizontal="right" vertical="center"/>
      <protection locked="0"/>
    </xf>
    <xf numFmtId="164" fontId="13" fillId="0" borderId="112" xfId="0" applyNumberFormat="1" applyFont="1" applyFill="1" applyBorder="1" applyAlignment="1" applyProtection="1">
      <alignment horizontal="right" vertical="center"/>
      <protection locked="0"/>
    </xf>
    <xf numFmtId="3" fontId="6" fillId="0" borderId="102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164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14" fillId="0" borderId="31" xfId="0" applyNumberFormat="1" applyFont="1" applyFill="1" applyBorder="1" applyAlignment="1" applyProtection="1">
      <alignment horizontal="right" vertical="center"/>
      <protection locked="0"/>
    </xf>
    <xf numFmtId="49" fontId="10" fillId="0" borderId="63" xfId="0" applyNumberFormat="1" applyFont="1" applyFill="1" applyBorder="1" applyAlignment="1" applyProtection="1">
      <alignment horizontal="centerContinuous" vertical="center"/>
      <protection locked="0"/>
    </xf>
    <xf numFmtId="1" fontId="10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164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164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41" xfId="0" applyNumberFormat="1" applyFont="1" applyFill="1" applyBorder="1" applyAlignment="1" applyProtection="1">
      <alignment horizontal="center" vertical="center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164" fontId="14" fillId="0" borderId="36" xfId="0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Border="1" applyAlignment="1">
      <alignment/>
    </xf>
    <xf numFmtId="49" fontId="8" fillId="0" borderId="109" xfId="0" applyNumberFormat="1" applyFont="1" applyFill="1" applyBorder="1" applyAlignment="1" applyProtection="1">
      <alignment horizontal="centerContinuous" vertical="center"/>
      <protection locked="0"/>
    </xf>
    <xf numFmtId="1" fontId="8" fillId="0" borderId="11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164" fontId="13" fillId="0" borderId="118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50" xfId="0" applyNumberFormat="1" applyFont="1" applyFill="1" applyBorder="1" applyAlignment="1" applyProtection="1">
      <alignment horizontal="center" vertical="center"/>
      <protection locked="0"/>
    </xf>
    <xf numFmtId="164" fontId="10" fillId="0" borderId="48" xfId="0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164" fontId="13" fillId="0" borderId="82" xfId="0" applyNumberFormat="1" applyFont="1" applyFill="1" applyBorder="1" applyAlignment="1" applyProtection="1">
      <alignment horizontal="right" vertical="center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164" fontId="14" fillId="0" borderId="41" xfId="0" applyNumberFormat="1" applyFont="1" applyFill="1" applyBorder="1" applyAlignment="1" applyProtection="1">
      <alignment horizontal="right" vertical="center"/>
      <protection locked="0"/>
    </xf>
    <xf numFmtId="49" fontId="8" fillId="0" borderId="109" xfId="0" applyNumberFormat="1" applyFont="1" applyFill="1" applyBorder="1" applyAlignment="1" applyProtection="1">
      <alignment horizontal="centerContinuous" vertical="center"/>
      <protection locked="0"/>
    </xf>
    <xf numFmtId="1" fontId="8" fillId="0" borderId="117" xfId="0" applyNumberFormat="1" applyFont="1" applyFill="1" applyBorder="1" applyAlignment="1" applyProtection="1">
      <alignment horizontal="left" vertical="center" wrapText="1"/>
      <protection locked="0"/>
    </xf>
    <xf numFmtId="164" fontId="78" fillId="0" borderId="118" xfId="0" applyNumberFormat="1" applyFont="1" applyFill="1" applyBorder="1" applyAlignment="1" applyProtection="1">
      <alignment horizontal="right" vertical="center"/>
      <protection locked="0"/>
    </xf>
    <xf numFmtId="3" fontId="6" fillId="0" borderId="117" xfId="0" applyNumberFormat="1" applyFont="1" applyFill="1" applyBorder="1" applyAlignment="1" applyProtection="1">
      <alignment horizontal="right" vertical="center"/>
      <protection locked="0"/>
    </xf>
    <xf numFmtId="164" fontId="78" fillId="0" borderId="48" xfId="0" applyNumberFormat="1" applyFont="1" applyFill="1" applyBorder="1" applyAlignment="1" applyProtection="1">
      <alignment horizontal="right" vertical="center"/>
      <protection locked="0"/>
    </xf>
    <xf numFmtId="3" fontId="6" fillId="0" borderId="50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48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>
      <alignment/>
    </xf>
    <xf numFmtId="49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1" fontId="10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164" fontId="78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83" xfId="0" applyNumberFormat="1" applyFont="1" applyFill="1" applyBorder="1" applyAlignment="1" applyProtection="1">
      <alignment horizontal="right" vertical="center"/>
      <protection locked="0"/>
    </xf>
    <xf numFmtId="164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10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108" xfId="0" applyNumberFormat="1" applyFont="1" applyFill="1" applyBorder="1" applyAlignment="1" applyProtection="1">
      <alignment horizontal="right" vertical="center"/>
      <protection locked="0"/>
    </xf>
    <xf numFmtId="164" fontId="13" fillId="0" borderId="85" xfId="0" applyNumberFormat="1" applyFont="1" applyFill="1" applyBorder="1" applyAlignment="1" applyProtection="1">
      <alignment horizontal="right" vertical="center"/>
      <protection locked="0"/>
    </xf>
    <xf numFmtId="164" fontId="14" fillId="0" borderId="27" xfId="0" applyNumberFormat="1" applyFont="1" applyFill="1" applyBorder="1" applyAlignment="1" applyProtection="1">
      <alignment horizontal="right" vertical="center"/>
      <protection locked="0"/>
    </xf>
    <xf numFmtId="164" fontId="4" fillId="0" borderId="118" xfId="0" applyNumberFormat="1" applyFont="1" applyFill="1" applyBorder="1" applyAlignment="1" applyProtection="1">
      <alignment horizontal="right" vertical="center"/>
      <protection locked="0"/>
    </xf>
    <xf numFmtId="1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1" fontId="10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164" fontId="4" fillId="0" borderId="82" xfId="0" applyNumberFormat="1" applyFont="1" applyFill="1" applyBorder="1" applyAlignment="1" applyProtection="1">
      <alignment horizontal="right" vertical="center"/>
      <protection locked="0"/>
    </xf>
    <xf numFmtId="1" fontId="8" fillId="0" borderId="10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1" xfId="19" applyNumberFormat="1" applyFont="1" applyFill="1" applyBorder="1" applyAlignment="1" applyProtection="1">
      <alignment vertical="center" wrapText="1"/>
      <protection locked="0"/>
    </xf>
    <xf numFmtId="3" fontId="6" fillId="0" borderId="103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164" fontId="8" fillId="0" borderId="33" xfId="0" applyNumberFormat="1" applyFont="1" applyFill="1" applyBorder="1" applyAlignment="1" applyProtection="1">
      <alignment vertical="center"/>
      <protection locked="0"/>
    </xf>
    <xf numFmtId="164" fontId="4" fillId="0" borderId="33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8" fillId="0" borderId="10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17" xfId="19" applyNumberFormat="1" applyFont="1" applyFill="1" applyBorder="1" applyAlignment="1" applyProtection="1">
      <alignment horizontal="left" vertical="center" wrapText="1"/>
      <protection locked="0"/>
    </xf>
    <xf numFmtId="3" fontId="6" fillId="0" borderId="109" xfId="0" applyNumberFormat="1" applyFont="1" applyFill="1" applyBorder="1" applyAlignment="1" applyProtection="1">
      <alignment vertical="center"/>
      <protection locked="0"/>
    </xf>
    <xf numFmtId="164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164" fontId="8" fillId="0" borderId="48" xfId="0" applyNumberFormat="1" applyFont="1" applyFill="1" applyBorder="1" applyAlignment="1" applyProtection="1">
      <alignment vertical="center"/>
      <protection locked="0"/>
    </xf>
    <xf numFmtId="164" fontId="4" fillId="0" borderId="48" xfId="0" applyNumberFormat="1" applyFont="1" applyFill="1" applyBorder="1" applyAlignment="1" applyProtection="1">
      <alignment vertical="center"/>
      <protection locked="0"/>
    </xf>
    <xf numFmtId="1" fontId="10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3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164" fontId="10" fillId="0" borderId="41" xfId="0" applyNumberFormat="1" applyFont="1" applyFill="1" applyBorder="1" applyAlignment="1" applyProtection="1">
      <alignment vertical="center"/>
      <protection locked="0"/>
    </xf>
    <xf numFmtId="164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164" fontId="4" fillId="0" borderId="62" xfId="0" applyNumberFormat="1" applyFont="1" applyFill="1" applyBorder="1" applyAlignment="1" applyProtection="1">
      <alignment horizontal="right" vertical="center"/>
      <protection locked="0"/>
    </xf>
    <xf numFmtId="164" fontId="10" fillId="0" borderId="53" xfId="19" applyNumberFormat="1" applyFont="1" applyFill="1" applyBorder="1" applyAlignment="1" applyProtection="1">
      <alignment vertical="center" wrapText="1"/>
      <protection locked="0"/>
    </xf>
    <xf numFmtId="3" fontId="4" fillId="0" borderId="9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64" fontId="4" fillId="0" borderId="62" xfId="0" applyNumberFormat="1" applyFont="1" applyFill="1" applyBorder="1" applyAlignment="1" applyProtection="1">
      <alignment vertical="center"/>
      <protection locked="0"/>
    </xf>
    <xf numFmtId="1" fontId="8" fillId="0" borderId="10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1" xfId="19" applyNumberFormat="1" applyFont="1" applyFill="1" applyBorder="1" applyAlignment="1" applyProtection="1">
      <alignment vertical="center" wrapText="1"/>
      <protection locked="0"/>
    </xf>
    <xf numFmtId="164" fontId="78" fillId="0" borderId="108" xfId="0" applyNumberFormat="1" applyFont="1" applyFill="1" applyBorder="1" applyAlignment="1" applyProtection="1">
      <alignment horizontal="right" vertical="center"/>
      <protection locked="0"/>
    </xf>
    <xf numFmtId="164" fontId="78" fillId="0" borderId="33" xfId="0" applyNumberFormat="1" applyFont="1" applyFill="1" applyBorder="1" applyAlignment="1" applyProtection="1">
      <alignment horizontal="right"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164" fontId="49" fillId="0" borderId="33" xfId="0" applyNumberFormat="1" applyFont="1" applyFill="1" applyBorder="1" applyAlignment="1" applyProtection="1">
      <alignment horizontal="right" vertical="center"/>
      <protection locked="0"/>
    </xf>
    <xf numFmtId="1" fontId="8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3" xfId="19" applyNumberFormat="1" applyFont="1" applyFill="1" applyBorder="1" applyAlignment="1" applyProtection="1">
      <alignment vertical="center" wrapText="1"/>
      <protection locked="0"/>
    </xf>
    <xf numFmtId="3" fontId="6" fillId="0" borderId="6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164" fontId="8" fillId="0" borderId="41" xfId="0" applyNumberFormat="1" applyFont="1" applyFill="1" applyBorder="1" applyAlignment="1" applyProtection="1">
      <alignment horizontal="right"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164" fontId="6" fillId="0" borderId="41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10" fillId="0" borderId="10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17" xfId="19" applyNumberFormat="1" applyFont="1" applyFill="1" applyBorder="1" applyAlignment="1" applyProtection="1">
      <alignment vertical="center" wrapText="1"/>
      <protection locked="0"/>
    </xf>
    <xf numFmtId="3" fontId="4" fillId="0" borderId="109" xfId="0" applyNumberFormat="1" applyFont="1" applyFill="1" applyBorder="1" applyAlignment="1" applyProtection="1">
      <alignment vertical="center"/>
      <protection locked="0"/>
    </xf>
    <xf numFmtId="3" fontId="4" fillId="0" borderId="50" xfId="0" applyNumberFormat="1" applyFont="1" applyFill="1" applyBorder="1" applyAlignment="1" applyProtection="1">
      <alignment vertical="center"/>
      <protection locked="0"/>
    </xf>
    <xf numFmtId="164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117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64" fontId="4" fillId="0" borderId="118" xfId="0" applyNumberFormat="1" applyFont="1" applyFill="1" applyBorder="1" applyAlignment="1" applyProtection="1">
      <alignment vertical="center"/>
      <protection locked="0"/>
    </xf>
    <xf numFmtId="1" fontId="8" fillId="0" borderId="10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17" xfId="19" applyNumberFormat="1" applyFont="1" applyFill="1" applyBorder="1" applyAlignment="1" applyProtection="1">
      <alignment horizontal="left" vertical="center" wrapText="1"/>
      <protection locked="0"/>
    </xf>
    <xf numFmtId="3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48" xfId="0" applyNumberFormat="1" applyFont="1" applyFill="1" applyBorder="1" applyAlignment="1" applyProtection="1">
      <alignment horizontal="right" vertical="center"/>
      <protection locked="0"/>
    </xf>
    <xf numFmtId="164" fontId="49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164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4" fillId="0" borderId="48" xfId="0" applyNumberFormat="1" applyFont="1" applyFill="1" applyBorder="1" applyAlignment="1" applyProtection="1">
      <alignment horizontal="right" vertical="center"/>
      <protection locked="0"/>
    </xf>
    <xf numFmtId="164" fontId="10" fillId="0" borderId="83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164" fontId="10" fillId="0" borderId="36" xfId="0" applyNumberFormat="1" applyFont="1" applyFill="1" applyBorder="1" applyAlignment="1" applyProtection="1">
      <alignment horizontal="right" vertical="center"/>
      <protection locked="0"/>
    </xf>
    <xf numFmtId="164" fontId="4" fillId="0" borderId="36" xfId="0" applyNumberFormat="1" applyFont="1" applyFill="1" applyBorder="1" applyAlignment="1" applyProtection="1">
      <alignment horizontal="right" vertical="center"/>
      <protection locked="0"/>
    </xf>
    <xf numFmtId="1" fontId="10" fillId="0" borderId="10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86" xfId="19" applyNumberFormat="1" applyFont="1" applyFill="1" applyBorder="1" applyAlignment="1" applyProtection="1">
      <alignment vertical="center" wrapText="1"/>
      <protection locked="0"/>
    </xf>
    <xf numFmtId="3" fontId="4" fillId="0" borderId="100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164" fontId="10" fillId="0" borderId="27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vertical="center"/>
      <protection locked="0"/>
    </xf>
    <xf numFmtId="1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3" xfId="0" applyFont="1" applyBorder="1" applyAlignment="1">
      <alignment horizontal="left" vertical="center" wrapText="1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164" fontId="14" fillId="0" borderId="41" xfId="0" applyNumberFormat="1" applyFont="1" applyFill="1" applyBorder="1" applyAlignment="1" applyProtection="1">
      <alignment vertical="center"/>
      <protection locked="0"/>
    </xf>
    <xf numFmtId="164" fontId="14" fillId="0" borderId="6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8" fillId="0" borderId="122" xfId="0" applyFont="1" applyBorder="1" applyAlignment="1">
      <alignment horizontal="left" vertical="center" wrapText="1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164" fontId="6" fillId="0" borderId="48" xfId="0" applyNumberFormat="1" applyFont="1" applyFill="1" applyBorder="1" applyAlignment="1" applyProtection="1">
      <alignment vertical="center"/>
      <protection locked="0"/>
    </xf>
    <xf numFmtId="1" fontId="10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>
      <alignment horizontal="left" vertical="center" wrapText="1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164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vertical="center"/>
      <protection locked="0"/>
    </xf>
    <xf numFmtId="164" fontId="4" fillId="0" borderId="85" xfId="0" applyNumberFormat="1" applyFont="1" applyFill="1" applyBorder="1" applyAlignment="1" applyProtection="1">
      <alignment vertical="center"/>
      <protection locked="0"/>
    </xf>
    <xf numFmtId="3" fontId="8" fillId="0" borderId="117" xfId="19" applyNumberFormat="1" applyFont="1" applyFill="1" applyBorder="1" applyAlignment="1" applyProtection="1">
      <alignment vertical="center" wrapText="1"/>
      <protection locked="0"/>
    </xf>
    <xf numFmtId="1" fontId="8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3" xfId="19" applyNumberFormat="1" applyFont="1" applyFill="1" applyBorder="1" applyAlignment="1" applyProtection="1">
      <alignment vertical="center" wrapText="1"/>
      <protection locked="0"/>
    </xf>
    <xf numFmtId="3" fontId="6" fillId="0" borderId="63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164" fontId="8" fillId="0" borderId="41" xfId="0" applyNumberFormat="1" applyFont="1" applyFill="1" applyBorder="1" applyAlignment="1" applyProtection="1">
      <alignment vertical="center"/>
      <protection locked="0"/>
    </xf>
    <xf numFmtId="1" fontId="10" fillId="0" borderId="63" xfId="0" applyNumberFormat="1" applyFont="1" applyFill="1" applyBorder="1" applyAlignment="1" applyProtection="1">
      <alignment horizontal="center" vertical="center"/>
      <protection locked="0"/>
    </xf>
    <xf numFmtId="164" fontId="4" fillId="0" borderId="108" xfId="0" applyNumberFormat="1" applyFont="1" applyFill="1" applyBorder="1" applyAlignment="1" applyProtection="1">
      <alignment vertical="center"/>
      <protection locked="0"/>
    </xf>
    <xf numFmtId="164" fontId="8" fillId="0" borderId="117" xfId="19" applyNumberFormat="1" applyFont="1" applyFill="1" applyBorder="1" applyAlignment="1" applyProtection="1">
      <alignment vertical="center" wrapText="1"/>
      <protection locked="0"/>
    </xf>
    <xf numFmtId="3" fontId="6" fillId="0" borderId="102" xfId="0" applyNumberFormat="1" applyFont="1" applyFill="1" applyBorder="1" applyAlignment="1" applyProtection="1">
      <alignment vertical="center"/>
      <protection locked="0"/>
    </xf>
    <xf numFmtId="1" fontId="8" fillId="0" borderId="10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6" xfId="19" applyNumberFormat="1" applyFont="1" applyFill="1" applyBorder="1" applyAlignment="1" applyProtection="1">
      <alignment vertical="center" wrapText="1"/>
      <protection locked="0"/>
    </xf>
    <xf numFmtId="3" fontId="6" fillId="0" borderId="100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106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164" fontId="8" fillId="0" borderId="27" xfId="0" applyNumberFormat="1" applyFont="1" applyFill="1" applyBorder="1" applyAlignment="1" applyProtection="1">
      <alignment vertical="center"/>
      <protection locked="0"/>
    </xf>
    <xf numFmtId="164" fontId="4" fillId="0" borderId="85" xfId="0" applyNumberFormat="1" applyFont="1" applyFill="1" applyBorder="1" applyAlignment="1" applyProtection="1">
      <alignment vertical="center"/>
      <protection locked="0"/>
    </xf>
    <xf numFmtId="1" fontId="10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83" xfId="19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1" fontId="10" fillId="0" borderId="10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7" xfId="19" applyNumberFormat="1" applyFont="1" applyFill="1" applyBorder="1" applyAlignment="1" applyProtection="1">
      <alignment vertical="center" wrapText="1"/>
      <protection locked="0"/>
    </xf>
    <xf numFmtId="164" fontId="10" fillId="0" borderId="83" xfId="19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164" fontId="4" fillId="0" borderId="82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vertical="center"/>
      <protection locked="0"/>
    </xf>
    <xf numFmtId="1" fontId="8" fillId="0" borderId="10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6" xfId="19" applyNumberFormat="1" applyFont="1" applyFill="1" applyBorder="1" applyAlignment="1" applyProtection="1">
      <alignment vertical="center" wrapText="1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164" fontId="6" fillId="0" borderId="85" xfId="0" applyNumberFormat="1" applyFont="1" applyFill="1" applyBorder="1" applyAlignment="1" applyProtection="1">
      <alignment vertical="center"/>
      <protection locked="0"/>
    </xf>
    <xf numFmtId="1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3" xfId="19" applyNumberFormat="1" applyFont="1" applyFill="1" applyBorder="1" applyAlignment="1" applyProtection="1">
      <alignment vertical="center" wrapText="1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164" fontId="14" fillId="0" borderId="41" xfId="0" applyNumberFormat="1" applyFont="1" applyFill="1" applyBorder="1" applyAlignment="1" applyProtection="1">
      <alignment vertical="center"/>
      <protection locked="0"/>
    </xf>
    <xf numFmtId="164" fontId="14" fillId="0" borderId="62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1" fontId="8" fillId="0" borderId="11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19" xfId="19" applyNumberFormat="1" applyFont="1" applyFill="1" applyBorder="1" applyAlignment="1" applyProtection="1">
      <alignment vertical="center" wrapText="1"/>
      <protection locked="0"/>
    </xf>
    <xf numFmtId="164" fontId="78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164" fontId="8" fillId="0" borderId="31" xfId="0" applyNumberFormat="1" applyFont="1" applyFill="1" applyBorder="1" applyAlignment="1" applyProtection="1">
      <alignment vertical="center"/>
      <protection locked="0"/>
    </xf>
    <xf numFmtId="164" fontId="49" fillId="0" borderId="31" xfId="0" applyNumberFormat="1" applyFont="1" applyFill="1" applyBorder="1" applyAlignment="1" applyProtection="1">
      <alignment horizontal="right" vertical="center"/>
      <protection locked="0"/>
    </xf>
    <xf numFmtId="1" fontId="10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164" fontId="14" fillId="0" borderId="41" xfId="0" applyNumberFormat="1" applyFont="1" applyFill="1" applyBorder="1" applyAlignment="1" applyProtection="1">
      <alignment horizontal="right" vertical="center"/>
      <protection locked="0"/>
    </xf>
    <xf numFmtId="164" fontId="10" fillId="0" borderId="53" xfId="19" applyNumberFormat="1" applyFont="1" applyFill="1" applyBorder="1" applyAlignment="1" applyProtection="1">
      <alignment vertical="center" wrapText="1"/>
      <protection locked="0"/>
    </xf>
    <xf numFmtId="164" fontId="10" fillId="0" borderId="48" xfId="0" applyNumberFormat="1" applyFont="1" applyFill="1" applyBorder="1" applyAlignment="1" applyProtection="1">
      <alignment vertical="center"/>
      <protection locked="0"/>
    </xf>
    <xf numFmtId="164" fontId="8" fillId="0" borderId="117" xfId="19" applyNumberFormat="1" applyFont="1" applyFill="1" applyBorder="1" applyAlignment="1" applyProtection="1">
      <alignment vertical="center" wrapText="1"/>
      <protection locked="0"/>
    </xf>
    <xf numFmtId="3" fontId="6" fillId="0" borderId="122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6" fillId="0" borderId="104" xfId="0" applyNumberFormat="1" applyFont="1" applyFill="1" applyBorder="1" applyAlignment="1" applyProtection="1">
      <alignment vertical="center"/>
      <protection locked="0"/>
    </xf>
    <xf numFmtId="164" fontId="78" fillId="0" borderId="27" xfId="0" applyNumberFormat="1" applyFont="1" applyFill="1" applyBorder="1" applyAlignment="1" applyProtection="1">
      <alignment horizontal="right" vertical="center"/>
      <protection locked="0"/>
    </xf>
    <xf numFmtId="164" fontId="91" fillId="0" borderId="41" xfId="0" applyNumberFormat="1" applyFont="1" applyFill="1" applyBorder="1" applyAlignment="1" applyProtection="1">
      <alignment horizontal="right" vertical="center"/>
      <protection locked="0"/>
    </xf>
    <xf numFmtId="164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92" fillId="0" borderId="41" xfId="0" applyNumberFormat="1" applyFont="1" applyFill="1" applyBorder="1" applyAlignment="1" applyProtection="1">
      <alignment horizontal="right" vertical="center"/>
      <protection locked="0"/>
    </xf>
    <xf numFmtId="1" fontId="78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78" fillId="0" borderId="53" xfId="19" applyNumberFormat="1" applyFont="1" applyFill="1" applyBorder="1" applyAlignment="1" applyProtection="1">
      <alignment vertical="center" wrapText="1"/>
      <protection locked="0"/>
    </xf>
    <xf numFmtId="3" fontId="49" fillId="0" borderId="63" xfId="0" applyNumberFormat="1" applyFont="1" applyFill="1" applyBorder="1" applyAlignment="1" applyProtection="1">
      <alignment vertical="center"/>
      <protection locked="0"/>
    </xf>
    <xf numFmtId="3" fontId="49" fillId="0" borderId="6" xfId="0" applyNumberFormat="1" applyFont="1" applyFill="1" applyBorder="1" applyAlignment="1" applyProtection="1">
      <alignment vertical="center"/>
      <protection locked="0"/>
    </xf>
    <xf numFmtId="3" fontId="49" fillId="0" borderId="43" xfId="0" applyNumberFormat="1" applyFont="1" applyFill="1" applyBorder="1" applyAlignment="1" applyProtection="1">
      <alignment vertical="center"/>
      <protection locked="0"/>
    </xf>
    <xf numFmtId="164" fontId="78" fillId="0" borderId="41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164" fontId="4" fillId="0" borderId="85" xfId="0" applyNumberFormat="1" applyFont="1" applyBorder="1" applyAlignment="1">
      <alignment/>
    </xf>
    <xf numFmtId="164" fontId="8" fillId="0" borderId="117" xfId="0" applyNumberFormat="1" applyFont="1" applyBorder="1" applyAlignment="1">
      <alignment vertical="center" wrapText="1"/>
    </xf>
    <xf numFmtId="164" fontId="13" fillId="0" borderId="53" xfId="19" applyNumberFormat="1" applyFont="1" applyFill="1" applyBorder="1" applyAlignment="1" applyProtection="1">
      <alignment vertical="center" wrapText="1"/>
      <protection locked="0"/>
    </xf>
    <xf numFmtId="3" fontId="13" fillId="0" borderId="63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3" fillId="0" borderId="6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164" fontId="13" fillId="0" borderId="62" xfId="0" applyNumberFormat="1" applyFont="1" applyFill="1" applyBorder="1" applyAlignment="1" applyProtection="1">
      <alignment vertical="center"/>
      <protection locked="0"/>
    </xf>
    <xf numFmtId="3" fontId="10" fillId="0" borderId="63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164" fontId="10" fillId="0" borderId="62" xfId="0" applyNumberFormat="1" applyFont="1" applyFill="1" applyBorder="1" applyAlignment="1" applyProtection="1">
      <alignment vertical="center"/>
      <protection locked="0"/>
    </xf>
    <xf numFmtId="1" fontId="8" fillId="0" borderId="109" xfId="0" applyNumberFormat="1" applyFont="1" applyBorder="1" applyAlignment="1">
      <alignment horizontal="centerContinuous" vertical="center"/>
    </xf>
    <xf numFmtId="164" fontId="14" fillId="0" borderId="48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 vertical="center"/>
    </xf>
    <xf numFmtId="1" fontId="10" fillId="0" borderId="63" xfId="0" applyNumberFormat="1" applyFont="1" applyBorder="1" applyAlignment="1">
      <alignment horizontal="centerContinuous" vertical="center"/>
    </xf>
    <xf numFmtId="1" fontId="10" fillId="0" borderId="100" xfId="0" applyNumberFormat="1" applyFont="1" applyBorder="1" applyAlignment="1">
      <alignment horizontal="centerContinuous" vertical="center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1" fontId="8" fillId="0" borderId="109" xfId="0" applyNumberFormat="1" applyFont="1" applyBorder="1" applyAlignment="1">
      <alignment horizontal="centerContinuous" vertical="center"/>
    </xf>
    <xf numFmtId="1" fontId="10" fillId="0" borderId="51" xfId="0" applyNumberFormat="1" applyFont="1" applyBorder="1" applyAlignment="1">
      <alignment horizontal="centerContinuous" vertical="center"/>
    </xf>
    <xf numFmtId="164" fontId="14" fillId="0" borderId="36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>
      <alignment vertical="center"/>
    </xf>
    <xf numFmtId="1" fontId="8" fillId="0" borderId="100" xfId="0" applyNumberFormat="1" applyFont="1" applyBorder="1" applyAlignment="1">
      <alignment horizontal="centerContinuous" vertical="center"/>
    </xf>
    <xf numFmtId="1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164" fontId="10" fillId="0" borderId="33" xfId="0" applyNumberFormat="1" applyFont="1" applyFill="1" applyBorder="1" applyAlignment="1" applyProtection="1">
      <alignment vertical="center"/>
      <protection locked="0"/>
    </xf>
    <xf numFmtId="164" fontId="6" fillId="0" borderId="33" xfId="0" applyNumberFormat="1" applyFont="1" applyFill="1" applyBorder="1" applyAlignment="1" applyProtection="1">
      <alignment vertical="center"/>
      <protection locked="0"/>
    </xf>
    <xf numFmtId="164" fontId="78" fillId="0" borderId="112" xfId="0" applyNumberFormat="1" applyFont="1" applyFill="1" applyBorder="1" applyAlignment="1" applyProtection="1">
      <alignment horizontal="right" vertical="center"/>
      <protection locked="0"/>
    </xf>
    <xf numFmtId="164" fontId="6" fillId="0" borderId="31" xfId="0" applyNumberFormat="1" applyFont="1" applyFill="1" applyBorder="1" applyAlignment="1" applyProtection="1">
      <alignment vertical="center"/>
      <protection locked="0"/>
    </xf>
    <xf numFmtId="164" fontId="6" fillId="0" borderId="112" xfId="0" applyNumberFormat="1" applyFont="1" applyFill="1" applyBorder="1" applyAlignment="1" applyProtection="1">
      <alignment vertical="center"/>
      <protection locked="0"/>
    </xf>
    <xf numFmtId="1" fontId="8" fillId="0" borderId="11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19" xfId="19" applyNumberFormat="1" applyFont="1" applyFill="1" applyBorder="1" applyAlignment="1" applyProtection="1">
      <alignment vertical="center" wrapText="1"/>
      <protection locked="0"/>
    </xf>
    <xf numFmtId="3" fontId="6" fillId="0" borderId="116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164" fontId="10" fillId="0" borderId="86" xfId="19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vertical="center"/>
    </xf>
    <xf numFmtId="3" fontId="0" fillId="0" borderId="88" xfId="0" applyNumberFormat="1" applyFont="1" applyBorder="1" applyAlignment="1">
      <alignment/>
    </xf>
    <xf numFmtId="3" fontId="4" fillId="0" borderId="100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horizontal="right" vertical="center"/>
      <protection locked="0"/>
    </xf>
    <xf numFmtId="164" fontId="4" fillId="0" borderId="85" xfId="0" applyNumberFormat="1" applyFont="1" applyFill="1" applyBorder="1" applyAlignment="1" applyProtection="1">
      <alignment horizontal="right" vertical="center"/>
      <protection locked="0"/>
    </xf>
    <xf numFmtId="164" fontId="4" fillId="0" borderId="41" xfId="0" applyNumberFormat="1" applyFont="1" applyFill="1" applyBorder="1" applyAlignment="1" applyProtection="1">
      <alignment horizontal="right" vertical="center"/>
      <protection locked="0"/>
    </xf>
    <xf numFmtId="164" fontId="6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81" xfId="19" applyNumberFormat="1" applyFont="1" applyFill="1" applyBorder="1" applyAlignment="1" applyProtection="1">
      <alignment horizontal="left" vertical="center" wrapText="1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34" xfId="0" applyNumberFormat="1" applyFont="1" applyFill="1" applyBorder="1" applyAlignment="1" applyProtection="1">
      <alignment horizontal="right" vertical="center"/>
      <protection locked="0"/>
    </xf>
    <xf numFmtId="164" fontId="6" fillId="0" borderId="33" xfId="0" applyNumberFormat="1" applyFont="1" applyFill="1" applyBorder="1" applyAlignment="1" applyProtection="1">
      <alignment horizontal="right" vertical="center"/>
      <protection locked="0"/>
    </xf>
    <xf numFmtId="3" fontId="6" fillId="0" borderId="103" xfId="0" applyNumberFormat="1" applyFont="1" applyFill="1" applyBorder="1" applyAlignment="1" applyProtection="1">
      <alignment horizontal="right" vertical="center"/>
      <protection locked="0"/>
    </xf>
    <xf numFmtId="164" fontId="6" fillId="0" borderId="108" xfId="0" applyNumberFormat="1" applyFont="1" applyFill="1" applyBorder="1" applyAlignment="1" applyProtection="1">
      <alignment horizontal="right" vertical="center"/>
      <protection locked="0"/>
    </xf>
    <xf numFmtId="164" fontId="78" fillId="0" borderId="85" xfId="0" applyNumberFormat="1" applyFont="1" applyFill="1" applyBorder="1" applyAlignment="1" applyProtection="1">
      <alignment horizontal="right" vertical="center"/>
      <protection locked="0"/>
    </xf>
    <xf numFmtId="164" fontId="49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164" fontId="4" fillId="0" borderId="33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164" fontId="4" fillId="0" borderId="31" xfId="0" applyNumberFormat="1" applyFont="1" applyFill="1" applyBorder="1" applyAlignment="1" applyProtection="1">
      <alignment vertical="center"/>
      <protection locked="0"/>
    </xf>
    <xf numFmtId="164" fontId="4" fillId="0" borderId="112" xfId="0" applyNumberFormat="1" applyFont="1" applyFill="1" applyBorder="1" applyAlignment="1" applyProtection="1">
      <alignment vertical="center"/>
      <protection locked="0"/>
    </xf>
    <xf numFmtId="0" fontId="10" fillId="0" borderId="100" xfId="0" applyNumberFormat="1" applyFont="1" applyFill="1" applyBorder="1" applyAlignment="1" applyProtection="1">
      <alignment horizontal="centerContinuous" vertical="center"/>
      <protection locked="0"/>
    </xf>
    <xf numFmtId="0" fontId="92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92" fillId="0" borderId="53" xfId="19" applyNumberFormat="1" applyFont="1" applyFill="1" applyBorder="1" applyAlignment="1" applyProtection="1">
      <alignment vertical="center" wrapText="1"/>
      <protection locked="0"/>
    </xf>
    <xf numFmtId="164" fontId="74" fillId="0" borderId="0" xfId="0" applyNumberFormat="1" applyFont="1" applyBorder="1" applyAlignment="1">
      <alignment/>
    </xf>
    <xf numFmtId="0" fontId="92" fillId="0" borderId="100" xfId="0" applyNumberFormat="1" applyFont="1" applyFill="1" applyBorder="1" applyAlignment="1" applyProtection="1">
      <alignment horizontal="centerContinuous" vertical="center"/>
      <protection locked="0"/>
    </xf>
    <xf numFmtId="164" fontId="92" fillId="0" borderId="86" xfId="19" applyNumberFormat="1" applyFont="1" applyFill="1" applyBorder="1" applyAlignment="1" applyProtection="1">
      <alignment vertical="center" wrapText="1"/>
      <protection locked="0"/>
    </xf>
    <xf numFmtId="3" fontId="14" fillId="0" borderId="100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Fill="1" applyBorder="1" applyAlignment="1" applyProtection="1">
      <alignment vertical="center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164" fontId="13" fillId="0" borderId="27" xfId="0" applyNumberFormat="1" applyFont="1" applyFill="1" applyBorder="1" applyAlignment="1" applyProtection="1">
      <alignment vertical="center"/>
      <protection locked="0"/>
    </xf>
    <xf numFmtId="164" fontId="14" fillId="0" borderId="27" xfId="0" applyNumberFormat="1" applyFont="1" applyFill="1" applyBorder="1" applyAlignment="1" applyProtection="1">
      <alignment vertical="center"/>
      <protection locked="0"/>
    </xf>
    <xf numFmtId="164" fontId="14" fillId="0" borderId="85" xfId="0" applyNumberFormat="1" applyFont="1" applyFill="1" applyBorder="1" applyAlignment="1" applyProtection="1">
      <alignment vertical="center"/>
      <protection locked="0"/>
    </xf>
    <xf numFmtId="164" fontId="74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63" xfId="0" applyNumberFormat="1" applyFont="1" applyFill="1" applyBorder="1" applyAlignment="1" applyProtection="1">
      <alignment horizontal="centerContinuous"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164" fontId="92" fillId="0" borderId="27" xfId="0" applyNumberFormat="1" applyFont="1" applyFill="1" applyBorder="1" applyAlignment="1" applyProtection="1">
      <alignment horizontal="right" vertical="center"/>
      <protection locked="0"/>
    </xf>
    <xf numFmtId="1" fontId="8" fillId="0" borderId="109" xfId="0" applyNumberFormat="1" applyFont="1" applyFill="1" applyBorder="1" applyAlignment="1" applyProtection="1">
      <alignment horizontal="center" vertical="center"/>
      <protection locked="0"/>
    </xf>
    <xf numFmtId="164" fontId="8" fillId="0" borderId="9" xfId="19" applyNumberFormat="1" applyFont="1" applyFill="1" applyBorder="1" applyAlignment="1" applyProtection="1">
      <alignment vertical="center" wrapText="1"/>
      <protection locked="0"/>
    </xf>
    <xf numFmtId="164" fontId="10" fillId="0" borderId="6" xfId="19" applyNumberFormat="1" applyFont="1" applyFill="1" applyBorder="1" applyAlignment="1" applyProtection="1">
      <alignment vertical="center" wrapText="1"/>
      <protection locked="0"/>
    </xf>
    <xf numFmtId="164" fontId="10" fillId="0" borderId="46" xfId="19" applyNumberFormat="1" applyFont="1" applyFill="1" applyBorder="1" applyAlignment="1" applyProtection="1">
      <alignment vertical="center" wrapText="1"/>
      <protection locked="0"/>
    </xf>
    <xf numFmtId="164" fontId="13" fillId="0" borderId="122" xfId="0" applyNumberFormat="1" applyFont="1" applyFill="1" applyBorder="1" applyAlignment="1" applyProtection="1">
      <alignment horizontal="right" vertical="center"/>
      <protection locked="0"/>
    </xf>
    <xf numFmtId="164" fontId="78" fillId="0" borderId="0" xfId="0" applyNumberFormat="1" applyFont="1" applyBorder="1" applyAlignment="1">
      <alignment/>
    </xf>
    <xf numFmtId="164" fontId="14" fillId="0" borderId="82" xfId="0" applyNumberFormat="1" applyFont="1" applyFill="1" applyBorder="1" applyAlignment="1" applyProtection="1">
      <alignment horizontal="right" vertical="center"/>
      <protection locked="0"/>
    </xf>
    <xf numFmtId="164" fontId="92" fillId="0" borderId="62" xfId="0" applyNumberFormat="1" applyFont="1" applyFill="1" applyBorder="1" applyAlignment="1" applyProtection="1">
      <alignment horizontal="right" vertical="center"/>
      <protection locked="0"/>
    </xf>
    <xf numFmtId="3" fontId="6" fillId="0" borderId="120" xfId="0" applyNumberFormat="1" applyFont="1" applyFill="1" applyBorder="1" applyAlignment="1" applyProtection="1">
      <alignment vertical="center"/>
      <protection locked="0"/>
    </xf>
    <xf numFmtId="3" fontId="6" fillId="0" borderId="120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122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88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105" xfId="0" applyNumberFormat="1" applyFont="1" applyFill="1" applyBorder="1" applyAlignment="1" applyProtection="1">
      <alignment horizontal="right" vertical="center"/>
      <protection locked="0"/>
    </xf>
    <xf numFmtId="164" fontId="13" fillId="0" borderId="115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Fill="1" applyBorder="1" applyAlignment="1" applyProtection="1">
      <alignment vertical="center"/>
      <protection locked="0"/>
    </xf>
    <xf numFmtId="164" fontId="13" fillId="0" borderId="121" xfId="0" applyNumberFormat="1" applyFont="1" applyFill="1" applyBorder="1" applyAlignment="1" applyProtection="1">
      <alignment horizontal="right" vertical="center"/>
      <protection locked="0"/>
    </xf>
    <xf numFmtId="164" fontId="9" fillId="0" borderId="53" xfId="19" applyNumberFormat="1" applyFont="1" applyFill="1" applyBorder="1" applyAlignment="1" applyProtection="1">
      <alignment vertical="center" wrapText="1"/>
      <protection locked="0"/>
    </xf>
    <xf numFmtId="164" fontId="14" fillId="0" borderId="112" xfId="0" applyNumberFormat="1" applyFont="1" applyFill="1" applyBorder="1" applyAlignment="1" applyProtection="1">
      <alignment horizontal="right" vertical="center"/>
      <protection locked="0"/>
    </xf>
    <xf numFmtId="164" fontId="10" fillId="0" borderId="39" xfId="19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horizontal="right" vertical="center"/>
      <protection locked="0"/>
    </xf>
    <xf numFmtId="164" fontId="13" fillId="0" borderId="88" xfId="0" applyNumberFormat="1" applyFont="1" applyFill="1" applyBorder="1" applyAlignment="1" applyProtection="1">
      <alignment horizontal="right" vertical="center"/>
      <protection locked="0"/>
    </xf>
    <xf numFmtId="164" fontId="10" fillId="0" borderId="118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164" fontId="78" fillId="0" borderId="0" xfId="0" applyNumberFormat="1" applyFont="1" applyBorder="1" applyAlignment="1">
      <alignment/>
    </xf>
    <xf numFmtId="164" fontId="9" fillId="0" borderId="39" xfId="19" applyNumberFormat="1" applyFont="1" applyFill="1" applyBorder="1" applyAlignment="1" applyProtection="1">
      <alignment vertical="center" wrapText="1"/>
      <protection locked="0"/>
    </xf>
    <xf numFmtId="164" fontId="10" fillId="0" borderId="41" xfId="19" applyNumberFormat="1" applyFont="1" applyFill="1" applyBorder="1" applyAlignment="1" applyProtection="1">
      <alignment vertical="center" wrapText="1"/>
      <protection locked="0"/>
    </xf>
    <xf numFmtId="164" fontId="10" fillId="0" borderId="6" xfId="19" applyNumberFormat="1" applyFont="1" applyFill="1" applyBorder="1" applyAlignment="1" applyProtection="1">
      <alignment vertical="center" wrapText="1"/>
      <protection locked="0"/>
    </xf>
    <xf numFmtId="164" fontId="14" fillId="0" borderId="105" xfId="0" applyNumberFormat="1" applyFont="1" applyFill="1" applyBorder="1" applyAlignment="1" applyProtection="1">
      <alignment horizontal="right" vertical="center"/>
      <protection locked="0"/>
    </xf>
    <xf numFmtId="164" fontId="14" fillId="0" borderId="108" xfId="0" applyNumberFormat="1" applyFont="1" applyFill="1" applyBorder="1" applyAlignment="1" applyProtection="1">
      <alignment horizontal="right" vertical="center"/>
      <protection locked="0"/>
    </xf>
    <xf numFmtId="164" fontId="14" fillId="0" borderId="33" xfId="0" applyNumberFormat="1" applyFont="1" applyFill="1" applyBorder="1" applyAlignment="1" applyProtection="1">
      <alignment horizontal="right" vertical="center"/>
      <protection locked="0"/>
    </xf>
    <xf numFmtId="164" fontId="8" fillId="0" borderId="102" xfId="19" applyNumberFormat="1" applyFont="1" applyFill="1" applyBorder="1" applyAlignment="1" applyProtection="1">
      <alignment vertical="center" wrapText="1"/>
      <protection locked="0"/>
    </xf>
    <xf numFmtId="164" fontId="10" fillId="0" borderId="112" xfId="0" applyNumberFormat="1" applyFont="1" applyFill="1" applyBorder="1" applyAlignment="1" applyProtection="1">
      <alignment vertical="center"/>
      <protection locked="0"/>
    </xf>
    <xf numFmtId="164" fontId="4" fillId="0" borderId="112" xfId="0" applyNumberFormat="1" applyFont="1" applyFill="1" applyBorder="1" applyAlignment="1" applyProtection="1">
      <alignment horizontal="right" vertical="center"/>
      <protection locked="0"/>
    </xf>
    <xf numFmtId="164" fontId="10" fillId="0" borderId="85" xfId="0" applyNumberFormat="1" applyFont="1" applyFill="1" applyBorder="1" applyAlignment="1" applyProtection="1">
      <alignment vertical="center"/>
      <protection locked="0"/>
    </xf>
    <xf numFmtId="164" fontId="8" fillId="0" borderId="46" xfId="19" applyNumberFormat="1" applyFont="1" applyFill="1" applyBorder="1" applyAlignment="1" applyProtection="1">
      <alignment vertical="center" wrapText="1"/>
      <protection locked="0"/>
    </xf>
    <xf numFmtId="164" fontId="13" fillId="0" borderId="85" xfId="0" applyNumberFormat="1" applyFont="1" applyFill="1" applyBorder="1" applyAlignment="1" applyProtection="1">
      <alignment vertical="center"/>
      <protection locked="0"/>
    </xf>
    <xf numFmtId="164" fontId="74" fillId="0" borderId="27" xfId="0" applyNumberFormat="1" applyFont="1" applyFill="1" applyBorder="1" applyAlignment="1" applyProtection="1">
      <alignment horizontal="right" vertical="center"/>
      <protection locked="0"/>
    </xf>
    <xf numFmtId="164" fontId="10" fillId="0" borderId="46" xfId="19" applyNumberFormat="1" applyFont="1" applyFill="1" applyBorder="1" applyAlignment="1" applyProtection="1">
      <alignment vertical="center" wrapText="1"/>
      <protection locked="0"/>
    </xf>
    <xf numFmtId="164" fontId="8" fillId="0" borderId="9" xfId="19" applyNumberFormat="1" applyFont="1" applyFill="1" applyBorder="1" applyAlignment="1" applyProtection="1">
      <alignment vertical="center" wrapText="1"/>
      <protection locked="0"/>
    </xf>
    <xf numFmtId="164" fontId="14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6" xfId="19" applyNumberFormat="1" applyFont="1" applyFill="1" applyBorder="1" applyAlignment="1" applyProtection="1">
      <alignment vertical="center" wrapText="1"/>
      <protection locked="0"/>
    </xf>
    <xf numFmtId="164" fontId="8" fillId="0" borderId="46" xfId="19" applyNumberFormat="1" applyFont="1" applyFill="1" applyBorder="1" applyAlignment="1" applyProtection="1">
      <alignment vertical="center" wrapText="1"/>
      <protection locked="0"/>
    </xf>
    <xf numFmtId="164" fontId="13" fillId="0" borderId="86" xfId="0" applyNumberFormat="1" applyFont="1" applyFill="1" applyBorder="1" applyAlignment="1" applyProtection="1">
      <alignment horizontal="right" vertical="center"/>
      <protection locked="0"/>
    </xf>
    <xf numFmtId="164" fontId="78" fillId="0" borderId="86" xfId="0" applyNumberFormat="1" applyFont="1" applyFill="1" applyBorder="1" applyAlignment="1" applyProtection="1">
      <alignment horizontal="right" vertical="center"/>
      <protection locked="0"/>
    </xf>
    <xf numFmtId="164" fontId="13" fillId="0" borderId="117" xfId="0" applyNumberFormat="1" applyFont="1" applyFill="1" applyBorder="1" applyAlignment="1" applyProtection="1">
      <alignment horizontal="right" vertical="center"/>
      <protection locked="0"/>
    </xf>
    <xf numFmtId="164" fontId="13" fillId="0" borderId="83" xfId="0" applyNumberFormat="1" applyFont="1" applyFill="1" applyBorder="1" applyAlignment="1" applyProtection="1">
      <alignment horizontal="right" vertical="center"/>
      <protection locked="0"/>
    </xf>
    <xf numFmtId="164" fontId="10" fillId="0" borderId="39" xfId="19" applyNumberFormat="1" applyFont="1" applyFill="1" applyBorder="1" applyAlignment="1" applyProtection="1">
      <alignment vertical="center" wrapText="1"/>
      <protection locked="0"/>
    </xf>
    <xf numFmtId="164" fontId="10" fillId="0" borderId="9" xfId="19" applyNumberFormat="1" applyFont="1" applyFill="1" applyBorder="1" applyAlignment="1" applyProtection="1">
      <alignment vertical="center" wrapText="1"/>
      <protection locked="0"/>
    </xf>
    <xf numFmtId="164" fontId="10" fillId="0" borderId="82" xfId="0" applyNumberFormat="1" applyFont="1" applyFill="1" applyBorder="1" applyAlignment="1" applyProtection="1">
      <alignment vertical="center"/>
      <protection locked="0"/>
    </xf>
    <xf numFmtId="3" fontId="4" fillId="0" borderId="121" xfId="0" applyNumberFormat="1" applyFont="1" applyFill="1" applyBorder="1" applyAlignment="1" applyProtection="1">
      <alignment vertical="center"/>
      <protection locked="0"/>
    </xf>
    <xf numFmtId="164" fontId="92" fillId="0" borderId="36" xfId="0" applyNumberFormat="1" applyFont="1" applyFill="1" applyBorder="1" applyAlignment="1" applyProtection="1">
      <alignment horizontal="right" vertical="center"/>
      <protection locked="0"/>
    </xf>
    <xf numFmtId="164" fontId="78" fillId="0" borderId="117" xfId="0" applyNumberFormat="1" applyFont="1" applyFill="1" applyBorder="1" applyAlignment="1" applyProtection="1">
      <alignment horizontal="right" vertical="center"/>
      <protection locked="0"/>
    </xf>
    <xf numFmtId="164" fontId="93" fillId="0" borderId="48" xfId="0" applyNumberFormat="1" applyFont="1" applyFill="1" applyBorder="1" applyAlignment="1" applyProtection="1">
      <alignment horizontal="right" vertical="center"/>
      <protection locked="0"/>
    </xf>
    <xf numFmtId="164" fontId="91" fillId="0" borderId="48" xfId="0" applyNumberFormat="1" applyFont="1" applyFill="1" applyBorder="1" applyAlignment="1" applyProtection="1">
      <alignment horizontal="right" vertical="center"/>
      <protection locked="0"/>
    </xf>
    <xf numFmtId="164" fontId="13" fillId="0" borderId="48" xfId="0" applyNumberFormat="1" applyFont="1" applyFill="1" applyBorder="1" applyAlignment="1" applyProtection="1">
      <alignment vertical="center"/>
      <protection locked="0"/>
    </xf>
    <xf numFmtId="3" fontId="6" fillId="0" borderId="120" xfId="0" applyNumberFormat="1" applyFont="1" applyFill="1" applyBorder="1" applyAlignment="1" applyProtection="1">
      <alignment horizontal="right" vertical="center"/>
      <protection locked="0"/>
    </xf>
    <xf numFmtId="164" fontId="10" fillId="0" borderId="36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1" fontId="92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92" fillId="0" borderId="41" xfId="19" applyNumberFormat="1" applyFont="1" applyFill="1" applyBorder="1" applyAlignment="1" applyProtection="1">
      <alignment vertical="center" wrapText="1"/>
      <protection locked="0"/>
    </xf>
    <xf numFmtId="3" fontId="92" fillId="0" borderId="63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2" fillId="0" borderId="43" xfId="0" applyNumberFormat="1" applyFont="1" applyFill="1" applyBorder="1" applyAlignment="1" applyProtection="1">
      <alignment vertical="center"/>
      <protection locked="0"/>
    </xf>
    <xf numFmtId="3" fontId="92" fillId="0" borderId="6" xfId="0" applyNumberFormat="1" applyFont="1" applyFill="1" applyBorder="1" applyAlignment="1" applyProtection="1">
      <alignment vertical="center"/>
      <protection locked="0"/>
    </xf>
    <xf numFmtId="164" fontId="92" fillId="0" borderId="41" xfId="0" applyNumberFormat="1" applyFont="1" applyFill="1" applyBorder="1" applyAlignment="1" applyProtection="1">
      <alignment vertical="center"/>
      <protection locked="0"/>
    </xf>
    <xf numFmtId="164" fontId="78" fillId="0" borderId="62" xfId="0" applyNumberFormat="1" applyFont="1" applyFill="1" applyBorder="1" applyAlignment="1" applyProtection="1">
      <alignment horizontal="right" vertical="center"/>
      <protection locked="0"/>
    </xf>
    <xf numFmtId="164" fontId="8" fillId="0" borderId="12" xfId="19" applyNumberFormat="1" applyFont="1" applyFill="1" applyBorder="1" applyAlignment="1" applyProtection="1">
      <alignment vertical="center" wrapText="1"/>
      <protection locked="0"/>
    </xf>
    <xf numFmtId="164" fontId="78" fillId="0" borderId="105" xfId="0" applyNumberFormat="1" applyFont="1" applyFill="1" applyBorder="1" applyAlignment="1" applyProtection="1">
      <alignment horizontal="right" vertical="center"/>
      <protection locked="0"/>
    </xf>
    <xf numFmtId="1" fontId="8" fillId="0" borderId="103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19" applyNumberFormat="1" applyFont="1" applyFill="1" applyBorder="1" applyAlignment="1" applyProtection="1">
      <alignment vertical="center" wrapText="1"/>
      <protection locked="0"/>
    </xf>
    <xf numFmtId="164" fontId="78" fillId="0" borderId="41" xfId="0" applyNumberFormat="1" applyFont="1" applyFill="1" applyBorder="1" applyAlignment="1" applyProtection="1">
      <alignment horizontal="right" vertical="center"/>
      <protection locked="0"/>
    </xf>
    <xf numFmtId="164" fontId="49" fillId="0" borderId="41" xfId="0" applyNumberFormat="1" applyFont="1" applyFill="1" applyBorder="1" applyAlignment="1" applyProtection="1">
      <alignment horizontal="right" vertical="center"/>
      <protection locked="0"/>
    </xf>
    <xf numFmtId="164" fontId="78" fillId="0" borderId="48" xfId="0" applyNumberFormat="1" applyFont="1" applyFill="1" applyBorder="1" applyAlignment="1" applyProtection="1">
      <alignment vertical="center"/>
      <protection locked="0"/>
    </xf>
    <xf numFmtId="3" fontId="6" fillId="0" borderId="88" xfId="0" applyNumberFormat="1" applyFont="1" applyFill="1" applyBorder="1" applyAlignment="1" applyProtection="1">
      <alignment vertical="center"/>
      <protection locked="0"/>
    </xf>
    <xf numFmtId="3" fontId="6" fillId="0" borderId="117" xfId="0" applyNumberFormat="1" applyFont="1" applyFill="1" applyBorder="1" applyAlignment="1" applyProtection="1">
      <alignment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3" xfId="0" applyFont="1" applyBorder="1" applyAlignment="1">
      <alignment horizontal="left" vertical="center" wrapText="1"/>
    </xf>
    <xf numFmtId="3" fontId="14" fillId="0" borderId="6" xfId="0" applyNumberFormat="1" applyFont="1" applyBorder="1" applyAlignment="1">
      <alignment horizontal="right" vertical="center"/>
    </xf>
    <xf numFmtId="3" fontId="14" fillId="0" borderId="46" xfId="0" applyNumberFormat="1" applyFont="1" applyFill="1" applyBorder="1" applyAlignment="1" applyProtection="1">
      <alignment vertical="center"/>
      <protection locked="0"/>
    </xf>
    <xf numFmtId="164" fontId="92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164" fontId="13" fillId="0" borderId="63" xfId="19" applyNumberFormat="1" applyFont="1" applyFill="1" applyBorder="1" applyAlignment="1" applyProtection="1">
      <alignment vertical="center" wrapText="1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164" fontId="4" fillId="0" borderId="41" xfId="0" applyNumberFormat="1" applyFont="1" applyFill="1" applyBorder="1" applyAlignment="1" applyProtection="1">
      <alignment horizontal="right" vertical="center"/>
      <protection locked="0"/>
    </xf>
    <xf numFmtId="3" fontId="14" fillId="0" borderId="43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0" fontId="13" fillId="0" borderId="53" xfId="0" applyFont="1" applyBorder="1" applyAlignment="1">
      <alignment horizontal="left" vertical="center"/>
    </xf>
    <xf numFmtId="0" fontId="13" fillId="0" borderId="53" xfId="0" applyFont="1" applyBorder="1" applyAlignment="1">
      <alignment/>
    </xf>
    <xf numFmtId="0" fontId="13" fillId="0" borderId="53" xfId="0" applyFont="1" applyBorder="1" applyAlignment="1">
      <alignment vertical="center"/>
    </xf>
    <xf numFmtId="164" fontId="14" fillId="0" borderId="108" xfId="0" applyNumberFormat="1" applyFont="1" applyFill="1" applyBorder="1" applyAlignment="1" applyProtection="1">
      <alignment horizontal="right" vertical="center"/>
      <protection locked="0"/>
    </xf>
    <xf numFmtId="3" fontId="6" fillId="0" borderId="115" xfId="0" applyNumberFormat="1" applyFont="1" applyFill="1" applyBorder="1" applyAlignment="1" applyProtection="1">
      <alignment vertical="center"/>
      <protection locked="0"/>
    </xf>
    <xf numFmtId="1" fontId="78" fillId="0" borderId="109" xfId="0" applyNumberFormat="1" applyFont="1" applyFill="1" applyBorder="1" applyAlignment="1" applyProtection="1">
      <alignment horizontal="centerContinuous" vertical="center"/>
      <protection locked="0"/>
    </xf>
    <xf numFmtId="164" fontId="78" fillId="0" borderId="117" xfId="19" applyNumberFormat="1" applyFont="1" applyFill="1" applyBorder="1" applyAlignment="1" applyProtection="1">
      <alignment vertical="center" wrapText="1"/>
      <protection locked="0"/>
    </xf>
    <xf numFmtId="3" fontId="49" fillId="0" borderId="109" xfId="0" applyNumberFormat="1" applyFont="1" applyFill="1" applyBorder="1" applyAlignment="1" applyProtection="1">
      <alignment vertical="center"/>
      <protection locked="0"/>
    </xf>
    <xf numFmtId="3" fontId="49" fillId="0" borderId="9" xfId="0" applyNumberFormat="1" applyFont="1" applyFill="1" applyBorder="1" applyAlignment="1" applyProtection="1">
      <alignment vertical="center"/>
      <protection locked="0"/>
    </xf>
    <xf numFmtId="3" fontId="49" fillId="0" borderId="50" xfId="0" applyNumberFormat="1" applyFont="1" applyFill="1" applyBorder="1" applyAlignment="1" applyProtection="1">
      <alignment vertical="center"/>
      <protection locked="0"/>
    </xf>
    <xf numFmtId="164" fontId="14" fillId="0" borderId="118" xfId="0" applyNumberFormat="1" applyFont="1" applyFill="1" applyBorder="1" applyAlignment="1" applyProtection="1">
      <alignment vertical="center"/>
      <protection locked="0"/>
    </xf>
    <xf numFmtId="3" fontId="10" fillId="0" borderId="100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164" fontId="92" fillId="0" borderId="85" xfId="0" applyNumberFormat="1" applyFont="1" applyFill="1" applyBorder="1" applyAlignment="1" applyProtection="1">
      <alignment horizontal="right" vertical="center"/>
      <protection locked="0"/>
    </xf>
    <xf numFmtId="3" fontId="14" fillId="0" borderId="64" xfId="0" applyNumberFormat="1" applyFont="1" applyFill="1" applyBorder="1" applyAlignment="1" applyProtection="1">
      <alignment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164" fontId="4" fillId="0" borderId="108" xfId="0" applyNumberFormat="1" applyFont="1" applyFill="1" applyBorder="1" applyAlignment="1" applyProtection="1">
      <alignment vertical="center"/>
      <protection locked="0"/>
    </xf>
    <xf numFmtId="1" fontId="6" fillId="0" borderId="101" xfId="0" applyNumberFormat="1" applyFont="1" applyFill="1" applyBorder="1" applyAlignment="1" applyProtection="1">
      <alignment horizontal="centerContinuous" vertical="center"/>
      <protection locked="0"/>
    </xf>
    <xf numFmtId="1" fontId="6" fillId="0" borderId="115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02" xfId="0" applyNumberFormat="1" applyFont="1" applyFill="1" applyBorder="1" applyAlignment="1" applyProtection="1">
      <alignment vertical="center"/>
      <protection locked="0"/>
    </xf>
    <xf numFmtId="1" fontId="49" fillId="0" borderId="64" xfId="0" applyNumberFormat="1" applyFont="1" applyFill="1" applyBorder="1" applyAlignment="1" applyProtection="1">
      <alignment horizontal="centerContinuous" vertical="center"/>
      <protection locked="0"/>
    </xf>
    <xf numFmtId="1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9" fillId="0" borderId="64" xfId="0" applyNumberFormat="1" applyFont="1" applyFill="1" applyBorder="1" applyAlignment="1" applyProtection="1">
      <alignment vertical="center"/>
      <protection locked="0"/>
    </xf>
    <xf numFmtId="164" fontId="78" fillId="0" borderId="0" xfId="0" applyNumberFormat="1" applyFont="1" applyFill="1" applyBorder="1" applyAlignment="1" applyProtection="1">
      <alignment horizontal="right" vertical="center"/>
      <protection locked="0"/>
    </xf>
    <xf numFmtId="3" fontId="78" fillId="0" borderId="6" xfId="0" applyNumberFormat="1" applyFont="1" applyFill="1" applyBorder="1" applyAlignment="1" applyProtection="1">
      <alignment vertical="center"/>
      <protection locked="0"/>
    </xf>
    <xf numFmtId="3" fontId="49" fillId="0" borderId="107" xfId="0" applyNumberFormat="1" applyFont="1" applyFill="1" applyBorder="1" applyAlignment="1" applyProtection="1">
      <alignment vertical="center"/>
      <protection locked="0"/>
    </xf>
    <xf numFmtId="3" fontId="49" fillId="0" borderId="95" xfId="0" applyNumberFormat="1" applyFont="1" applyFill="1" applyBorder="1" applyAlignment="1" applyProtection="1">
      <alignment wrapText="1"/>
      <protection locked="0"/>
    </xf>
    <xf numFmtId="3" fontId="49" fillId="0" borderId="97" xfId="0" applyNumberFormat="1" applyFont="1" applyFill="1" applyBorder="1" applyAlignment="1" applyProtection="1">
      <alignment/>
      <protection locked="0"/>
    </xf>
    <xf numFmtId="3" fontId="49" fillId="0" borderId="18" xfId="0" applyNumberFormat="1" applyFont="1" applyFill="1" applyBorder="1" applyAlignment="1" applyProtection="1">
      <alignment vertical="center"/>
      <protection locked="0"/>
    </xf>
    <xf numFmtId="3" fontId="49" fillId="0" borderId="18" xfId="0" applyNumberFormat="1" applyFont="1" applyFill="1" applyBorder="1" applyAlignment="1" applyProtection="1">
      <alignment/>
      <protection locked="0"/>
    </xf>
    <xf numFmtId="164" fontId="78" fillId="0" borderId="96" xfId="0" applyNumberFormat="1" applyFont="1" applyFill="1" applyBorder="1" applyAlignment="1" applyProtection="1">
      <alignment horizontal="right" vertical="center"/>
      <protection locked="0"/>
    </xf>
    <xf numFmtId="164" fontId="78" fillId="0" borderId="95" xfId="0" applyNumberFormat="1" applyFont="1" applyFill="1" applyBorder="1" applyAlignment="1" applyProtection="1">
      <alignment/>
      <protection locked="0"/>
    </xf>
    <xf numFmtId="3" fontId="78" fillId="0" borderId="95" xfId="0" applyNumberFormat="1" applyFont="1" applyFill="1" applyBorder="1" applyAlignment="1" applyProtection="1">
      <alignment/>
      <protection locked="0"/>
    </xf>
    <xf numFmtId="164" fontId="78" fillId="0" borderId="93" xfId="0" applyNumberFormat="1" applyFont="1" applyFill="1" applyBorder="1" applyAlignment="1" applyProtection="1">
      <alignment/>
      <protection locked="0"/>
    </xf>
    <xf numFmtId="3" fontId="49" fillId="0" borderId="94" xfId="0" applyNumberFormat="1" applyFont="1" applyFill="1" applyBorder="1" applyAlignment="1" applyProtection="1">
      <alignment/>
      <protection locked="0"/>
    </xf>
    <xf numFmtId="3" fontId="49" fillId="0" borderId="96" xfId="0" applyNumberFormat="1" applyFont="1" applyFill="1" applyBorder="1" applyAlignment="1" applyProtection="1">
      <alignment/>
      <protection locked="0"/>
    </xf>
    <xf numFmtId="3" fontId="49" fillId="0" borderId="0" xfId="0" applyNumberFormat="1" applyFont="1" applyFill="1" applyBorder="1" applyAlignment="1" applyProtection="1">
      <alignment/>
      <protection locked="0"/>
    </xf>
    <xf numFmtId="3" fontId="4" fillId="0" borderId="99" xfId="0" applyNumberFormat="1" applyFont="1" applyBorder="1" applyAlignment="1">
      <alignment/>
    </xf>
    <xf numFmtId="164" fontId="10" fillId="0" borderId="31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ZYLA\Wyk2004\I%20pol\ZAMP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"/>
      <sheetName val="GK"/>
      <sheetName val="E"/>
      <sheetName val="BZP"/>
      <sheetName val="PA"/>
      <sheetName val="KS"/>
      <sheetName val="IK-in"/>
      <sheetName val="KM"/>
      <sheetName val="IK - kom"/>
      <sheetName val="FK"/>
      <sheetName val="FN"/>
      <sheetName val="N"/>
      <sheetName val="A"/>
      <sheetName val="RWZ"/>
      <sheetName val="PI"/>
      <sheetName val="SO"/>
      <sheetName val="OA"/>
      <sheetName val="całość"/>
    </sheetNames>
    <sheetDataSet>
      <sheetData sheetId="0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1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2">
        <row r="7">
          <cell r="I7">
            <v>4</v>
          </cell>
        </row>
      </sheetData>
      <sheetData sheetId="3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4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5">
        <row r="7">
          <cell r="I7">
            <v>2</v>
          </cell>
        </row>
      </sheetData>
      <sheetData sheetId="6">
        <row r="7">
          <cell r="I7">
            <v>7</v>
          </cell>
        </row>
      </sheetData>
      <sheetData sheetId="7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8">
        <row r="7">
          <cell r="I7">
            <v>14</v>
          </cell>
        </row>
      </sheetData>
      <sheetData sheetId="9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10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13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15">
        <row r="8">
          <cell r="C8">
            <v>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1" customWidth="1"/>
    <col min="2" max="2" width="23.875" style="1" customWidth="1"/>
    <col min="3" max="3" width="14.00390625" style="1" customWidth="1"/>
    <col min="4" max="4" width="13.25390625" style="1" customWidth="1"/>
    <col min="5" max="5" width="13.375" style="1" customWidth="1"/>
    <col min="6" max="6" width="13.75390625" style="1" customWidth="1"/>
    <col min="7" max="7" width="6.625" style="1" customWidth="1"/>
    <col min="8" max="9" width="5.75390625" style="1" customWidth="1"/>
    <col min="10" max="16384" width="17.00390625" style="1" customWidth="1"/>
  </cols>
  <sheetData>
    <row r="1" ht="18.75">
      <c r="C1" s="2" t="s">
        <v>538</v>
      </c>
    </row>
    <row r="2" spans="1:9" s="9" customFormat="1" ht="16.5" customHeight="1">
      <c r="A2" s="3"/>
      <c r="B2" s="3"/>
      <c r="C2" s="4" t="s">
        <v>539</v>
      </c>
      <c r="D2" s="5"/>
      <c r="E2" s="5"/>
      <c r="F2" s="6"/>
      <c r="G2" s="6"/>
      <c r="H2" s="7"/>
      <c r="I2" s="8"/>
    </row>
    <row r="3" spans="1:9" s="9" customFormat="1" ht="14.25" customHeight="1">
      <c r="A3" s="3"/>
      <c r="B3" s="3"/>
      <c r="C3" s="4" t="s">
        <v>540</v>
      </c>
      <c r="D3" s="5"/>
      <c r="E3" s="5"/>
      <c r="F3" s="6"/>
      <c r="G3" s="6"/>
      <c r="H3" s="7"/>
      <c r="I3" s="8"/>
    </row>
    <row r="4" spans="8:9" ht="16.5" thickBot="1">
      <c r="H4" s="10" t="s">
        <v>541</v>
      </c>
      <c r="I4" s="10"/>
    </row>
    <row r="5" spans="1:9" ht="15.75">
      <c r="A5" s="11"/>
      <c r="B5" s="12"/>
      <c r="C5" s="12"/>
      <c r="D5" s="13" t="s">
        <v>542</v>
      </c>
      <c r="E5" s="14"/>
      <c r="F5" s="14"/>
      <c r="G5" s="14"/>
      <c r="H5" s="15"/>
      <c r="I5" s="16"/>
    </row>
    <row r="6" spans="1:9" ht="54.75" customHeight="1">
      <c r="A6" s="17" t="s">
        <v>543</v>
      </c>
      <c r="B6" s="18" t="s">
        <v>544</v>
      </c>
      <c r="C6" s="19" t="s">
        <v>545</v>
      </c>
      <c r="D6" s="20" t="s">
        <v>546</v>
      </c>
      <c r="E6" s="21" t="s">
        <v>547</v>
      </c>
      <c r="F6" s="21" t="s">
        <v>548</v>
      </c>
      <c r="G6" s="22" t="s">
        <v>549</v>
      </c>
      <c r="H6" s="23" t="s">
        <v>550</v>
      </c>
      <c r="I6" s="24" t="s">
        <v>551</v>
      </c>
    </row>
    <row r="7" spans="1:256" s="29" customFormat="1" ht="9.75" customHeight="1" thickBo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9" s="36" customFormat="1" ht="20.25" customHeight="1" thickBot="1" thickTop="1">
      <c r="A8" s="30" t="s">
        <v>552</v>
      </c>
      <c r="B8" s="31" t="s">
        <v>553</v>
      </c>
      <c r="C8" s="32">
        <f>C10+C14</f>
        <v>112176132</v>
      </c>
      <c r="D8" s="32">
        <f>D10+D14</f>
        <v>253575324</v>
      </c>
      <c r="E8" s="32">
        <f>E10+E14</f>
        <v>262928840</v>
      </c>
      <c r="F8" s="32">
        <f>F10+F14</f>
        <v>123626943</v>
      </c>
      <c r="G8" s="33">
        <f>F8/C8*100</f>
        <v>110.20788539936464</v>
      </c>
      <c r="H8" s="34">
        <f>F8/D8*100</f>
        <v>48.75353841606449</v>
      </c>
      <c r="I8" s="35">
        <f>F8/E8*100</f>
        <v>47.01916419667009</v>
      </c>
    </row>
    <row r="9" spans="1:9" s="43" customFormat="1" ht="13.5" customHeight="1" thickTop="1">
      <c r="A9" s="37"/>
      <c r="B9" s="38" t="s">
        <v>554</v>
      </c>
      <c r="C9" s="39"/>
      <c r="D9" s="39"/>
      <c r="E9" s="39"/>
      <c r="F9" s="39"/>
      <c r="G9" s="40"/>
      <c r="H9" s="41"/>
      <c r="I9" s="42"/>
    </row>
    <row r="10" spans="1:9" s="36" customFormat="1" ht="25.5">
      <c r="A10" s="44" t="s">
        <v>555</v>
      </c>
      <c r="B10" s="45" t="s">
        <v>556</v>
      </c>
      <c r="C10" s="46">
        <f>SUM(C11:C13)</f>
        <v>103226217</v>
      </c>
      <c r="D10" s="46">
        <f>SUM(D11:D13)</f>
        <v>228229628</v>
      </c>
      <c r="E10" s="46">
        <f>SUM(E11:E13)</f>
        <v>236321144</v>
      </c>
      <c r="F10" s="46">
        <f>SUM(F11:F13)</f>
        <v>109391553</v>
      </c>
      <c r="G10" s="47">
        <f>F10/C10*100</f>
        <v>105.97264549566898</v>
      </c>
      <c r="H10" s="48">
        <f aca="true" t="shared" si="0" ref="H10:H17">F10/D10*100</f>
        <v>47.93047859675782</v>
      </c>
      <c r="I10" s="49">
        <f aca="true" t="shared" si="1" ref="I10:I25">F10/E10*100</f>
        <v>46.28936334194455</v>
      </c>
    </row>
    <row r="11" spans="1:9" s="56" customFormat="1" ht="33.75" customHeight="1">
      <c r="A11" s="50" t="s">
        <v>557</v>
      </c>
      <c r="B11" s="51" t="s">
        <v>558</v>
      </c>
      <c r="C11" s="52">
        <v>103202719</v>
      </c>
      <c r="D11" s="52">
        <v>228204528</v>
      </c>
      <c r="E11" s="52">
        <v>235931044</v>
      </c>
      <c r="F11" s="52">
        <v>109353459</v>
      </c>
      <c r="G11" s="53">
        <f>F11/C11*100</f>
        <v>105.95986235595207</v>
      </c>
      <c r="H11" s="54">
        <f t="shared" si="0"/>
        <v>47.91905750441551</v>
      </c>
      <c r="I11" s="55">
        <f t="shared" si="1"/>
        <v>46.349754210387</v>
      </c>
    </row>
    <row r="12" spans="1:9" s="57" customFormat="1" ht="40.5" customHeight="1">
      <c r="A12" s="50" t="s">
        <v>559</v>
      </c>
      <c r="B12" s="51" t="s">
        <v>560</v>
      </c>
      <c r="C12" s="52">
        <v>14498</v>
      </c>
      <c r="D12" s="52">
        <v>16600</v>
      </c>
      <c r="E12" s="52">
        <v>31600</v>
      </c>
      <c r="F12" s="52">
        <v>29594</v>
      </c>
      <c r="G12" s="53">
        <f>F12/C12*100</f>
        <v>204.1247068561181</v>
      </c>
      <c r="H12" s="54">
        <f t="shared" si="0"/>
        <v>178.27710843373495</v>
      </c>
      <c r="I12" s="55">
        <f t="shared" si="1"/>
        <v>93.65189873417722</v>
      </c>
    </row>
    <row r="13" spans="1:9" s="57" customFormat="1" ht="43.5" customHeight="1">
      <c r="A13" s="50" t="s">
        <v>561</v>
      </c>
      <c r="B13" s="51" t="s">
        <v>562</v>
      </c>
      <c r="C13" s="52">
        <v>9000</v>
      </c>
      <c r="D13" s="52">
        <v>8500</v>
      </c>
      <c r="E13" s="52">
        <v>358500</v>
      </c>
      <c r="F13" s="52">
        <v>8500</v>
      </c>
      <c r="G13" s="53">
        <f>F13/C13*100</f>
        <v>94.44444444444444</v>
      </c>
      <c r="H13" s="54">
        <f t="shared" si="0"/>
        <v>100</v>
      </c>
      <c r="I13" s="55">
        <f t="shared" si="1"/>
        <v>2.3709902370990235</v>
      </c>
    </row>
    <row r="14" spans="1:9" s="62" customFormat="1" ht="27.75" customHeight="1">
      <c r="A14" s="44" t="s">
        <v>563</v>
      </c>
      <c r="B14" s="45" t="s">
        <v>564</v>
      </c>
      <c r="C14" s="58">
        <f>SUM(C15:C16)</f>
        <v>8949915</v>
      </c>
      <c r="D14" s="58">
        <f>SUM(D15:D16)</f>
        <v>25345696</v>
      </c>
      <c r="E14" s="58">
        <f>SUM(E15:E16)</f>
        <v>26607696</v>
      </c>
      <c r="F14" s="58">
        <f>SUM(F15:F16)</f>
        <v>14235390</v>
      </c>
      <c r="G14" s="59">
        <f>F14/C14*100</f>
        <v>159.05614746061835</v>
      </c>
      <c r="H14" s="60">
        <f t="shared" si="0"/>
        <v>56.164920466180924</v>
      </c>
      <c r="I14" s="61">
        <f t="shared" si="1"/>
        <v>53.501024665946275</v>
      </c>
    </row>
    <row r="15" spans="1:9" s="57" customFormat="1" ht="39.75" customHeight="1">
      <c r="A15" s="50" t="s">
        <v>557</v>
      </c>
      <c r="B15" s="51" t="s">
        <v>565</v>
      </c>
      <c r="C15" s="52">
        <v>5768357</v>
      </c>
      <c r="D15" s="52">
        <v>19645996</v>
      </c>
      <c r="E15" s="52">
        <v>20907996</v>
      </c>
      <c r="F15" s="52">
        <v>10840967</v>
      </c>
      <c r="G15" s="53">
        <f aca="true" t="shared" si="2" ref="G15:G25">F15/C15*100</f>
        <v>187.93855858782666</v>
      </c>
      <c r="H15" s="54">
        <f t="shared" si="0"/>
        <v>55.181559641974886</v>
      </c>
      <c r="I15" s="55">
        <f t="shared" si="1"/>
        <v>51.85081822284642</v>
      </c>
    </row>
    <row r="16" spans="1:9" s="56" customFormat="1" ht="42.75" customHeight="1" thickBot="1">
      <c r="A16" s="50" t="s">
        <v>559</v>
      </c>
      <c r="B16" s="51" t="s">
        <v>566</v>
      </c>
      <c r="C16" s="52">
        <v>3181558</v>
      </c>
      <c r="D16" s="52">
        <v>5699700</v>
      </c>
      <c r="E16" s="52">
        <v>5699700</v>
      </c>
      <c r="F16" s="52">
        <v>3394423</v>
      </c>
      <c r="G16" s="53">
        <f t="shared" si="2"/>
        <v>106.69058995624157</v>
      </c>
      <c r="H16" s="54">
        <f t="shared" si="0"/>
        <v>59.55441514465674</v>
      </c>
      <c r="I16" s="55">
        <f t="shared" si="1"/>
        <v>59.55441514465674</v>
      </c>
    </row>
    <row r="17" spans="1:9" s="36" customFormat="1" ht="22.5" customHeight="1" thickBot="1" thickTop="1">
      <c r="A17" s="30" t="s">
        <v>567</v>
      </c>
      <c r="B17" s="31" t="s">
        <v>568</v>
      </c>
      <c r="C17" s="63">
        <f>C19+C23</f>
        <v>100451382</v>
      </c>
      <c r="D17" s="63">
        <f>D19+D23</f>
        <v>272216724</v>
      </c>
      <c r="E17" s="63">
        <f>E19+E23</f>
        <v>292002592</v>
      </c>
      <c r="F17" s="63">
        <f>F19+F23</f>
        <v>116354632</v>
      </c>
      <c r="G17" s="33">
        <f>F17/C17*100</f>
        <v>115.83178815797677</v>
      </c>
      <c r="H17" s="34">
        <f t="shared" si="0"/>
        <v>42.74338118917338</v>
      </c>
      <c r="I17" s="35">
        <f t="shared" si="1"/>
        <v>39.84712300088076</v>
      </c>
    </row>
    <row r="18" spans="1:9" s="36" customFormat="1" ht="12.75" customHeight="1" thickTop="1">
      <c r="A18" s="37"/>
      <c r="B18" s="38" t="s">
        <v>554</v>
      </c>
      <c r="C18" s="58"/>
      <c r="D18" s="58"/>
      <c r="E18" s="58"/>
      <c r="F18" s="58"/>
      <c r="G18" s="59"/>
      <c r="H18" s="60"/>
      <c r="I18" s="61"/>
    </row>
    <row r="19" spans="1:9" s="36" customFormat="1" ht="25.5">
      <c r="A19" s="44" t="s">
        <v>555</v>
      </c>
      <c r="B19" s="45" t="s">
        <v>569</v>
      </c>
      <c r="C19" s="58">
        <f>SUM(C20:C22)</f>
        <v>92937138</v>
      </c>
      <c r="D19" s="58">
        <f>SUM(D20:D22)</f>
        <v>246871028</v>
      </c>
      <c r="E19" s="58">
        <f>SUM(E20:E22)</f>
        <v>265394896</v>
      </c>
      <c r="F19" s="58">
        <f>SUM(F20:F22)</f>
        <v>103304682</v>
      </c>
      <c r="G19" s="59">
        <f>F19/C19*100</f>
        <v>111.15543712998779</v>
      </c>
      <c r="H19" s="60">
        <f aca="true" t="shared" si="3" ref="H19:H25">F19/D19*100</f>
        <v>41.845607739762805</v>
      </c>
      <c r="I19" s="61">
        <f>F19/E19*100</f>
        <v>38.924894019062066</v>
      </c>
    </row>
    <row r="20" spans="1:9" s="56" customFormat="1" ht="30.75" customHeight="1">
      <c r="A20" s="50" t="s">
        <v>557</v>
      </c>
      <c r="B20" s="51" t="s">
        <v>570</v>
      </c>
      <c r="C20" s="52">
        <v>92925048</v>
      </c>
      <c r="D20" s="52">
        <v>246845928</v>
      </c>
      <c r="E20" s="52">
        <v>265004796</v>
      </c>
      <c r="F20" s="52">
        <v>103279399</v>
      </c>
      <c r="G20" s="53">
        <f t="shared" si="2"/>
        <v>111.14269104278536</v>
      </c>
      <c r="H20" s="54">
        <f t="shared" si="3"/>
        <v>41.83962029950926</v>
      </c>
      <c r="I20" s="55">
        <f t="shared" si="1"/>
        <v>38.9726527817255</v>
      </c>
    </row>
    <row r="21" spans="1:9" s="56" customFormat="1" ht="39.75" customHeight="1">
      <c r="A21" s="50" t="s">
        <v>559</v>
      </c>
      <c r="B21" s="51" t="s">
        <v>571</v>
      </c>
      <c r="C21" s="52">
        <v>3095</v>
      </c>
      <c r="D21" s="52">
        <v>16600</v>
      </c>
      <c r="E21" s="52">
        <v>31600</v>
      </c>
      <c r="F21" s="52">
        <v>16797</v>
      </c>
      <c r="G21" s="53">
        <f>F21/C21*100</f>
        <v>542.7140549273022</v>
      </c>
      <c r="H21" s="54">
        <f t="shared" si="3"/>
        <v>101.1867469879518</v>
      </c>
      <c r="I21" s="55">
        <f>F21/E21*100</f>
        <v>53.155063291139236</v>
      </c>
    </row>
    <row r="22" spans="1:9" s="57" customFormat="1" ht="41.25" customHeight="1">
      <c r="A22" s="50" t="s">
        <v>561</v>
      </c>
      <c r="B22" s="51" t="s">
        <v>572</v>
      </c>
      <c r="C22" s="52">
        <v>8995</v>
      </c>
      <c r="D22" s="52">
        <v>8500</v>
      </c>
      <c r="E22" s="52">
        <v>358500</v>
      </c>
      <c r="F22" s="52">
        <v>8486</v>
      </c>
      <c r="G22" s="53">
        <f>F22/C22*100</f>
        <v>94.34130072262367</v>
      </c>
      <c r="H22" s="54">
        <f t="shared" si="3"/>
        <v>99.83529411764705</v>
      </c>
      <c r="I22" s="55">
        <f>F22/E22*100</f>
        <v>2.3670850767085074</v>
      </c>
    </row>
    <row r="23" spans="1:9" s="62" customFormat="1" ht="18" customHeight="1">
      <c r="A23" s="44" t="s">
        <v>563</v>
      </c>
      <c r="B23" s="45" t="s">
        <v>573</v>
      </c>
      <c r="C23" s="58">
        <f>SUM(C24:C25)</f>
        <v>7514244</v>
      </c>
      <c r="D23" s="58">
        <f>SUM(D24:D25)</f>
        <v>25345696</v>
      </c>
      <c r="E23" s="58">
        <f>SUM(E24:E25)</f>
        <v>26607696</v>
      </c>
      <c r="F23" s="58">
        <f>SUM(F24:F25)</f>
        <v>13049950</v>
      </c>
      <c r="G23" s="59">
        <f>F23/C23*100</f>
        <v>173.66950021851832</v>
      </c>
      <c r="H23" s="60">
        <f t="shared" si="3"/>
        <v>51.48783446309779</v>
      </c>
      <c r="I23" s="61">
        <f>F23/E23*100</f>
        <v>49.045772320910466</v>
      </c>
    </row>
    <row r="24" spans="1:9" s="57" customFormat="1" ht="38.25" customHeight="1">
      <c r="A24" s="50" t="s">
        <v>557</v>
      </c>
      <c r="B24" s="51" t="s">
        <v>574</v>
      </c>
      <c r="C24" s="52">
        <v>4830764</v>
      </c>
      <c r="D24" s="52">
        <v>19645996</v>
      </c>
      <c r="E24" s="52">
        <v>20907996</v>
      </c>
      <c r="F24" s="52">
        <v>10223182</v>
      </c>
      <c r="G24" s="53">
        <f t="shared" si="2"/>
        <v>211.6266081307222</v>
      </c>
      <c r="H24" s="54">
        <f t="shared" si="3"/>
        <v>52.036974862460525</v>
      </c>
      <c r="I24" s="55">
        <f t="shared" si="1"/>
        <v>48.896039582177075</v>
      </c>
    </row>
    <row r="25" spans="1:9" s="56" customFormat="1" ht="46.5" customHeight="1" thickBot="1">
      <c r="A25" s="50" t="s">
        <v>559</v>
      </c>
      <c r="B25" s="51" t="s">
        <v>575</v>
      </c>
      <c r="C25" s="52">
        <v>2683480</v>
      </c>
      <c r="D25" s="52">
        <v>5699700</v>
      </c>
      <c r="E25" s="52">
        <v>5699700</v>
      </c>
      <c r="F25" s="52">
        <v>2826768</v>
      </c>
      <c r="G25" s="53">
        <f t="shared" si="2"/>
        <v>105.3396336100884</v>
      </c>
      <c r="H25" s="54">
        <f t="shared" si="3"/>
        <v>49.59503131743776</v>
      </c>
      <c r="I25" s="55">
        <f t="shared" si="1"/>
        <v>49.59503131743776</v>
      </c>
    </row>
    <row r="26" spans="1:256" s="71" customFormat="1" ht="18" customHeight="1" thickTop="1">
      <c r="A26" s="64" t="s">
        <v>576</v>
      </c>
      <c r="B26" s="65" t="s">
        <v>577</v>
      </c>
      <c r="C26" s="66"/>
      <c r="D26" s="66">
        <f>D8-D17</f>
        <v>-18641400</v>
      </c>
      <c r="E26" s="66">
        <f>E8-E17</f>
        <v>-29073752</v>
      </c>
      <c r="F26" s="66"/>
      <c r="G26" s="67"/>
      <c r="H26" s="68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9" ht="17.25" customHeight="1" thickBot="1">
      <c r="A27" s="72"/>
      <c r="B27" s="73" t="s">
        <v>578</v>
      </c>
      <c r="C27" s="74">
        <f>C8-C17</f>
        <v>11724750</v>
      </c>
      <c r="D27" s="74"/>
      <c r="E27" s="74"/>
      <c r="F27" s="74">
        <f>F8-F17</f>
        <v>7272311</v>
      </c>
      <c r="G27" s="75"/>
      <c r="H27" s="76"/>
      <c r="I27" s="77"/>
    </row>
    <row r="28" ht="16.5" thickTop="1"/>
  </sheetData>
  <printOptions horizontalCentered="1"/>
  <pageMargins left="0" right="0" top="0.7874015748031497" bottom="0.5905511811023623" header="0.31496062992125984" footer="0.5118110236220472"/>
  <pageSetup firstPageNumber="2" useFirstPageNumber="1" horizontalDpi="600" verticalDpi="600" orientation="portrait" paperSize="9" r:id="rId1"/>
  <headerFooter alignWithMargins="0">
    <oddHeader>&amp;C &amp;"Times New Roman,Normalny"&amp;P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selection activeCell="E5" sqref="E5"/>
    </sheetView>
  </sheetViews>
  <sheetFormatPr defaultColWidth="9.00390625" defaultRowHeight="12.75"/>
  <cols>
    <col min="1" max="1" width="2.625" style="683" customWidth="1"/>
    <col min="2" max="2" width="14.875" style="964" customWidth="1"/>
    <col min="3" max="3" width="8.25390625" style="965" customWidth="1"/>
    <col min="4" max="5" width="8.625" style="683" customWidth="1"/>
    <col min="6" max="6" width="8.25390625" style="683" customWidth="1"/>
    <col min="7" max="7" width="6.375" style="683" customWidth="1"/>
    <col min="8" max="8" width="6.25390625" style="683" customWidth="1"/>
    <col min="9" max="9" width="7.75390625" style="683" customWidth="1"/>
    <col min="10" max="10" width="8.00390625" style="683" customWidth="1"/>
    <col min="11" max="11" width="7.625" style="683" customWidth="1"/>
    <col min="12" max="12" width="5.875" style="683" customWidth="1"/>
    <col min="13" max="13" width="6.00390625" style="683" customWidth="1"/>
    <col min="14" max="14" width="8.625" style="683" customWidth="1"/>
    <col min="15" max="15" width="7.875" style="683" customWidth="1"/>
    <col min="16" max="16" width="8.25390625" style="683" customWidth="1"/>
    <col min="17" max="17" width="5.875" style="683" customWidth="1"/>
    <col min="18" max="18" width="5.375" style="683" customWidth="1"/>
    <col min="19" max="19" width="8.625" style="1008" customWidth="1"/>
    <col min="20" max="16384" width="10.00390625" style="683" customWidth="1"/>
  </cols>
  <sheetData>
    <row r="1" spans="1:20" ht="31.5" customHeight="1">
      <c r="A1" s="683" t="s">
        <v>869</v>
      </c>
      <c r="R1" s="966" t="s">
        <v>870</v>
      </c>
      <c r="S1" s="966"/>
      <c r="T1" s="965"/>
    </row>
    <row r="2" spans="1:20" s="965" customFormat="1" ht="36" customHeight="1">
      <c r="A2" s="967"/>
      <c r="B2" s="968" t="s">
        <v>871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7"/>
      <c r="S2" s="967"/>
      <c r="T2" s="967"/>
    </row>
    <row r="3" spans="2:19" s="965" customFormat="1" ht="18.75" customHeight="1" thickBot="1">
      <c r="B3" s="964"/>
      <c r="S3" s="969" t="s">
        <v>872</v>
      </c>
    </row>
    <row r="4" spans="1:19" ht="32.25" customHeight="1" thickBot="1" thickTop="1">
      <c r="A4" s="970" t="s">
        <v>873</v>
      </c>
      <c r="B4" s="971" t="s">
        <v>874</v>
      </c>
      <c r="C4" s="972" t="s">
        <v>875</v>
      </c>
      <c r="D4" s="973" t="s">
        <v>876</v>
      </c>
      <c r="E4" s="974"/>
      <c r="F4" s="974"/>
      <c r="G4" s="974"/>
      <c r="H4" s="974"/>
      <c r="I4" s="974" t="s">
        <v>877</v>
      </c>
      <c r="J4" s="974"/>
      <c r="K4" s="974"/>
      <c r="L4" s="974"/>
      <c r="M4" s="974"/>
      <c r="N4" s="974" t="s">
        <v>878</v>
      </c>
      <c r="O4" s="974"/>
      <c r="P4" s="974"/>
      <c r="Q4" s="975"/>
      <c r="R4" s="975"/>
      <c r="S4" s="972" t="s">
        <v>875</v>
      </c>
    </row>
    <row r="5" spans="1:19" ht="37.5" customHeight="1" thickBot="1" thickTop="1">
      <c r="A5" s="976"/>
      <c r="B5" s="977" t="s">
        <v>879</v>
      </c>
      <c r="C5" s="978" t="s">
        <v>880</v>
      </c>
      <c r="D5" s="979" t="s">
        <v>881</v>
      </c>
      <c r="E5" s="980" t="s">
        <v>882</v>
      </c>
      <c r="F5" s="979" t="s">
        <v>883</v>
      </c>
      <c r="G5" s="981" t="s">
        <v>884</v>
      </c>
      <c r="H5" s="982" t="s">
        <v>885</v>
      </c>
      <c r="I5" s="979" t="s">
        <v>881</v>
      </c>
      <c r="J5" s="980" t="s">
        <v>882</v>
      </c>
      <c r="K5" s="979" t="s">
        <v>883</v>
      </c>
      <c r="L5" s="981" t="s">
        <v>886</v>
      </c>
      <c r="M5" s="982" t="s">
        <v>887</v>
      </c>
      <c r="N5" s="979" t="s">
        <v>881</v>
      </c>
      <c r="O5" s="980" t="s">
        <v>882</v>
      </c>
      <c r="P5" s="979" t="s">
        <v>883</v>
      </c>
      <c r="Q5" s="981" t="s">
        <v>888</v>
      </c>
      <c r="R5" s="982" t="s">
        <v>889</v>
      </c>
      <c r="S5" s="978" t="s">
        <v>890</v>
      </c>
    </row>
    <row r="6" spans="1:19" s="988" customFormat="1" ht="9" customHeight="1" thickBot="1" thickTop="1">
      <c r="A6" s="983">
        <v>1</v>
      </c>
      <c r="B6" s="984">
        <v>2</v>
      </c>
      <c r="C6" s="985">
        <v>3</v>
      </c>
      <c r="D6" s="986">
        <v>4</v>
      </c>
      <c r="E6" s="986">
        <v>5</v>
      </c>
      <c r="F6" s="986">
        <v>6</v>
      </c>
      <c r="G6" s="986">
        <v>7</v>
      </c>
      <c r="H6" s="987">
        <v>8</v>
      </c>
      <c r="I6" s="986">
        <v>9</v>
      </c>
      <c r="J6" s="986">
        <v>10</v>
      </c>
      <c r="K6" s="986">
        <v>11</v>
      </c>
      <c r="L6" s="986">
        <v>12</v>
      </c>
      <c r="M6" s="987">
        <v>13</v>
      </c>
      <c r="N6" s="986">
        <v>14</v>
      </c>
      <c r="O6" s="986">
        <v>15</v>
      </c>
      <c r="P6" s="986">
        <v>16</v>
      </c>
      <c r="Q6" s="986">
        <v>17</v>
      </c>
      <c r="R6" s="987">
        <v>18</v>
      </c>
      <c r="S6" s="985">
        <v>19</v>
      </c>
    </row>
    <row r="7" spans="1:19" s="704" customFormat="1" ht="25.5" customHeight="1" thickTop="1">
      <c r="A7" s="989">
        <v>1</v>
      </c>
      <c r="B7" s="990" t="s">
        <v>891</v>
      </c>
      <c r="C7" s="991">
        <f aca="true" t="shared" si="0" ref="C7:C14">D7+I7-N7</f>
        <v>59.5</v>
      </c>
      <c r="D7" s="992">
        <v>19223.6</v>
      </c>
      <c r="E7" s="993">
        <v>31760</v>
      </c>
      <c r="F7" s="992">
        <v>15522.6</v>
      </c>
      <c r="G7" s="992">
        <f aca="true" t="shared" si="1" ref="G7:G15">F7/D7*100</f>
        <v>80.74762271374769</v>
      </c>
      <c r="H7" s="994">
        <f aca="true" t="shared" si="2" ref="H7:H15">F7/E7*100</f>
        <v>48.87468513853904</v>
      </c>
      <c r="I7" s="992">
        <v>0</v>
      </c>
      <c r="J7" s="993">
        <v>5687.9</v>
      </c>
      <c r="K7" s="992">
        <v>301.3</v>
      </c>
      <c r="L7" s="992">
        <v>0</v>
      </c>
      <c r="M7" s="994">
        <f>K7/J7*100</f>
        <v>5.297209866558836</v>
      </c>
      <c r="N7" s="992">
        <v>19164.1</v>
      </c>
      <c r="O7" s="993">
        <v>37447.9</v>
      </c>
      <c r="P7" s="992">
        <v>18061.5</v>
      </c>
      <c r="Q7" s="992">
        <f>P7/N7*100</f>
        <v>94.24653388366791</v>
      </c>
      <c r="R7" s="994">
        <f>P7/O7*100</f>
        <v>48.231008948432354</v>
      </c>
      <c r="S7" s="991">
        <f aca="true" t="shared" si="3" ref="S7:S14">F7+K7-P7</f>
        <v>-2237.6000000000004</v>
      </c>
    </row>
    <row r="8" spans="1:19" s="704" customFormat="1" ht="25.5" customHeight="1">
      <c r="A8" s="995">
        <v>2</v>
      </c>
      <c r="B8" s="996" t="s">
        <v>892</v>
      </c>
      <c r="C8" s="991">
        <f t="shared" si="0"/>
        <v>7.2999999999999545</v>
      </c>
      <c r="D8" s="997">
        <v>272</v>
      </c>
      <c r="E8" s="997">
        <v>536</v>
      </c>
      <c r="F8" s="997">
        <v>320.2</v>
      </c>
      <c r="G8" s="992">
        <f t="shared" si="1"/>
        <v>117.72058823529412</v>
      </c>
      <c r="H8" s="994">
        <f t="shared" si="2"/>
        <v>59.73880597014926</v>
      </c>
      <c r="I8" s="997">
        <v>813.7</v>
      </c>
      <c r="J8" s="997">
        <v>1836</v>
      </c>
      <c r="K8" s="997">
        <v>945</v>
      </c>
      <c r="L8" s="992">
        <f>K8/I8*100</f>
        <v>116.13616812092909</v>
      </c>
      <c r="M8" s="994">
        <f>K8/J8*100</f>
        <v>51.470588235294116</v>
      </c>
      <c r="N8" s="997">
        <v>1078.4</v>
      </c>
      <c r="O8" s="997">
        <v>2381</v>
      </c>
      <c r="P8" s="997">
        <v>1092</v>
      </c>
      <c r="Q8" s="992">
        <f>P8/N8*100</f>
        <v>101.26112759643917</v>
      </c>
      <c r="R8" s="994">
        <f>P8/O8*100</f>
        <v>45.863082738345234</v>
      </c>
      <c r="S8" s="991">
        <f t="shared" si="3"/>
        <v>173.20000000000005</v>
      </c>
    </row>
    <row r="9" spans="1:19" s="704" customFormat="1" ht="25.5" customHeight="1">
      <c r="A9" s="995">
        <v>3</v>
      </c>
      <c r="B9" s="996" t="s">
        <v>893</v>
      </c>
      <c r="C9" s="991">
        <f t="shared" si="0"/>
        <v>1306.9000000000005</v>
      </c>
      <c r="D9" s="997">
        <v>2304.1</v>
      </c>
      <c r="E9" s="997">
        <v>3868.3</v>
      </c>
      <c r="F9" s="997">
        <v>2299.4</v>
      </c>
      <c r="G9" s="992">
        <f t="shared" si="1"/>
        <v>99.79601579792543</v>
      </c>
      <c r="H9" s="994">
        <f t="shared" si="2"/>
        <v>59.442132202776406</v>
      </c>
      <c r="I9" s="997">
        <v>5498.6</v>
      </c>
      <c r="J9" s="997">
        <v>9577.5</v>
      </c>
      <c r="K9" s="997">
        <v>5265.7</v>
      </c>
      <c r="L9" s="992">
        <f>K9/I9*100</f>
        <v>95.7643763867166</v>
      </c>
      <c r="M9" s="994">
        <f>K9/J9*100</f>
        <v>54.979900809188194</v>
      </c>
      <c r="N9" s="997">
        <v>6495.8</v>
      </c>
      <c r="O9" s="997">
        <v>13464.5</v>
      </c>
      <c r="P9" s="997">
        <v>6783.7</v>
      </c>
      <c r="Q9" s="992">
        <f aca="true" t="shared" si="4" ref="Q9:Q15">P9/N9*100</f>
        <v>104.43209458419285</v>
      </c>
      <c r="R9" s="994">
        <f aca="true" t="shared" si="5" ref="R9:R15">P9/O9*100</f>
        <v>50.38211593449441</v>
      </c>
      <c r="S9" s="991">
        <f t="shared" si="3"/>
        <v>781.4000000000005</v>
      </c>
    </row>
    <row r="10" spans="1:19" s="704" customFormat="1" ht="25.5" customHeight="1">
      <c r="A10" s="989">
        <v>4</v>
      </c>
      <c r="B10" s="989" t="s">
        <v>894</v>
      </c>
      <c r="C10" s="991">
        <f t="shared" si="0"/>
        <v>188.5999999999999</v>
      </c>
      <c r="D10" s="992">
        <v>1196.6</v>
      </c>
      <c r="E10" s="993">
        <v>2222</v>
      </c>
      <c r="F10" s="992">
        <v>874.4</v>
      </c>
      <c r="G10" s="992">
        <f t="shared" si="1"/>
        <v>73.07370884171822</v>
      </c>
      <c r="H10" s="994">
        <f t="shared" si="2"/>
        <v>39.35193519351935</v>
      </c>
      <c r="I10" s="992">
        <v>1385.1</v>
      </c>
      <c r="J10" s="993">
        <v>2172.3</v>
      </c>
      <c r="K10" s="992">
        <v>1447</v>
      </c>
      <c r="L10" s="992">
        <f aca="true" t="shared" si="6" ref="L10:L15">K10/I10*100</f>
        <v>104.46899140856256</v>
      </c>
      <c r="M10" s="994">
        <f aca="true" t="shared" si="7" ref="M10:M15">K10/J10*100</f>
        <v>66.61142567785296</v>
      </c>
      <c r="N10" s="992">
        <v>2393.1</v>
      </c>
      <c r="O10" s="993">
        <v>5051.3</v>
      </c>
      <c r="P10" s="992">
        <v>2427.4</v>
      </c>
      <c r="Q10" s="992">
        <f t="shared" si="4"/>
        <v>101.43328736784925</v>
      </c>
      <c r="R10" s="994">
        <f t="shared" si="5"/>
        <v>48.054956149902004</v>
      </c>
      <c r="S10" s="991">
        <f>F10+K10-P10</f>
        <v>-106</v>
      </c>
    </row>
    <row r="11" spans="1:19" s="704" customFormat="1" ht="39" customHeight="1">
      <c r="A11" s="989">
        <v>5</v>
      </c>
      <c r="B11" s="990" t="s">
        <v>895</v>
      </c>
      <c r="C11" s="991">
        <f t="shared" si="0"/>
        <v>48.5</v>
      </c>
      <c r="D11" s="992">
        <v>79.1</v>
      </c>
      <c r="E11" s="993">
        <v>176.4</v>
      </c>
      <c r="F11" s="992">
        <v>94.1</v>
      </c>
      <c r="G11" s="992">
        <f t="shared" si="1"/>
        <v>118.96333754740836</v>
      </c>
      <c r="H11" s="994">
        <f t="shared" si="2"/>
        <v>53.34467120181405</v>
      </c>
      <c r="I11" s="992">
        <v>1747.4</v>
      </c>
      <c r="J11" s="993">
        <v>3252.9</v>
      </c>
      <c r="K11" s="992">
        <v>1627.7</v>
      </c>
      <c r="L11" s="992">
        <f t="shared" si="6"/>
        <v>93.14982259356759</v>
      </c>
      <c r="M11" s="994">
        <f t="shared" si="7"/>
        <v>50.03842724953119</v>
      </c>
      <c r="N11" s="992">
        <v>1778</v>
      </c>
      <c r="O11" s="993">
        <v>3429.3</v>
      </c>
      <c r="P11" s="992">
        <v>1716.8</v>
      </c>
      <c r="Q11" s="992">
        <f t="shared" si="4"/>
        <v>96.55793025871766</v>
      </c>
      <c r="R11" s="994">
        <f t="shared" si="5"/>
        <v>50.062695010643566</v>
      </c>
      <c r="S11" s="991">
        <f t="shared" si="3"/>
        <v>5</v>
      </c>
    </row>
    <row r="12" spans="1:19" s="704" customFormat="1" ht="29.25" customHeight="1">
      <c r="A12" s="989">
        <v>6</v>
      </c>
      <c r="B12" s="990" t="s">
        <v>896</v>
      </c>
      <c r="C12" s="991">
        <f t="shared" si="0"/>
        <v>139.5999999999999</v>
      </c>
      <c r="D12" s="992">
        <v>854.2</v>
      </c>
      <c r="E12" s="993">
        <v>1410</v>
      </c>
      <c r="F12" s="992">
        <v>686.8</v>
      </c>
      <c r="G12" s="992">
        <f t="shared" si="1"/>
        <v>80.40271599157106</v>
      </c>
      <c r="H12" s="994">
        <f t="shared" si="2"/>
        <v>48.709219858156025</v>
      </c>
      <c r="I12" s="992">
        <v>1713.5</v>
      </c>
      <c r="J12" s="993">
        <v>2338.2</v>
      </c>
      <c r="K12" s="992">
        <v>1429.9</v>
      </c>
      <c r="L12" s="992">
        <f t="shared" si="6"/>
        <v>83.44908082871316</v>
      </c>
      <c r="M12" s="994">
        <f t="shared" si="7"/>
        <v>61.153879052262425</v>
      </c>
      <c r="N12" s="992">
        <v>2428.1</v>
      </c>
      <c r="O12" s="993">
        <v>3748.2</v>
      </c>
      <c r="P12" s="992">
        <v>1936.1</v>
      </c>
      <c r="Q12" s="992">
        <f t="shared" si="4"/>
        <v>79.7372431118982</v>
      </c>
      <c r="R12" s="994">
        <f t="shared" si="5"/>
        <v>51.65412731444427</v>
      </c>
      <c r="S12" s="991">
        <f t="shared" si="3"/>
        <v>180.5999999999999</v>
      </c>
    </row>
    <row r="13" spans="1:19" s="704" customFormat="1" ht="27.75" customHeight="1">
      <c r="A13" s="989">
        <v>7</v>
      </c>
      <c r="B13" s="990" t="s">
        <v>897</v>
      </c>
      <c r="C13" s="991">
        <f t="shared" si="0"/>
        <v>13.799999999999955</v>
      </c>
      <c r="D13" s="992">
        <v>238.1</v>
      </c>
      <c r="E13" s="993">
        <v>310</v>
      </c>
      <c r="F13" s="992">
        <v>237.5</v>
      </c>
      <c r="G13" s="992">
        <f t="shared" si="1"/>
        <v>99.7480050398992</v>
      </c>
      <c r="H13" s="994">
        <f t="shared" si="2"/>
        <v>76.61290322580645</v>
      </c>
      <c r="I13" s="992">
        <v>1233</v>
      </c>
      <c r="J13" s="993">
        <v>2388</v>
      </c>
      <c r="K13" s="992">
        <v>1149.9</v>
      </c>
      <c r="L13" s="992">
        <f t="shared" si="6"/>
        <v>93.26034063260342</v>
      </c>
      <c r="M13" s="994">
        <f t="shared" si="7"/>
        <v>48.153266331658294</v>
      </c>
      <c r="N13" s="992">
        <v>1457.3</v>
      </c>
      <c r="O13" s="993">
        <v>2698</v>
      </c>
      <c r="P13" s="992">
        <v>1421.1</v>
      </c>
      <c r="Q13" s="992">
        <f t="shared" si="4"/>
        <v>97.51595416180608</v>
      </c>
      <c r="R13" s="994">
        <f t="shared" si="5"/>
        <v>52.67234988880652</v>
      </c>
      <c r="S13" s="991">
        <f t="shared" si="3"/>
        <v>-33.69999999999982</v>
      </c>
    </row>
    <row r="14" spans="1:19" s="704" customFormat="1" ht="23.25" customHeight="1" thickBot="1">
      <c r="A14" s="989">
        <v>8</v>
      </c>
      <c r="B14" s="990" t="s">
        <v>898</v>
      </c>
      <c r="C14" s="991">
        <f t="shared" si="0"/>
        <v>7</v>
      </c>
      <c r="D14" s="992">
        <v>84.4</v>
      </c>
      <c r="E14" s="993">
        <v>82</v>
      </c>
      <c r="F14" s="992">
        <v>93.1</v>
      </c>
      <c r="G14" s="992">
        <f t="shared" si="1"/>
        <v>110.30805687203791</v>
      </c>
      <c r="H14" s="994">
        <f t="shared" si="2"/>
        <v>113.53658536585365</v>
      </c>
      <c r="I14" s="992">
        <v>755</v>
      </c>
      <c r="J14" s="993">
        <v>1751</v>
      </c>
      <c r="K14" s="992">
        <v>856.8</v>
      </c>
      <c r="L14" s="992">
        <f t="shared" si="6"/>
        <v>113.48344370860926</v>
      </c>
      <c r="M14" s="994">
        <f t="shared" si="7"/>
        <v>48.932038834951456</v>
      </c>
      <c r="N14" s="992">
        <v>832.4</v>
      </c>
      <c r="O14" s="993">
        <v>1853</v>
      </c>
      <c r="P14" s="992">
        <v>950.7</v>
      </c>
      <c r="Q14" s="992">
        <f t="shared" si="4"/>
        <v>114.21191734742912</v>
      </c>
      <c r="R14" s="994">
        <f t="shared" si="5"/>
        <v>51.30599028602268</v>
      </c>
      <c r="S14" s="991">
        <f t="shared" si="3"/>
        <v>-0.8000000000000682</v>
      </c>
    </row>
    <row r="15" spans="1:19" s="1006" customFormat="1" ht="30" customHeight="1" thickBot="1" thickTop="1">
      <c r="A15" s="998" t="s">
        <v>582</v>
      </c>
      <c r="B15" s="999"/>
      <c r="C15" s="1000">
        <f>SUM(C7:C14)</f>
        <v>1771.2000000000003</v>
      </c>
      <c r="D15" s="1001">
        <f>SUM(D7:D14)</f>
        <v>24252.099999999995</v>
      </c>
      <c r="E15" s="1002">
        <f>SUM(E7:E14)</f>
        <v>40364.700000000004</v>
      </c>
      <c r="F15" s="1001">
        <f>SUM(F7:F14)</f>
        <v>20128.1</v>
      </c>
      <c r="G15" s="1003">
        <f t="shared" si="1"/>
        <v>82.99528700607371</v>
      </c>
      <c r="H15" s="1004">
        <f t="shared" si="2"/>
        <v>49.865600388458226</v>
      </c>
      <c r="I15" s="1001">
        <f>SUM(I7:I14)</f>
        <v>13146.3</v>
      </c>
      <c r="J15" s="1002">
        <f>SUM(J7:J14)</f>
        <v>29003.800000000003</v>
      </c>
      <c r="K15" s="1001">
        <f>SUM(K7:K14)</f>
        <v>13023.3</v>
      </c>
      <c r="L15" s="1003">
        <f t="shared" si="6"/>
        <v>99.06437552771501</v>
      </c>
      <c r="M15" s="1004">
        <f t="shared" si="7"/>
        <v>44.902047317937644</v>
      </c>
      <c r="N15" s="1001">
        <f>SUM(N7:N14)</f>
        <v>35627.200000000004</v>
      </c>
      <c r="O15" s="1002">
        <f>SUM(O7:O14)</f>
        <v>70073.20000000001</v>
      </c>
      <c r="P15" s="1001">
        <f>SUM(P7:P14)</f>
        <v>34389.299999999996</v>
      </c>
      <c r="Q15" s="1003">
        <f t="shared" si="4"/>
        <v>96.5254075537791</v>
      </c>
      <c r="R15" s="1004">
        <f t="shared" si="5"/>
        <v>49.076251691088736</v>
      </c>
      <c r="S15" s="1005">
        <f>SUM(S7:S14)</f>
        <v>-1237.9</v>
      </c>
    </row>
    <row r="16" spans="19:20" ht="13.5" thickTop="1">
      <c r="S16" s="1007"/>
      <c r="T16" s="965"/>
    </row>
    <row r="17" spans="19:20" ht="12.75">
      <c r="S17" s="1007"/>
      <c r="T17" s="965"/>
    </row>
    <row r="18" spans="19:20" ht="12.75">
      <c r="S18" s="1007"/>
      <c r="T18" s="965"/>
    </row>
    <row r="19" spans="19:20" ht="12.75">
      <c r="S19" s="1007"/>
      <c r="T19" s="965"/>
    </row>
    <row r="20" spans="19:20" ht="12.75">
      <c r="S20" s="1007"/>
      <c r="T20" s="965"/>
    </row>
    <row r="21" spans="19:20" ht="12.75">
      <c r="S21" s="1007"/>
      <c r="T21" s="965"/>
    </row>
    <row r="22" spans="19:20" ht="12.75">
      <c r="S22" s="1007"/>
      <c r="T22" s="965"/>
    </row>
    <row r="23" spans="19:20" ht="12.75">
      <c r="S23" s="1007"/>
      <c r="T23" s="965"/>
    </row>
    <row r="24" spans="19:20" ht="12.75">
      <c r="S24" s="1007"/>
      <c r="T24" s="965"/>
    </row>
    <row r="25" spans="19:20" ht="12.75">
      <c r="S25" s="1007"/>
      <c r="T25" s="965"/>
    </row>
    <row r="26" spans="19:20" ht="12.75">
      <c r="S26" s="1007"/>
      <c r="T26" s="965"/>
    </row>
    <row r="27" spans="19:20" ht="12.75">
      <c r="S27" s="1007"/>
      <c r="T27" s="965"/>
    </row>
    <row r="28" spans="19:20" ht="12.75">
      <c r="S28" s="1007"/>
      <c r="T28" s="965"/>
    </row>
    <row r="29" spans="19:20" ht="12.75">
      <c r="S29" s="1007"/>
      <c r="T29" s="965"/>
    </row>
    <row r="30" spans="19:20" ht="12.75">
      <c r="S30" s="1007"/>
      <c r="T30" s="965"/>
    </row>
    <row r="31" spans="19:20" ht="12.75">
      <c r="S31" s="1007"/>
      <c r="T31" s="965"/>
    </row>
    <row r="32" spans="19:20" ht="12.75">
      <c r="S32" s="1007"/>
      <c r="T32" s="965"/>
    </row>
    <row r="33" spans="19:20" ht="12.75">
      <c r="S33" s="1007"/>
      <c r="T33" s="965"/>
    </row>
    <row r="34" spans="19:20" ht="12.75">
      <c r="S34" s="1007"/>
      <c r="T34" s="965"/>
    </row>
    <row r="35" spans="19:20" ht="12.75">
      <c r="S35" s="1007"/>
      <c r="T35" s="965"/>
    </row>
    <row r="36" spans="19:20" ht="12.75">
      <c r="S36" s="1007"/>
      <c r="T36" s="965"/>
    </row>
    <row r="37" spans="19:20" ht="12.75">
      <c r="S37" s="1007"/>
      <c r="T37" s="965"/>
    </row>
    <row r="38" spans="19:20" ht="12.75">
      <c r="S38" s="1007"/>
      <c r="T38" s="965"/>
    </row>
    <row r="39" spans="19:20" ht="12.75">
      <c r="S39" s="1007"/>
      <c r="T39" s="965"/>
    </row>
    <row r="40" spans="19:20" ht="12.75">
      <c r="S40" s="1007"/>
      <c r="T40" s="965"/>
    </row>
    <row r="41" spans="19:20" ht="12.75">
      <c r="S41" s="1007"/>
      <c r="T41" s="965"/>
    </row>
    <row r="42" spans="19:20" ht="12.75">
      <c r="S42" s="1007"/>
      <c r="T42" s="965"/>
    </row>
    <row r="43" spans="19:20" ht="12.75">
      <c r="S43" s="1007"/>
      <c r="T43" s="965"/>
    </row>
    <row r="44" spans="19:20" ht="12.75">
      <c r="S44" s="1007"/>
      <c r="T44" s="965"/>
    </row>
    <row r="45" spans="19:20" ht="12.75">
      <c r="S45" s="1007"/>
      <c r="T45" s="965"/>
    </row>
    <row r="46" spans="19:20" ht="12.75">
      <c r="S46" s="1007"/>
      <c r="T46" s="965"/>
    </row>
    <row r="47" spans="19:20" ht="12.75">
      <c r="S47" s="1007"/>
      <c r="T47" s="965"/>
    </row>
    <row r="48" spans="19:20" ht="12.75">
      <c r="S48" s="1007"/>
      <c r="T48" s="965"/>
    </row>
    <row r="49" spans="19:20" ht="12.75">
      <c r="S49" s="1007"/>
      <c r="T49" s="965"/>
    </row>
    <row r="50" spans="19:20" ht="12.75">
      <c r="S50" s="1007"/>
      <c r="T50" s="965"/>
    </row>
    <row r="51" spans="19:20" ht="12.75">
      <c r="S51" s="1007"/>
      <c r="T51" s="965"/>
    </row>
    <row r="52" spans="19:20" ht="12.75">
      <c r="S52" s="1007"/>
      <c r="T52" s="965"/>
    </row>
    <row r="53" spans="19:20" ht="12.75">
      <c r="S53" s="1007"/>
      <c r="T53" s="965"/>
    </row>
    <row r="54" spans="19:20" ht="12.75">
      <c r="S54" s="1007"/>
      <c r="T54" s="965"/>
    </row>
    <row r="55" spans="19:20" ht="12.75">
      <c r="S55" s="1007"/>
      <c r="T55" s="965"/>
    </row>
    <row r="56" spans="19:20" ht="12.75">
      <c r="S56" s="1007"/>
      <c r="T56" s="965"/>
    </row>
    <row r="57" spans="19:20" ht="12.75">
      <c r="S57" s="1007"/>
      <c r="T57" s="965"/>
    </row>
    <row r="58" spans="19:20" ht="12.75">
      <c r="S58" s="1007"/>
      <c r="T58" s="965"/>
    </row>
    <row r="59" spans="19:20" ht="12.75">
      <c r="S59" s="1007"/>
      <c r="T59" s="965"/>
    </row>
    <row r="60" spans="19:20" ht="12.75">
      <c r="S60" s="1007"/>
      <c r="T60" s="965"/>
    </row>
    <row r="61" spans="19:20" ht="12.75">
      <c r="S61" s="1007"/>
      <c r="T61" s="965"/>
    </row>
    <row r="62" spans="19:20" ht="12.75">
      <c r="S62" s="1007"/>
      <c r="T62" s="965"/>
    </row>
    <row r="63" spans="19:20" ht="12.75">
      <c r="S63" s="1007"/>
      <c r="T63" s="965"/>
    </row>
    <row r="64" spans="19:20" ht="12.75">
      <c r="S64" s="1007"/>
      <c r="T64" s="965"/>
    </row>
    <row r="65" spans="19:20" ht="12.75">
      <c r="S65" s="1007"/>
      <c r="T65" s="965"/>
    </row>
    <row r="66" spans="19:20" ht="12.75">
      <c r="S66" s="1007"/>
      <c r="T66" s="965"/>
    </row>
    <row r="67" spans="19:20" ht="12.75">
      <c r="S67" s="1007"/>
      <c r="T67" s="965"/>
    </row>
    <row r="68" spans="19:20" ht="12.75">
      <c r="S68" s="1007"/>
      <c r="T68" s="965"/>
    </row>
    <row r="69" spans="19:20" ht="12.75">
      <c r="S69" s="1007"/>
      <c r="T69" s="965"/>
    </row>
    <row r="70" spans="19:20" ht="12.75">
      <c r="S70" s="1007"/>
      <c r="T70" s="965"/>
    </row>
    <row r="71" spans="19:20" ht="12.75">
      <c r="S71" s="1007"/>
      <c r="T71" s="965"/>
    </row>
    <row r="72" spans="19:20" ht="12.75">
      <c r="S72" s="1007"/>
      <c r="T72" s="965"/>
    </row>
    <row r="73" spans="19:20" ht="12.75">
      <c r="S73" s="1007"/>
      <c r="T73" s="965"/>
    </row>
    <row r="74" spans="19:20" ht="12.75">
      <c r="S74" s="1007"/>
      <c r="T74" s="965"/>
    </row>
    <row r="75" spans="19:20" ht="12.75">
      <c r="S75" s="1007"/>
      <c r="T75" s="965"/>
    </row>
    <row r="76" spans="19:20" ht="12.75">
      <c r="S76" s="1007"/>
      <c r="T76" s="965"/>
    </row>
    <row r="77" spans="19:20" ht="12.75">
      <c r="S77" s="1007"/>
      <c r="T77" s="965"/>
    </row>
    <row r="78" spans="19:20" ht="12.75">
      <c r="S78" s="1007"/>
      <c r="T78" s="965"/>
    </row>
    <row r="79" spans="19:20" ht="12.75">
      <c r="S79" s="1007"/>
      <c r="T79" s="965"/>
    </row>
    <row r="80" spans="19:20" ht="12.75">
      <c r="S80" s="1007"/>
      <c r="T80" s="965"/>
    </row>
    <row r="81" spans="19:20" ht="12.75">
      <c r="S81" s="1007"/>
      <c r="T81" s="965"/>
    </row>
    <row r="82" spans="19:20" ht="12.75">
      <c r="S82" s="1007"/>
      <c r="T82" s="965"/>
    </row>
    <row r="83" spans="19:20" ht="12.75">
      <c r="S83" s="1007"/>
      <c r="T83" s="965"/>
    </row>
    <row r="84" spans="19:20" ht="12.75">
      <c r="S84" s="1007"/>
      <c r="T84" s="965"/>
    </row>
    <row r="85" spans="19:20" ht="12.75">
      <c r="S85" s="1007"/>
      <c r="T85" s="965"/>
    </row>
    <row r="86" spans="19:20" ht="12.75">
      <c r="S86" s="1007"/>
      <c r="T86" s="965"/>
    </row>
    <row r="87" spans="19:20" ht="12.75">
      <c r="S87" s="1007"/>
      <c r="T87" s="965"/>
    </row>
    <row r="88" spans="19:20" ht="12.75">
      <c r="S88" s="1007"/>
      <c r="T88" s="965"/>
    </row>
    <row r="89" spans="19:20" ht="12.75">
      <c r="S89" s="1007"/>
      <c r="T89" s="965"/>
    </row>
    <row r="90" spans="19:20" ht="12.75">
      <c r="S90" s="1007"/>
      <c r="T90" s="965"/>
    </row>
    <row r="91" spans="19:20" ht="12.75">
      <c r="S91" s="1007"/>
      <c r="T91" s="965"/>
    </row>
    <row r="92" spans="19:20" ht="12.75">
      <c r="S92" s="1007"/>
      <c r="T92" s="965"/>
    </row>
    <row r="93" spans="19:20" ht="12.75">
      <c r="S93" s="1007"/>
      <c r="T93" s="965"/>
    </row>
    <row r="94" spans="19:20" ht="12.75">
      <c r="S94" s="1007"/>
      <c r="T94" s="965"/>
    </row>
    <row r="95" spans="19:20" ht="12.75">
      <c r="S95" s="1007"/>
      <c r="T95" s="965"/>
    </row>
    <row r="96" spans="19:20" ht="12.75">
      <c r="S96" s="1007"/>
      <c r="T96" s="965"/>
    </row>
    <row r="97" spans="19:20" ht="12.75">
      <c r="S97" s="1007"/>
      <c r="T97" s="965"/>
    </row>
    <row r="98" spans="19:20" ht="12.75">
      <c r="S98" s="1007"/>
      <c r="T98" s="965"/>
    </row>
    <row r="99" spans="19:20" ht="12.75">
      <c r="S99" s="1007"/>
      <c r="T99" s="965"/>
    </row>
    <row r="100" spans="19:20" ht="12.75">
      <c r="S100" s="1007"/>
      <c r="T100" s="965"/>
    </row>
    <row r="101" spans="19:20" ht="12.75">
      <c r="S101" s="1007"/>
      <c r="T101" s="965"/>
    </row>
    <row r="102" spans="19:20" ht="12.75">
      <c r="S102" s="1007"/>
      <c r="T102" s="965"/>
    </row>
    <row r="103" spans="19:20" ht="12.75">
      <c r="S103" s="1007"/>
      <c r="T103" s="965"/>
    </row>
    <row r="104" spans="19:20" ht="12.75">
      <c r="S104" s="1007"/>
      <c r="T104" s="965"/>
    </row>
    <row r="105" spans="19:20" ht="12.75">
      <c r="S105" s="1007"/>
      <c r="T105" s="965"/>
    </row>
    <row r="106" spans="19:20" ht="12.75">
      <c r="S106" s="1007"/>
      <c r="T106" s="965"/>
    </row>
    <row r="107" spans="19:20" ht="12.75">
      <c r="S107" s="1007"/>
      <c r="T107" s="965"/>
    </row>
    <row r="108" spans="19:20" ht="12.75">
      <c r="S108" s="1007"/>
      <c r="T108" s="965"/>
    </row>
    <row r="109" spans="19:20" ht="12.75">
      <c r="S109" s="1007"/>
      <c r="T109" s="965"/>
    </row>
    <row r="110" spans="19:20" ht="12.75">
      <c r="S110" s="1007"/>
      <c r="T110" s="965"/>
    </row>
    <row r="111" spans="19:20" ht="12.75">
      <c r="S111" s="1007"/>
      <c r="T111" s="965"/>
    </row>
    <row r="112" spans="19:20" ht="12.75">
      <c r="S112" s="1007"/>
      <c r="T112" s="965"/>
    </row>
    <row r="113" spans="19:20" ht="12.75">
      <c r="S113" s="1007"/>
      <c r="T113" s="965"/>
    </row>
    <row r="114" spans="19:20" ht="12.75">
      <c r="S114" s="1007"/>
      <c r="T114" s="965"/>
    </row>
    <row r="115" spans="19:20" ht="12.75">
      <c r="S115" s="1007"/>
      <c r="T115" s="965"/>
    </row>
    <row r="116" spans="19:20" ht="12.75">
      <c r="S116" s="1007"/>
      <c r="T116" s="965"/>
    </row>
    <row r="117" spans="19:20" ht="12.75">
      <c r="S117" s="1007"/>
      <c r="T117" s="965"/>
    </row>
    <row r="118" spans="19:20" ht="12.75">
      <c r="S118" s="1007"/>
      <c r="T118" s="965"/>
    </row>
    <row r="119" spans="19:20" ht="12.75">
      <c r="S119" s="1007"/>
      <c r="T119" s="965"/>
    </row>
    <row r="120" spans="19:20" ht="12.75">
      <c r="S120" s="1007"/>
      <c r="T120" s="965"/>
    </row>
    <row r="121" spans="19:20" ht="12.75">
      <c r="S121" s="1007"/>
      <c r="T121" s="965"/>
    </row>
    <row r="122" spans="19:20" ht="12.75">
      <c r="S122" s="1007"/>
      <c r="T122" s="965"/>
    </row>
    <row r="123" spans="19:20" ht="12.75">
      <c r="S123" s="1007"/>
      <c r="T123" s="965"/>
    </row>
    <row r="124" spans="19:20" ht="12.75">
      <c r="S124" s="1007"/>
      <c r="T124" s="965"/>
    </row>
    <row r="125" spans="19:20" ht="12.75">
      <c r="S125" s="1007"/>
      <c r="T125" s="965"/>
    </row>
    <row r="126" spans="19:20" ht="12.75">
      <c r="S126" s="1007"/>
      <c r="T126" s="965"/>
    </row>
    <row r="127" spans="19:20" ht="12.75">
      <c r="S127" s="1007"/>
      <c r="T127" s="965"/>
    </row>
    <row r="128" spans="19:20" ht="12.75">
      <c r="S128" s="1007"/>
      <c r="T128" s="965"/>
    </row>
    <row r="129" spans="19:20" ht="12.75">
      <c r="S129" s="1007"/>
      <c r="T129" s="965"/>
    </row>
    <row r="130" spans="19:20" ht="12.75">
      <c r="S130" s="1007"/>
      <c r="T130" s="965"/>
    </row>
    <row r="131" spans="19:20" ht="12.75">
      <c r="S131" s="1007"/>
      <c r="T131" s="965"/>
    </row>
    <row r="132" spans="19:20" ht="12.75">
      <c r="S132" s="1007"/>
      <c r="T132" s="965"/>
    </row>
    <row r="133" spans="19:20" ht="12.75">
      <c r="S133" s="1007"/>
      <c r="T133" s="965"/>
    </row>
    <row r="134" spans="19:20" ht="12.75">
      <c r="S134" s="1007"/>
      <c r="T134" s="965"/>
    </row>
    <row r="135" spans="19:20" ht="12.75">
      <c r="S135" s="1007"/>
      <c r="T135" s="965"/>
    </row>
    <row r="136" spans="19:20" ht="12.75">
      <c r="S136" s="1007"/>
      <c r="T136" s="965"/>
    </row>
    <row r="137" spans="19:20" ht="12.75">
      <c r="S137" s="1007"/>
      <c r="T137" s="965"/>
    </row>
    <row r="138" spans="19:20" ht="12.75">
      <c r="S138" s="1007"/>
      <c r="T138" s="965"/>
    </row>
    <row r="139" spans="19:20" ht="12.75">
      <c r="S139" s="1007"/>
      <c r="T139" s="965"/>
    </row>
  </sheetData>
  <mergeCells count="3">
    <mergeCell ref="R1:S1"/>
    <mergeCell ref="B2:Q2"/>
    <mergeCell ref="A15:B15"/>
  </mergeCells>
  <printOptions horizontalCentered="1"/>
  <pageMargins left="0" right="0" top="0.7874015748031497" bottom="0.3937007874015748" header="0.5118110236220472" footer="0.5118110236220472"/>
  <pageSetup firstPageNumber="62" useFirstPageNumber="1" horizontalDpi="600" verticalDpi="600" orientation="landscape" paperSize="9" r:id="rId1"/>
  <headerFooter alignWithMargins="0">
    <oddHeader>&amp;C&amp;"Times New Roman,Normalny"&amp;P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IV16384"/>
    </sheetView>
  </sheetViews>
  <sheetFormatPr defaultColWidth="9.00390625" defaultRowHeight="12.75"/>
  <cols>
    <col min="2" max="2" width="59.125" style="0" customWidth="1"/>
    <col min="3" max="5" width="13.75390625" style="0" customWidth="1"/>
    <col min="6" max="6" width="11.375" style="0" customWidth="1"/>
    <col min="7" max="7" width="12.625" style="0" customWidth="1"/>
  </cols>
  <sheetData>
    <row r="1" spans="1:7" ht="24" customHeight="1">
      <c r="A1" s="751" t="s">
        <v>899</v>
      </c>
      <c r="C1" s="683"/>
      <c r="D1" s="1009"/>
      <c r="G1" s="683"/>
    </row>
    <row r="2" spans="1:4" ht="24" customHeight="1">
      <c r="A2" s="683"/>
      <c r="B2" s="683"/>
      <c r="C2" s="683"/>
      <c r="D2" s="683"/>
    </row>
    <row r="3" spans="1:7" ht="18.75">
      <c r="A3" s="1010" t="s">
        <v>900</v>
      </c>
      <c r="B3" s="1010"/>
      <c r="C3" s="1011"/>
      <c r="G3" s="1012" t="s">
        <v>901</v>
      </c>
    </row>
    <row r="4" spans="2:5" ht="20.25" customHeight="1">
      <c r="B4" s="1013" t="s">
        <v>902</v>
      </c>
      <c r="C4" s="1014"/>
      <c r="D4" s="1014"/>
      <c r="E4" s="1014"/>
    </row>
    <row r="5" spans="1:4" ht="10.5" customHeight="1">
      <c r="A5" s="683"/>
      <c r="B5" s="683"/>
      <c r="C5" s="683"/>
      <c r="D5" s="683"/>
    </row>
    <row r="6" spans="1:7" ht="13.5" thickBot="1">
      <c r="A6" s="683"/>
      <c r="B6" s="683"/>
      <c r="C6" s="683"/>
      <c r="D6" s="681"/>
      <c r="G6" s="681" t="s">
        <v>903</v>
      </c>
    </row>
    <row r="7" spans="1:7" s="1019" customFormat="1" ht="39" customHeight="1" thickBot="1" thickTop="1">
      <c r="A7" s="1015" t="s">
        <v>543</v>
      </c>
      <c r="B7" s="1016" t="s">
        <v>586</v>
      </c>
      <c r="C7" s="1017" t="s">
        <v>904</v>
      </c>
      <c r="D7" s="1017" t="s">
        <v>905</v>
      </c>
      <c r="E7" s="1017" t="s">
        <v>906</v>
      </c>
      <c r="F7" s="1017" t="s">
        <v>907</v>
      </c>
      <c r="G7" s="1018" t="s">
        <v>908</v>
      </c>
    </row>
    <row r="8" spans="1:7" s="1024" customFormat="1" ht="12" customHeight="1" thickBot="1" thickTop="1">
      <c r="A8" s="1020">
        <v>1</v>
      </c>
      <c r="B8" s="1021">
        <v>2</v>
      </c>
      <c r="C8" s="1022">
        <v>3</v>
      </c>
      <c r="D8" s="1022">
        <v>4</v>
      </c>
      <c r="E8" s="1022">
        <v>5</v>
      </c>
      <c r="F8" s="1022">
        <v>6</v>
      </c>
      <c r="G8" s="1023">
        <v>7</v>
      </c>
    </row>
    <row r="9" spans="1:7" s="1019" customFormat="1" ht="21.75" customHeight="1" thickTop="1">
      <c r="A9" s="1025" t="s">
        <v>686</v>
      </c>
      <c r="B9" s="1026" t="s">
        <v>909</v>
      </c>
      <c r="C9" s="1027">
        <f>C11+C12+C13</f>
        <v>1567803</v>
      </c>
      <c r="D9" s="1027">
        <f>D11+D12+D13</f>
        <v>2447813</v>
      </c>
      <c r="E9" s="1027">
        <f>E11+E12+E13</f>
        <v>2538221</v>
      </c>
      <c r="F9" s="1028">
        <f>E9/C9*100</f>
        <v>161.89667962110036</v>
      </c>
      <c r="G9" s="1029">
        <f>E9/D9*100</f>
        <v>103.69341939110545</v>
      </c>
    </row>
    <row r="10" spans="1:7" s="1019" customFormat="1" ht="15" customHeight="1" thickBot="1">
      <c r="A10" s="1030"/>
      <c r="B10" s="1031" t="s">
        <v>910</v>
      </c>
      <c r="C10" s="1032"/>
      <c r="D10" s="1032"/>
      <c r="E10" s="1032"/>
      <c r="F10" s="1032"/>
      <c r="G10" s="1033"/>
    </row>
    <row r="11" spans="1:7" s="1019" customFormat="1" ht="21" customHeight="1" thickTop="1">
      <c r="A11" s="1034" t="s">
        <v>557</v>
      </c>
      <c r="B11" s="1035" t="s">
        <v>911</v>
      </c>
      <c r="C11" s="1036">
        <v>539944</v>
      </c>
      <c r="D11" s="1036">
        <v>905000</v>
      </c>
      <c r="E11" s="1036">
        <v>1323374</v>
      </c>
      <c r="F11" s="1037">
        <f>E11/C11*100</f>
        <v>245.0946764849688</v>
      </c>
      <c r="G11" s="1038">
        <f>E11/D11*100</f>
        <v>146.22917127071824</v>
      </c>
    </row>
    <row r="12" spans="1:7" s="1019" customFormat="1" ht="21" customHeight="1">
      <c r="A12" s="1039" t="s">
        <v>559</v>
      </c>
      <c r="B12" s="1040" t="s">
        <v>912</v>
      </c>
      <c r="C12" s="1041">
        <v>248860</v>
      </c>
      <c r="D12" s="1041">
        <v>373504</v>
      </c>
      <c r="E12" s="1041">
        <v>128258</v>
      </c>
      <c r="F12" s="1042">
        <f>E12/C12*100</f>
        <v>51.53821425701197</v>
      </c>
      <c r="G12" s="1043">
        <f>E12/D12*100</f>
        <v>34.33912354352296</v>
      </c>
    </row>
    <row r="13" spans="1:7" s="1047" customFormat="1" ht="21" customHeight="1" thickBot="1">
      <c r="A13" s="1044" t="s">
        <v>561</v>
      </c>
      <c r="B13" s="1045" t="s">
        <v>913</v>
      </c>
      <c r="C13" s="1046">
        <v>778999</v>
      </c>
      <c r="D13" s="1046">
        <v>1169309</v>
      </c>
      <c r="E13" s="1046">
        <v>1086589</v>
      </c>
      <c r="F13" s="1042">
        <f>E13/C13*100</f>
        <v>139.48528817110164</v>
      </c>
      <c r="G13" s="1043">
        <f>E13/D13*100</f>
        <v>92.92573648197354</v>
      </c>
    </row>
    <row r="14" spans="1:7" s="1019" customFormat="1" ht="21.75" customHeight="1" thickTop="1">
      <c r="A14" s="1025" t="s">
        <v>696</v>
      </c>
      <c r="B14" s="1026" t="s">
        <v>914</v>
      </c>
      <c r="C14" s="1027">
        <f>C16+C17+C18</f>
        <v>692404</v>
      </c>
      <c r="D14" s="1027">
        <f>D16+D17+D18</f>
        <v>1778686</v>
      </c>
      <c r="E14" s="1027">
        <f>E16+E17+E18</f>
        <v>724467</v>
      </c>
      <c r="F14" s="1028">
        <f>E14/C14*100</f>
        <v>104.63067804345441</v>
      </c>
      <c r="G14" s="1029">
        <f>E14/D14*100</f>
        <v>40.73046057595326</v>
      </c>
    </row>
    <row r="15" spans="1:7" s="1019" customFormat="1" ht="15" customHeight="1" thickBot="1">
      <c r="A15" s="1030"/>
      <c r="B15" s="1031" t="s">
        <v>910</v>
      </c>
      <c r="C15" s="1032"/>
      <c r="D15" s="1032"/>
      <c r="E15" s="1032"/>
      <c r="F15" s="1032"/>
      <c r="G15" s="1033"/>
    </row>
    <row r="16" spans="1:7" s="1019" customFormat="1" ht="21" customHeight="1" thickTop="1">
      <c r="A16" s="1034" t="s">
        <v>557</v>
      </c>
      <c r="B16" s="1035" t="s">
        <v>911</v>
      </c>
      <c r="C16" s="1036">
        <v>470604</v>
      </c>
      <c r="D16" s="1036">
        <v>905000</v>
      </c>
      <c r="E16" s="1036">
        <v>563848</v>
      </c>
      <c r="F16" s="1037">
        <f>E16/C16*100</f>
        <v>119.81368624151092</v>
      </c>
      <c r="G16" s="1038">
        <f>E16/D16*100</f>
        <v>62.303646408839775</v>
      </c>
    </row>
    <row r="17" spans="1:7" s="1019" customFormat="1" ht="21" customHeight="1">
      <c r="A17" s="1048" t="s">
        <v>559</v>
      </c>
      <c r="B17" s="1040" t="s">
        <v>912</v>
      </c>
      <c r="C17" s="1041">
        <v>168200</v>
      </c>
      <c r="D17" s="1041">
        <v>300000</v>
      </c>
      <c r="E17" s="1041">
        <v>70000</v>
      </c>
      <c r="F17" s="1042">
        <f>E17/C17*100</f>
        <v>41.61712247324614</v>
      </c>
      <c r="G17" s="1043">
        <f>E17/D17*100</f>
        <v>23.333333333333332</v>
      </c>
    </row>
    <row r="18" spans="1:7" s="1047" customFormat="1" ht="21" customHeight="1" thickBot="1">
      <c r="A18" s="1049" t="s">
        <v>561</v>
      </c>
      <c r="B18" s="1050" t="s">
        <v>913</v>
      </c>
      <c r="C18" s="1051">
        <v>53600</v>
      </c>
      <c r="D18" s="1051">
        <v>573686</v>
      </c>
      <c r="E18" s="1051">
        <v>90619</v>
      </c>
      <c r="F18" s="1042">
        <f>E18/C18*100</f>
        <v>169.06529850746267</v>
      </c>
      <c r="G18" s="1043">
        <f>E18/D18*100</f>
        <v>15.795923205377157</v>
      </c>
    </row>
    <row r="19" spans="1:7" s="1019" customFormat="1" ht="21.75" customHeight="1" thickTop="1">
      <c r="A19" s="1025" t="s">
        <v>702</v>
      </c>
      <c r="B19" s="1026" t="s">
        <v>915</v>
      </c>
      <c r="C19" s="1027">
        <f>C9-C14</f>
        <v>875399</v>
      </c>
      <c r="D19" s="1027">
        <f>D9-D14</f>
        <v>669127</v>
      </c>
      <c r="E19" s="1027">
        <f>E9-E14</f>
        <v>1813754</v>
      </c>
      <c r="F19" s="1028">
        <f>E19/C19*100</f>
        <v>207.1916920170117</v>
      </c>
      <c r="G19" s="1029">
        <f>E19/D19*100</f>
        <v>271.06274294715354</v>
      </c>
    </row>
    <row r="20" spans="1:7" s="1019" customFormat="1" ht="15" customHeight="1" thickBot="1">
      <c r="A20" s="1052"/>
      <c r="B20" s="1031" t="s">
        <v>910</v>
      </c>
      <c r="C20" s="1053"/>
      <c r="D20" s="1053"/>
      <c r="E20" s="1053"/>
      <c r="F20" s="1053"/>
      <c r="G20" s="1054"/>
    </row>
    <row r="21" spans="1:7" s="1019" customFormat="1" ht="21" customHeight="1" thickTop="1">
      <c r="A21" s="1055"/>
      <c r="B21" s="1035" t="s">
        <v>911</v>
      </c>
      <c r="C21" s="1036">
        <f aca="true" t="shared" si="0" ref="C21:E23">C11-C16</f>
        <v>69340</v>
      </c>
      <c r="D21" s="1036">
        <f t="shared" si="0"/>
        <v>0</v>
      </c>
      <c r="E21" s="1036">
        <f t="shared" si="0"/>
        <v>759526</v>
      </c>
      <c r="F21" s="1037">
        <f>E21/C21*100</f>
        <v>1095.364868762619</v>
      </c>
      <c r="G21" s="1056" t="s">
        <v>664</v>
      </c>
    </row>
    <row r="22" spans="1:7" s="1019" customFormat="1" ht="21" customHeight="1">
      <c r="A22" s="1055"/>
      <c r="B22" s="1057" t="s">
        <v>912</v>
      </c>
      <c r="C22" s="1041">
        <f t="shared" si="0"/>
        <v>80660</v>
      </c>
      <c r="D22" s="1041">
        <f t="shared" si="0"/>
        <v>73504</v>
      </c>
      <c r="E22" s="1041">
        <f t="shared" si="0"/>
        <v>58258</v>
      </c>
      <c r="F22" s="1042">
        <f>E22/C22*100</f>
        <v>72.2266303000248</v>
      </c>
      <c r="G22" s="1058">
        <f>E22/D22*100</f>
        <v>79.25827165868525</v>
      </c>
    </row>
    <row r="23" spans="1:7" s="1047" customFormat="1" ht="21" customHeight="1" thickBot="1">
      <c r="A23" s="1059"/>
      <c r="B23" s="1060" t="s">
        <v>913</v>
      </c>
      <c r="C23" s="1061">
        <f t="shared" si="0"/>
        <v>725399</v>
      </c>
      <c r="D23" s="1061">
        <f t="shared" si="0"/>
        <v>595623</v>
      </c>
      <c r="E23" s="1061">
        <f t="shared" si="0"/>
        <v>995970</v>
      </c>
      <c r="F23" s="1062">
        <f>E23/C23*100</f>
        <v>137.29961028344403</v>
      </c>
      <c r="G23" s="1063">
        <f>E23/D23*100</f>
        <v>167.21483220090562</v>
      </c>
    </row>
    <row r="24" spans="3:5" ht="13.5" thickTop="1">
      <c r="C24" s="1064"/>
      <c r="D24" s="1064"/>
      <c r="E24" s="1064"/>
    </row>
    <row r="26" spans="1:3" ht="18.75">
      <c r="A26" s="1010"/>
      <c r="B26" s="1010"/>
      <c r="C26" s="1011"/>
    </row>
  </sheetData>
  <printOptions horizontalCentered="1"/>
  <pageMargins left="0" right="0" top="0.984251968503937" bottom="0.5905511811023623" header="0.5118110236220472" footer="0.5118110236220472"/>
  <pageSetup firstPageNumber="65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12" sqref="F12"/>
    </sheetView>
  </sheetViews>
  <sheetFormatPr defaultColWidth="9.00390625" defaultRowHeight="12.75"/>
  <cols>
    <col min="1" max="1" width="5.25390625" style="1065" customWidth="1"/>
    <col min="2" max="2" width="32.75390625" style="533" customWidth="1"/>
    <col min="3" max="3" width="10.25390625" style="533" customWidth="1"/>
    <col min="4" max="4" width="9.375" style="533" customWidth="1"/>
    <col min="5" max="5" width="10.125" style="533" customWidth="1"/>
    <col min="6" max="7" width="9.75390625" style="533" customWidth="1"/>
    <col min="8" max="8" width="9.375" style="533" customWidth="1"/>
    <col min="9" max="9" width="9.625" style="533" customWidth="1"/>
    <col min="10" max="10" width="9.75390625" style="533" customWidth="1"/>
    <col min="11" max="11" width="10.25390625" style="533" customWidth="1"/>
    <col min="12" max="16384" width="9.125" style="533" customWidth="1"/>
  </cols>
  <sheetData>
    <row r="1" ht="15.75">
      <c r="L1" s="325" t="s">
        <v>916</v>
      </c>
    </row>
    <row r="2" spans="1:12" ht="19.5" customHeight="1">
      <c r="A2" s="1125" t="s">
        <v>944</v>
      </c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</row>
    <row r="3" spans="1:12" ht="20.25" customHeight="1">
      <c r="A3" s="1066" t="s">
        <v>917</v>
      </c>
      <c r="L3" s="325"/>
    </row>
    <row r="4" spans="1:12" ht="20.25" customHeight="1" thickBot="1">
      <c r="A4" s="1066"/>
      <c r="L4" s="325"/>
    </row>
    <row r="5" spans="1:12" ht="28.5" customHeight="1" thickBot="1" thickTop="1">
      <c r="A5" s="1067" t="s">
        <v>543</v>
      </c>
      <c r="B5" s="1068" t="s">
        <v>818</v>
      </c>
      <c r="C5" s="1069" t="s">
        <v>918</v>
      </c>
      <c r="D5" s="1070" t="s">
        <v>919</v>
      </c>
      <c r="E5" s="1071"/>
      <c r="F5" s="1072"/>
      <c r="G5" s="1072"/>
      <c r="H5" s="1070" t="s">
        <v>920</v>
      </c>
      <c r="I5" s="1071"/>
      <c r="J5" s="1072"/>
      <c r="K5" s="1072"/>
      <c r="L5" s="1073" t="s">
        <v>921</v>
      </c>
    </row>
    <row r="6" spans="1:12" s="1082" customFormat="1" ht="39" customHeight="1" thickBot="1" thickTop="1">
      <c r="A6" s="1074"/>
      <c r="B6" s="1075"/>
      <c r="C6" s="1076" t="s">
        <v>922</v>
      </c>
      <c r="D6" s="1077" t="s">
        <v>923</v>
      </c>
      <c r="E6" s="1078" t="s">
        <v>924</v>
      </c>
      <c r="F6" s="1077" t="s">
        <v>925</v>
      </c>
      <c r="G6" s="1079" t="s">
        <v>926</v>
      </c>
      <c r="H6" s="1080" t="s">
        <v>927</v>
      </c>
      <c r="I6" s="1078" t="s">
        <v>924</v>
      </c>
      <c r="J6" s="1077" t="s">
        <v>928</v>
      </c>
      <c r="K6" s="1079" t="s">
        <v>926</v>
      </c>
      <c r="L6" s="1081" t="s">
        <v>929</v>
      </c>
    </row>
    <row r="7" spans="1:12" s="1089" customFormat="1" ht="9.75" customHeight="1" thickBot="1" thickTop="1">
      <c r="A7" s="1083">
        <v>1</v>
      </c>
      <c r="B7" s="1084">
        <v>2</v>
      </c>
      <c r="C7" s="1085">
        <v>3</v>
      </c>
      <c r="D7" s="1086">
        <v>4</v>
      </c>
      <c r="E7" s="1086">
        <v>5</v>
      </c>
      <c r="F7" s="1086">
        <v>6</v>
      </c>
      <c r="G7" s="1087">
        <v>7</v>
      </c>
      <c r="H7" s="1086">
        <v>8</v>
      </c>
      <c r="I7" s="1086">
        <v>9</v>
      </c>
      <c r="J7" s="1086">
        <v>10</v>
      </c>
      <c r="K7" s="1088">
        <v>11</v>
      </c>
      <c r="L7" s="1085">
        <v>12</v>
      </c>
    </row>
    <row r="8" spans="1:12" s="1096" customFormat="1" ht="30" customHeight="1" thickTop="1">
      <c r="A8" s="1090" t="s">
        <v>557</v>
      </c>
      <c r="B8" s="1091" t="s">
        <v>930</v>
      </c>
      <c r="C8" s="1092">
        <v>1444.9</v>
      </c>
      <c r="D8" s="1093">
        <v>696.737</v>
      </c>
      <c r="E8" s="1093">
        <v>2189</v>
      </c>
      <c r="F8" s="1093">
        <v>913.3</v>
      </c>
      <c r="G8" s="1094">
        <f>F8/E8*100</f>
        <v>41.72224760164458</v>
      </c>
      <c r="H8" s="1093">
        <v>231.731</v>
      </c>
      <c r="I8" s="1093">
        <v>2189</v>
      </c>
      <c r="J8" s="1093">
        <v>213</v>
      </c>
      <c r="K8" s="1095">
        <f>J8/I8*100</f>
        <v>9.730470534490635</v>
      </c>
      <c r="L8" s="1092">
        <f>C8+F8-J8</f>
        <v>2145.2</v>
      </c>
    </row>
    <row r="9" spans="1:12" s="1096" customFormat="1" ht="30" customHeight="1">
      <c r="A9" s="1097" t="s">
        <v>559</v>
      </c>
      <c r="B9" s="1098" t="s">
        <v>931</v>
      </c>
      <c r="C9" s="1099">
        <v>0.1</v>
      </c>
      <c r="D9" s="1100">
        <v>140.954</v>
      </c>
      <c r="E9" s="1100">
        <v>0</v>
      </c>
      <c r="F9" s="1100">
        <v>0</v>
      </c>
      <c r="G9" s="1101" t="s">
        <v>664</v>
      </c>
      <c r="H9" s="1100">
        <v>142.356</v>
      </c>
      <c r="I9" s="1100">
        <v>0</v>
      </c>
      <c r="J9" s="1100">
        <v>0.1</v>
      </c>
      <c r="K9" s="1101" t="s">
        <v>664</v>
      </c>
      <c r="L9" s="1102">
        <f aca="true" t="shared" si="0" ref="L9:L14">C9+F9-J9</f>
        <v>0</v>
      </c>
    </row>
    <row r="10" spans="1:12" s="1096" customFormat="1" ht="30" customHeight="1">
      <c r="A10" s="1097" t="s">
        <v>561</v>
      </c>
      <c r="B10" s="1098" t="s">
        <v>932</v>
      </c>
      <c r="C10" s="1099">
        <v>11.7</v>
      </c>
      <c r="D10" s="1100">
        <v>8.734</v>
      </c>
      <c r="E10" s="1103">
        <v>0</v>
      </c>
      <c r="F10" s="1100">
        <v>0</v>
      </c>
      <c r="G10" s="1101" t="s">
        <v>664</v>
      </c>
      <c r="H10" s="1103">
        <v>0</v>
      </c>
      <c r="I10" s="1103">
        <v>0</v>
      </c>
      <c r="J10" s="1103">
        <v>11.7</v>
      </c>
      <c r="K10" s="1101" t="s">
        <v>664</v>
      </c>
      <c r="L10" s="1102">
        <f t="shared" si="0"/>
        <v>0</v>
      </c>
    </row>
    <row r="11" spans="1:12" s="1096" customFormat="1" ht="30" customHeight="1">
      <c r="A11" s="1097" t="s">
        <v>933</v>
      </c>
      <c r="B11" s="1098" t="s">
        <v>934</v>
      </c>
      <c r="C11" s="1099">
        <v>5.1</v>
      </c>
      <c r="D11" s="1100">
        <v>2.2</v>
      </c>
      <c r="E11" s="1103">
        <v>12</v>
      </c>
      <c r="F11" s="1100">
        <v>1</v>
      </c>
      <c r="G11" s="1095">
        <f>F11/E11*100</f>
        <v>8.333333333333332</v>
      </c>
      <c r="H11" s="1100">
        <v>8.177</v>
      </c>
      <c r="I11" s="1100">
        <v>12</v>
      </c>
      <c r="J11" s="1100">
        <v>6.1</v>
      </c>
      <c r="K11" s="1095">
        <f>J11/I11*100</f>
        <v>50.83333333333333</v>
      </c>
      <c r="L11" s="1102">
        <f t="shared" si="0"/>
        <v>0</v>
      </c>
    </row>
    <row r="12" spans="1:12" s="1105" customFormat="1" ht="34.5" customHeight="1">
      <c r="A12" s="1097" t="s">
        <v>935</v>
      </c>
      <c r="B12" s="1104" t="s">
        <v>936</v>
      </c>
      <c r="C12" s="1099">
        <v>13.2</v>
      </c>
      <c r="D12" s="1100">
        <v>19.103</v>
      </c>
      <c r="E12" s="1100">
        <v>0</v>
      </c>
      <c r="F12" s="1100">
        <v>0</v>
      </c>
      <c r="G12" s="1101" t="s">
        <v>664</v>
      </c>
      <c r="H12" s="1100">
        <v>0.05</v>
      </c>
      <c r="I12" s="1103">
        <v>0</v>
      </c>
      <c r="J12" s="1100">
        <v>13.2</v>
      </c>
      <c r="K12" s="1101" t="s">
        <v>664</v>
      </c>
      <c r="L12" s="1102">
        <f t="shared" si="0"/>
        <v>0</v>
      </c>
    </row>
    <row r="13" spans="1:12" s="1106" customFormat="1" ht="30" customHeight="1">
      <c r="A13" s="1097" t="s">
        <v>937</v>
      </c>
      <c r="B13" s="1098" t="s">
        <v>938</v>
      </c>
      <c r="C13" s="1099">
        <v>36.9</v>
      </c>
      <c r="D13" s="1100">
        <v>46.829</v>
      </c>
      <c r="E13" s="1100">
        <v>3.1</v>
      </c>
      <c r="F13" s="1100">
        <v>3.1</v>
      </c>
      <c r="G13" s="1095">
        <f aca="true" t="shared" si="1" ref="G13:G18">F13/E13*100</f>
        <v>100</v>
      </c>
      <c r="H13" s="1100">
        <v>48.41</v>
      </c>
      <c r="I13" s="1100">
        <v>25.1</v>
      </c>
      <c r="J13" s="1100">
        <v>40</v>
      </c>
      <c r="K13" s="1095">
        <f aca="true" t="shared" si="2" ref="K13:K18">J13/I13*100</f>
        <v>159.3625498007968</v>
      </c>
      <c r="L13" s="1102">
        <f t="shared" si="0"/>
        <v>0</v>
      </c>
    </row>
    <row r="14" spans="1:12" s="1106" customFormat="1" ht="27.75" customHeight="1" thickBot="1">
      <c r="A14" s="1097" t="s">
        <v>939</v>
      </c>
      <c r="B14" s="1098" t="s">
        <v>940</v>
      </c>
      <c r="C14" s="1099">
        <v>160.6</v>
      </c>
      <c r="D14" s="1100">
        <v>426.275</v>
      </c>
      <c r="E14" s="1100">
        <v>164.8</v>
      </c>
      <c r="F14" s="1100">
        <v>164.8</v>
      </c>
      <c r="G14" s="1107">
        <f t="shared" si="1"/>
        <v>100</v>
      </c>
      <c r="H14" s="1100">
        <v>425.529</v>
      </c>
      <c r="I14" s="1100">
        <v>325.386</v>
      </c>
      <c r="J14" s="1100">
        <v>325.386</v>
      </c>
      <c r="K14" s="1108">
        <f t="shared" si="2"/>
        <v>100</v>
      </c>
      <c r="L14" s="1092">
        <f t="shared" si="0"/>
        <v>0.013999999999953161</v>
      </c>
    </row>
    <row r="15" spans="1:12" s="325" customFormat="1" ht="16.5" customHeight="1" hidden="1">
      <c r="A15" s="1109"/>
      <c r="B15" s="1110" t="s">
        <v>554</v>
      </c>
      <c r="C15" s="1111"/>
      <c r="D15" s="1112"/>
      <c r="E15" s="1112"/>
      <c r="F15" s="1112"/>
      <c r="G15" s="1113" t="e">
        <f t="shared" si="1"/>
        <v>#DIV/0!</v>
      </c>
      <c r="H15" s="1112"/>
      <c r="I15" s="1112"/>
      <c r="J15" s="1112"/>
      <c r="K15" s="1113" t="e">
        <f t="shared" si="2"/>
        <v>#DIV/0!</v>
      </c>
      <c r="L15" s="1111"/>
    </row>
    <row r="16" spans="1:12" s="1118" customFormat="1" ht="20.25" customHeight="1" hidden="1">
      <c r="A16" s="1114"/>
      <c r="B16" s="1115" t="s">
        <v>941</v>
      </c>
      <c r="C16" s="1116">
        <v>89.7</v>
      </c>
      <c r="D16" s="1117"/>
      <c r="E16" s="1117"/>
      <c r="F16" s="1117"/>
      <c r="G16" s="1113" t="e">
        <f t="shared" si="1"/>
        <v>#DIV/0!</v>
      </c>
      <c r="H16" s="1117"/>
      <c r="I16" s="1117"/>
      <c r="J16" s="1117"/>
      <c r="K16" s="1113" t="e">
        <f t="shared" si="2"/>
        <v>#DIV/0!</v>
      </c>
      <c r="L16" s="1116"/>
    </row>
    <row r="17" spans="1:12" s="1118" customFormat="1" ht="20.25" customHeight="1" hidden="1">
      <c r="A17" s="1114"/>
      <c r="B17" s="1115" t="s">
        <v>942</v>
      </c>
      <c r="C17" s="1116">
        <v>113.2</v>
      </c>
      <c r="D17" s="1117"/>
      <c r="E17" s="1117"/>
      <c r="F17" s="1117"/>
      <c r="G17" s="1113" t="e">
        <f t="shared" si="1"/>
        <v>#DIV/0!</v>
      </c>
      <c r="H17" s="1117"/>
      <c r="I17" s="1117"/>
      <c r="J17" s="1117"/>
      <c r="K17" s="1113" t="e">
        <f t="shared" si="2"/>
        <v>#DIV/0!</v>
      </c>
      <c r="L17" s="1116"/>
    </row>
    <row r="18" spans="1:12" s="1124" customFormat="1" ht="33.75" customHeight="1" thickBot="1" thickTop="1">
      <c r="A18" s="1119"/>
      <c r="B18" s="1127" t="s">
        <v>943</v>
      </c>
      <c r="C18" s="1120">
        <f>SUM(C8:C14)</f>
        <v>1672.5</v>
      </c>
      <c r="D18" s="1121">
        <f>SUM(D8:D14)</f>
        <v>1340.8319999999999</v>
      </c>
      <c r="E18" s="1121">
        <f aca="true" t="shared" si="3" ref="E18:L18">SUM(E8:E14)</f>
        <v>2368.9</v>
      </c>
      <c r="F18" s="1121">
        <f t="shared" si="3"/>
        <v>1082.2</v>
      </c>
      <c r="G18" s="1122">
        <f t="shared" si="1"/>
        <v>45.68365063953734</v>
      </c>
      <c r="H18" s="1121">
        <f>SUM(H8:H14)</f>
        <v>856.253</v>
      </c>
      <c r="I18" s="1121">
        <f t="shared" si="3"/>
        <v>2551.486</v>
      </c>
      <c r="J18" s="1121">
        <f t="shared" si="3"/>
        <v>609.486</v>
      </c>
      <c r="K18" s="1123">
        <f t="shared" si="2"/>
        <v>23.887491446161178</v>
      </c>
      <c r="L18" s="1120">
        <f t="shared" si="3"/>
        <v>2145.214</v>
      </c>
    </row>
    <row r="19" ht="16.5" thickTop="1"/>
  </sheetData>
  <printOptions horizontalCentered="1"/>
  <pageMargins left="0" right="0" top="0.984251968503937" bottom="0.5905511811023623" header="0.5118110236220472" footer="0.5118110236220472"/>
  <pageSetup firstPageNumber="66" useFirstPageNumber="1" horizontalDpi="600" verticalDpi="600" orientation="landscape" paperSize="9" r:id="rId1"/>
  <headerFooter alignWithMargins="0">
    <oddHeader>&amp;C&amp;"Times New Roman,Normalny"&amp;P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93"/>
  <sheetViews>
    <sheetView workbookViewId="0" topLeftCell="A1">
      <selection activeCell="B9" sqref="B9"/>
    </sheetView>
  </sheetViews>
  <sheetFormatPr defaultColWidth="9.00390625" defaultRowHeight="12.75"/>
  <cols>
    <col min="1" max="1" width="4.25390625" style="743" customWidth="1"/>
    <col min="2" max="2" width="50.75390625" style="714" customWidth="1"/>
    <col min="3" max="3" width="8.00390625" style="1282" customWidth="1"/>
    <col min="4" max="4" width="10.125" style="683" bestFit="1" customWidth="1"/>
    <col min="5" max="5" width="10.375" style="683" customWidth="1"/>
    <col min="6" max="6" width="10.00390625" style="683" customWidth="1"/>
    <col min="7" max="7" width="5.625" style="749" customWidth="1"/>
    <col min="8" max="8" width="47.25390625" style="743" customWidth="1"/>
    <col min="9" max="12" width="9.125" style="683" customWidth="1"/>
  </cols>
  <sheetData>
    <row r="1" spans="1:12" s="1131" customFormat="1" ht="24.75" customHeight="1">
      <c r="A1" s="1128"/>
      <c r="B1" s="1129" t="s">
        <v>945</v>
      </c>
      <c r="C1" s="1130"/>
      <c r="D1" s="1130"/>
      <c r="E1" s="1130"/>
      <c r="F1" s="1130"/>
      <c r="G1" s="1130"/>
      <c r="H1" s="1130"/>
      <c r="I1" s="1013"/>
      <c r="J1" s="1011"/>
      <c r="K1" s="1011"/>
      <c r="L1" s="1011"/>
    </row>
    <row r="2" spans="1:12" s="1139" customFormat="1" ht="21" customHeight="1" thickBot="1">
      <c r="A2" s="1132"/>
      <c r="B2" s="1133" t="s">
        <v>946</v>
      </c>
      <c r="C2" s="1134"/>
      <c r="D2" s="1135"/>
      <c r="E2" s="1135"/>
      <c r="F2" s="1136" t="s">
        <v>872</v>
      </c>
      <c r="G2" s="1137"/>
      <c r="H2" s="743" t="s">
        <v>647</v>
      </c>
      <c r="I2" s="1135"/>
      <c r="J2" s="1138"/>
      <c r="K2" s="1138"/>
      <c r="L2" s="1138"/>
    </row>
    <row r="3" spans="1:9" ht="14.25" customHeight="1" thickTop="1">
      <c r="A3" s="1140"/>
      <c r="B3" s="1141"/>
      <c r="C3" s="1017"/>
      <c r="D3" s="1142" t="s">
        <v>947</v>
      </c>
      <c r="E3" s="1142"/>
      <c r="F3" s="1017" t="s">
        <v>948</v>
      </c>
      <c r="G3" s="1017" t="s">
        <v>949</v>
      </c>
      <c r="H3" s="1143"/>
      <c r="I3" s="1144"/>
    </row>
    <row r="4" spans="1:8" ht="15" customHeight="1">
      <c r="A4" s="1145" t="s">
        <v>543</v>
      </c>
      <c r="B4" s="1146" t="s">
        <v>818</v>
      </c>
      <c r="C4" s="1147" t="s">
        <v>950</v>
      </c>
      <c r="D4" s="1148" t="s">
        <v>951</v>
      </c>
      <c r="E4" s="1149" t="s">
        <v>952</v>
      </c>
      <c r="F4" s="1150" t="s">
        <v>953</v>
      </c>
      <c r="G4" s="1147" t="s">
        <v>954</v>
      </c>
      <c r="H4" s="1151" t="s">
        <v>955</v>
      </c>
    </row>
    <row r="5" spans="1:8" ht="15" customHeight="1">
      <c r="A5" s="1152"/>
      <c r="B5" s="1153"/>
      <c r="C5" s="1154" t="s">
        <v>956</v>
      </c>
      <c r="D5" s="1155"/>
      <c r="E5" s="1156" t="s">
        <v>957</v>
      </c>
      <c r="F5" s="1157" t="s">
        <v>958</v>
      </c>
      <c r="G5" s="1158" t="s">
        <v>959</v>
      </c>
      <c r="H5" s="1159"/>
    </row>
    <row r="6" spans="1:12" s="1168" customFormat="1" ht="12.75" thickBot="1">
      <c r="A6" s="1160">
        <v>1</v>
      </c>
      <c r="B6" s="1161">
        <v>2</v>
      </c>
      <c r="C6" s="1162">
        <v>3</v>
      </c>
      <c r="D6" s="1163">
        <v>4</v>
      </c>
      <c r="E6" s="1164">
        <v>5</v>
      </c>
      <c r="F6" s="1165">
        <v>6</v>
      </c>
      <c r="G6" s="1164">
        <v>7</v>
      </c>
      <c r="H6" s="1166">
        <v>8</v>
      </c>
      <c r="I6" s="1167"/>
      <c r="J6" s="1167"/>
      <c r="K6" s="1167"/>
      <c r="L6" s="1167"/>
    </row>
    <row r="7" spans="1:12" s="1175" customFormat="1" ht="21" customHeight="1" thickBot="1" thickTop="1">
      <c r="A7" s="1169" t="s">
        <v>552</v>
      </c>
      <c r="B7" s="1170" t="s">
        <v>960</v>
      </c>
      <c r="C7" s="1171"/>
      <c r="D7" s="1172">
        <f>D8+D17+D20+D27+D30</f>
        <v>36100</v>
      </c>
      <c r="E7" s="1172">
        <f>E8+E17+E20+E27+E30</f>
        <v>38434.600000000006</v>
      </c>
      <c r="F7" s="1172">
        <f>F8+F17+F20+F27+F30</f>
        <v>4972.1</v>
      </c>
      <c r="G7" s="1173">
        <f>F7/E7*100</f>
        <v>12.936520739125681</v>
      </c>
      <c r="H7" s="1174"/>
      <c r="I7" s="1137"/>
      <c r="J7" s="1137"/>
      <c r="K7" s="1137"/>
      <c r="L7" s="1137"/>
    </row>
    <row r="8" spans="1:12" s="1182" customFormat="1" ht="16.5" thickTop="1">
      <c r="A8" s="1176"/>
      <c r="B8" s="1177" t="s">
        <v>961</v>
      </c>
      <c r="C8" s="1178"/>
      <c r="D8" s="1179">
        <f>D9+D12+D13+D14+D15+D16</f>
        <v>27850</v>
      </c>
      <c r="E8" s="1179">
        <f>E9+E12+E13+E14+E15+E16</f>
        <v>27404.9</v>
      </c>
      <c r="F8" s="1179">
        <f>F9+F12+F13+F14+F15+F16</f>
        <v>1889.6000000000001</v>
      </c>
      <c r="G8" s="1180">
        <f>F8/E8*100</f>
        <v>6.8951172965418595</v>
      </c>
      <c r="H8" s="1181"/>
      <c r="I8" s="965"/>
      <c r="J8" s="965"/>
      <c r="K8" s="965"/>
      <c r="L8" s="965"/>
    </row>
    <row r="9" spans="1:55" s="714" customFormat="1" ht="89.25">
      <c r="A9" s="1048">
        <v>1</v>
      </c>
      <c r="B9" s="1183" t="s">
        <v>962</v>
      </c>
      <c r="C9" s="1184">
        <v>60015</v>
      </c>
      <c r="D9" s="1185">
        <v>27000</v>
      </c>
      <c r="E9" s="1185">
        <f>SUM(E10:E11)</f>
        <v>26254.9</v>
      </c>
      <c r="F9" s="1185">
        <f>SUM(F10:F11)</f>
        <v>1853.5</v>
      </c>
      <c r="G9" s="1186">
        <f aca="true" t="shared" si="0" ref="G9:G15">F9/E9*100</f>
        <v>7.05963458249698</v>
      </c>
      <c r="H9" s="1187" t="s">
        <v>963</v>
      </c>
      <c r="I9" s="683"/>
      <c r="J9" s="683"/>
      <c r="K9" s="683"/>
      <c r="L9" s="68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714" customFormat="1" ht="76.5">
      <c r="A10" s="1034"/>
      <c r="B10" s="1188" t="s">
        <v>964</v>
      </c>
      <c r="C10" s="1189" t="s">
        <v>965</v>
      </c>
      <c r="D10" s="1190">
        <v>8640</v>
      </c>
      <c r="E10" s="1190">
        <v>13950</v>
      </c>
      <c r="F10" s="1190">
        <v>0</v>
      </c>
      <c r="G10" s="1191">
        <f t="shared" si="0"/>
        <v>0</v>
      </c>
      <c r="H10" s="1192" t="s">
        <v>966</v>
      </c>
      <c r="I10" s="683"/>
      <c r="J10" s="683"/>
      <c r="K10" s="683"/>
      <c r="L10" s="68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714" customFormat="1" ht="38.25">
      <c r="A11" s="1193"/>
      <c r="B11" s="1194" t="s">
        <v>967</v>
      </c>
      <c r="C11" s="1195" t="s">
        <v>968</v>
      </c>
      <c r="D11" s="1196">
        <v>18360</v>
      </c>
      <c r="E11" s="1196">
        <v>12304.9</v>
      </c>
      <c r="F11" s="1196">
        <v>1853.5</v>
      </c>
      <c r="G11" s="1197">
        <f t="shared" si="0"/>
        <v>15.063104941933702</v>
      </c>
      <c r="H11" s="1198" t="s">
        <v>969</v>
      </c>
      <c r="I11" s="683"/>
      <c r="J11" s="683"/>
      <c r="K11" s="683"/>
      <c r="L11" s="68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8" ht="76.5">
      <c r="A12" s="1199">
        <v>2</v>
      </c>
      <c r="B12" s="1200" t="s">
        <v>970</v>
      </c>
      <c r="C12" s="1201" t="s">
        <v>971</v>
      </c>
      <c r="D12" s="1202">
        <v>50</v>
      </c>
      <c r="E12" s="1202">
        <v>150</v>
      </c>
      <c r="F12" s="1202">
        <v>1.5</v>
      </c>
      <c r="G12" s="1203">
        <f t="shared" si="0"/>
        <v>1</v>
      </c>
      <c r="H12" s="1204" t="s">
        <v>972</v>
      </c>
    </row>
    <row r="13" spans="1:8" ht="76.5">
      <c r="A13" s="1199">
        <v>3</v>
      </c>
      <c r="B13" s="1200" t="s">
        <v>973</v>
      </c>
      <c r="C13" s="1201" t="s">
        <v>971</v>
      </c>
      <c r="D13" s="1202">
        <v>100</v>
      </c>
      <c r="E13" s="1202">
        <v>100</v>
      </c>
      <c r="F13" s="1202">
        <v>0</v>
      </c>
      <c r="G13" s="1203">
        <f t="shared" si="0"/>
        <v>0</v>
      </c>
      <c r="H13" s="1204" t="s">
        <v>974</v>
      </c>
    </row>
    <row r="14" spans="1:8" ht="89.25">
      <c r="A14" s="1199">
        <v>4</v>
      </c>
      <c r="B14" s="1200" t="s">
        <v>975</v>
      </c>
      <c r="C14" s="1201" t="s">
        <v>971</v>
      </c>
      <c r="D14" s="1202">
        <v>200</v>
      </c>
      <c r="E14" s="1202">
        <v>300</v>
      </c>
      <c r="F14" s="1202">
        <v>38.4</v>
      </c>
      <c r="G14" s="1203">
        <f t="shared" si="0"/>
        <v>12.8</v>
      </c>
      <c r="H14" s="1204" t="s">
        <v>976</v>
      </c>
    </row>
    <row r="15" spans="1:8" ht="63.75">
      <c r="A15" s="1039">
        <v>5</v>
      </c>
      <c r="B15" s="1200" t="s">
        <v>977</v>
      </c>
      <c r="C15" s="1201" t="s">
        <v>971</v>
      </c>
      <c r="D15" s="1202">
        <v>50</v>
      </c>
      <c r="E15" s="1202">
        <v>150</v>
      </c>
      <c r="F15" s="1202">
        <v>1.5</v>
      </c>
      <c r="G15" s="1203">
        <f t="shared" si="0"/>
        <v>1</v>
      </c>
      <c r="H15" s="1204" t="s">
        <v>978</v>
      </c>
    </row>
    <row r="16" spans="1:12" s="1019" customFormat="1" ht="114.75">
      <c r="A16" s="1199">
        <v>6</v>
      </c>
      <c r="B16" s="1200" t="s">
        <v>979</v>
      </c>
      <c r="C16" s="1201" t="s">
        <v>971</v>
      </c>
      <c r="D16" s="1202">
        <v>450</v>
      </c>
      <c r="E16" s="1202">
        <v>450</v>
      </c>
      <c r="F16" s="1202">
        <v>-5.3</v>
      </c>
      <c r="G16" s="1203">
        <v>0</v>
      </c>
      <c r="H16" s="1204" t="s">
        <v>980</v>
      </c>
      <c r="I16" s="714"/>
      <c r="J16" s="714"/>
      <c r="K16" s="714"/>
      <c r="L16" s="714"/>
    </row>
    <row r="17" spans="1:12" s="1182" customFormat="1" ht="15.75">
      <c r="A17" s="1205"/>
      <c r="B17" s="1177" t="s">
        <v>981</v>
      </c>
      <c r="C17" s="1178"/>
      <c r="D17" s="1206">
        <f>SUM(D18:D19)</f>
        <v>1900</v>
      </c>
      <c r="E17" s="1206">
        <f>SUM(E18:E19)</f>
        <v>2667.2</v>
      </c>
      <c r="F17" s="1206">
        <f>SUM(F18:F19)</f>
        <v>712.7</v>
      </c>
      <c r="G17" s="1207">
        <f>F17/E17*100</f>
        <v>26.720905818836236</v>
      </c>
      <c r="H17" s="1181"/>
      <c r="I17" s="965"/>
      <c r="J17" s="965"/>
      <c r="K17" s="965"/>
      <c r="L17" s="965"/>
    </row>
    <row r="18" spans="1:55" ht="178.5">
      <c r="A18" s="1039">
        <v>7</v>
      </c>
      <c r="B18" s="1208" t="s">
        <v>982</v>
      </c>
      <c r="C18" s="1201" t="s">
        <v>983</v>
      </c>
      <c r="D18" s="1042">
        <v>1500</v>
      </c>
      <c r="E18" s="1042">
        <v>2100</v>
      </c>
      <c r="F18" s="1042">
        <v>235.9</v>
      </c>
      <c r="G18" s="1203">
        <f>F18/E18*100</f>
        <v>11.233333333333334</v>
      </c>
      <c r="H18" s="1204" t="s">
        <v>984</v>
      </c>
      <c r="I18" s="714"/>
      <c r="J18" s="714"/>
      <c r="K18" s="714"/>
      <c r="L18" s="714"/>
      <c r="M18" s="1019"/>
      <c r="N18" s="1019"/>
      <c r="O18" s="1019"/>
      <c r="P18" s="1019"/>
      <c r="Q18" s="1019"/>
      <c r="R18" s="1019"/>
      <c r="S18" s="1019"/>
      <c r="T18" s="1019"/>
      <c r="U18" s="1019"/>
      <c r="V18" s="1019"/>
      <c r="W18" s="1019"/>
      <c r="X18" s="1019"/>
      <c r="Y18" s="1019"/>
      <c r="Z18" s="1019"/>
      <c r="AA18" s="1019"/>
      <c r="AB18" s="1019"/>
      <c r="AC18" s="1019"/>
      <c r="AD18" s="1019"/>
      <c r="AE18" s="1019"/>
      <c r="AF18" s="1019"/>
      <c r="AG18" s="1019"/>
      <c r="AH18" s="1019"/>
      <c r="AI18" s="1019"/>
      <c r="AJ18" s="1019"/>
      <c r="AK18" s="1019"/>
      <c r="AL18" s="1019"/>
      <c r="AM18" s="1019"/>
      <c r="AN18" s="1019"/>
      <c r="AO18" s="1019"/>
      <c r="AP18" s="1019"/>
      <c r="AQ18" s="1019"/>
      <c r="AR18" s="1019"/>
      <c r="AS18" s="1019"/>
      <c r="AT18" s="1019"/>
      <c r="AU18" s="1019"/>
      <c r="AV18" s="1019"/>
      <c r="AW18" s="1019"/>
      <c r="AX18" s="1019"/>
      <c r="AY18" s="1019"/>
      <c r="AZ18" s="1019"/>
      <c r="BA18" s="1019"/>
      <c r="BB18" s="1019"/>
      <c r="BC18" s="1019"/>
    </row>
    <row r="19" spans="1:12" s="1019" customFormat="1" ht="51">
      <c r="A19" s="1039">
        <v>8</v>
      </c>
      <c r="B19" s="1208" t="s">
        <v>985</v>
      </c>
      <c r="C19" s="1201" t="s">
        <v>986</v>
      </c>
      <c r="D19" s="1042">
        <v>400</v>
      </c>
      <c r="E19" s="1042">
        <v>567.2</v>
      </c>
      <c r="F19" s="1042">
        <v>476.8</v>
      </c>
      <c r="G19" s="1209">
        <f>F19/E19*100</f>
        <v>84.06205923836389</v>
      </c>
      <c r="H19" s="1204" t="s">
        <v>987</v>
      </c>
      <c r="I19" s="714"/>
      <c r="J19" s="714"/>
      <c r="K19" s="714"/>
      <c r="L19" s="714"/>
    </row>
    <row r="20" spans="1:12" s="1182" customFormat="1" ht="15.75">
      <c r="A20" s="1210"/>
      <c r="B20" s="1177" t="s">
        <v>988</v>
      </c>
      <c r="C20" s="1178"/>
      <c r="D20" s="1206">
        <f>SUM(D21:D26)</f>
        <v>1650</v>
      </c>
      <c r="E20" s="1206">
        <f>SUM(E21:E26)</f>
        <v>1550</v>
      </c>
      <c r="F20" s="1206">
        <f>SUM(F21:F26)</f>
        <v>124.2</v>
      </c>
      <c r="G20" s="1207">
        <f>F20/E20*100</f>
        <v>8.012903225806452</v>
      </c>
      <c r="H20" s="1181"/>
      <c r="I20" s="965"/>
      <c r="J20" s="965"/>
      <c r="K20" s="965"/>
      <c r="L20" s="965"/>
    </row>
    <row r="21" spans="1:8" ht="89.25">
      <c r="A21" s="1039">
        <v>9</v>
      </c>
      <c r="B21" s="1211" t="s">
        <v>989</v>
      </c>
      <c r="C21" s="1201" t="s">
        <v>990</v>
      </c>
      <c r="D21" s="1042">
        <v>1000</v>
      </c>
      <c r="E21" s="1042">
        <v>900</v>
      </c>
      <c r="F21" s="1042">
        <v>14.5</v>
      </c>
      <c r="G21" s="1203">
        <f aca="true" t="shared" si="1" ref="G21:G26">F21/E21*100</f>
        <v>1.6111111111111112</v>
      </c>
      <c r="H21" s="1212" t="s">
        <v>991</v>
      </c>
    </row>
    <row r="22" spans="1:55" s="720" customFormat="1" ht="25.5">
      <c r="A22" s="1213">
        <v>10</v>
      </c>
      <c r="B22" s="1214" t="s">
        <v>992</v>
      </c>
      <c r="C22" s="1201" t="s">
        <v>990</v>
      </c>
      <c r="D22" s="1215">
        <v>50</v>
      </c>
      <c r="E22" s="1215">
        <v>50</v>
      </c>
      <c r="F22" s="1215">
        <v>17.7</v>
      </c>
      <c r="G22" s="1203">
        <f t="shared" si="1"/>
        <v>35.4</v>
      </c>
      <c r="H22" s="1216" t="s">
        <v>993</v>
      </c>
      <c r="I22" s="683"/>
      <c r="J22" s="683"/>
      <c r="K22" s="683"/>
      <c r="L22" s="68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8" ht="38.25">
      <c r="A23" s="1199">
        <v>11</v>
      </c>
      <c r="B23" s="1200" t="s">
        <v>994</v>
      </c>
      <c r="C23" s="1201" t="s">
        <v>995</v>
      </c>
      <c r="D23" s="1202">
        <v>50</v>
      </c>
      <c r="E23" s="1202">
        <v>50</v>
      </c>
      <c r="F23" s="1202">
        <v>6.8</v>
      </c>
      <c r="G23" s="1203">
        <f t="shared" si="1"/>
        <v>13.600000000000001</v>
      </c>
      <c r="H23" s="1204" t="s">
        <v>996</v>
      </c>
    </row>
    <row r="24" spans="1:8" ht="127.5">
      <c r="A24" s="1199">
        <v>12</v>
      </c>
      <c r="B24" s="1200" t="s">
        <v>997</v>
      </c>
      <c r="C24" s="1201" t="s">
        <v>995</v>
      </c>
      <c r="D24" s="1202">
        <v>300</v>
      </c>
      <c r="E24" s="1202">
        <v>300</v>
      </c>
      <c r="F24" s="1202">
        <v>38.5</v>
      </c>
      <c r="G24" s="1203">
        <f t="shared" si="1"/>
        <v>12.833333333333332</v>
      </c>
      <c r="H24" s="1204" t="s">
        <v>998</v>
      </c>
    </row>
    <row r="25" spans="1:8" ht="89.25">
      <c r="A25" s="1199">
        <v>13</v>
      </c>
      <c r="B25" s="1200" t="s">
        <v>999</v>
      </c>
      <c r="C25" s="1201" t="s">
        <v>995</v>
      </c>
      <c r="D25" s="1202">
        <v>50</v>
      </c>
      <c r="E25" s="1202">
        <v>50</v>
      </c>
      <c r="F25" s="1202">
        <v>46.7</v>
      </c>
      <c r="G25" s="1203">
        <f t="shared" si="1"/>
        <v>93.4</v>
      </c>
      <c r="H25" s="1204" t="s">
        <v>1000</v>
      </c>
    </row>
    <row r="26" spans="1:8" ht="89.25">
      <c r="A26" s="1199">
        <v>14</v>
      </c>
      <c r="B26" s="1200" t="s">
        <v>1001</v>
      </c>
      <c r="C26" s="1201" t="s">
        <v>995</v>
      </c>
      <c r="D26" s="1202">
        <v>200</v>
      </c>
      <c r="E26" s="1202">
        <v>200</v>
      </c>
      <c r="F26" s="1202">
        <v>0</v>
      </c>
      <c r="G26" s="1209">
        <f t="shared" si="1"/>
        <v>0</v>
      </c>
      <c r="H26" s="1204" t="s">
        <v>1002</v>
      </c>
    </row>
    <row r="27" spans="1:12" s="1182" customFormat="1" ht="15.75">
      <c r="A27" s="1210"/>
      <c r="B27" s="1177" t="s">
        <v>1003</v>
      </c>
      <c r="C27" s="1178"/>
      <c r="D27" s="1206">
        <f>SUM(D28:D29)</f>
        <v>200</v>
      </c>
      <c r="E27" s="1206">
        <f>SUM(E28:E29)</f>
        <v>312.5</v>
      </c>
      <c r="F27" s="1206">
        <f>SUM(F28:F29)</f>
        <v>69</v>
      </c>
      <c r="G27" s="1207">
        <f>F27/E27*100</f>
        <v>22.08</v>
      </c>
      <c r="H27" s="1181"/>
      <c r="I27" s="965"/>
      <c r="J27" s="965"/>
      <c r="K27" s="965"/>
      <c r="L27" s="965"/>
    </row>
    <row r="28" spans="1:8" ht="51">
      <c r="A28" s="1199">
        <v>15</v>
      </c>
      <c r="B28" s="1200" t="s">
        <v>1004</v>
      </c>
      <c r="C28" s="1201" t="s">
        <v>1005</v>
      </c>
      <c r="D28" s="1202">
        <v>100</v>
      </c>
      <c r="E28" s="1202">
        <v>100</v>
      </c>
      <c r="F28" s="1202">
        <v>40.7</v>
      </c>
      <c r="G28" s="1203">
        <f>F28/E28*100</f>
        <v>40.7</v>
      </c>
      <c r="H28" s="1204" t="s">
        <v>1006</v>
      </c>
    </row>
    <row r="29" spans="1:8" ht="56.25" customHeight="1">
      <c r="A29" s="1199">
        <v>16</v>
      </c>
      <c r="B29" s="1200" t="s">
        <v>1007</v>
      </c>
      <c r="C29" s="1201" t="s">
        <v>1008</v>
      </c>
      <c r="D29" s="1202">
        <v>100</v>
      </c>
      <c r="E29" s="1202">
        <v>212.5</v>
      </c>
      <c r="F29" s="1202">
        <v>28.3</v>
      </c>
      <c r="G29" s="1209">
        <f>F29/E29*100</f>
        <v>13.317647058823528</v>
      </c>
      <c r="H29" s="1204" t="s">
        <v>1009</v>
      </c>
    </row>
    <row r="30" spans="1:12" s="1182" customFormat="1" ht="15.75">
      <c r="A30" s="1210"/>
      <c r="B30" s="1177" t="s">
        <v>1010</v>
      </c>
      <c r="C30" s="1178"/>
      <c r="D30" s="1206">
        <f>SUM(D31:D33)</f>
        <v>4500</v>
      </c>
      <c r="E30" s="1206">
        <f>SUM(E31:E33)</f>
        <v>6500</v>
      </c>
      <c r="F30" s="1206">
        <f>SUM(F31:F33)</f>
        <v>2176.6</v>
      </c>
      <c r="G30" s="1207">
        <f>F30/E30*100</f>
        <v>33.48615384615384</v>
      </c>
      <c r="H30" s="1181"/>
      <c r="I30" s="965"/>
      <c r="J30" s="965"/>
      <c r="K30" s="965"/>
      <c r="L30" s="965"/>
    </row>
    <row r="31" spans="1:12" s="1019" customFormat="1" ht="114.75">
      <c r="A31" s="1048">
        <v>17</v>
      </c>
      <c r="B31" s="1217" t="s">
        <v>1011</v>
      </c>
      <c r="C31" s="1218" t="s">
        <v>1012</v>
      </c>
      <c r="D31" s="1219">
        <v>1000</v>
      </c>
      <c r="E31" s="1219">
        <v>1000</v>
      </c>
      <c r="F31" s="1219">
        <v>238.4</v>
      </c>
      <c r="G31" s="1209">
        <f>F31/E31*100</f>
        <v>23.84</v>
      </c>
      <c r="H31" s="1187" t="s">
        <v>1013</v>
      </c>
      <c r="I31" s="714"/>
      <c r="J31" s="714"/>
      <c r="K31" s="714"/>
      <c r="L31" s="714"/>
    </row>
    <row r="32" spans="1:12" s="1019" customFormat="1" ht="63.75">
      <c r="A32" s="1193"/>
      <c r="B32" s="1220"/>
      <c r="C32" s="1221"/>
      <c r="D32" s="1222"/>
      <c r="E32" s="1222"/>
      <c r="F32" s="1222"/>
      <c r="G32" s="1223"/>
      <c r="H32" s="1198" t="s">
        <v>1014</v>
      </c>
      <c r="I32" s="714"/>
      <c r="J32" s="714"/>
      <c r="K32" s="714"/>
      <c r="L32" s="714"/>
    </row>
    <row r="33" spans="1:12" s="1019" customFormat="1" ht="157.5" customHeight="1" thickBot="1">
      <c r="A33" s="1048">
        <v>18</v>
      </c>
      <c r="B33" s="1217" t="s">
        <v>1015</v>
      </c>
      <c r="C33" s="1218" t="s">
        <v>1016</v>
      </c>
      <c r="D33" s="1219">
        <v>3500</v>
      </c>
      <c r="E33" s="1219">
        <v>5500</v>
      </c>
      <c r="F33" s="1219">
        <v>1938.2</v>
      </c>
      <c r="G33" s="1209">
        <f>F33/E33*100</f>
        <v>35.24</v>
      </c>
      <c r="H33" s="1224" t="s">
        <v>1017</v>
      </c>
      <c r="I33" s="714"/>
      <c r="J33" s="714"/>
      <c r="K33" s="714"/>
      <c r="L33" s="714"/>
    </row>
    <row r="34" spans="1:8" s="1228" customFormat="1" ht="24.75" customHeight="1" thickBot="1" thickTop="1">
      <c r="A34" s="1169" t="s">
        <v>567</v>
      </c>
      <c r="B34" s="1225" t="s">
        <v>1018</v>
      </c>
      <c r="C34" s="1171"/>
      <c r="D34" s="1172">
        <f>D35+D51+D55+D57+D63+D47+D49+D53+D65</f>
        <v>9183</v>
      </c>
      <c r="E34" s="1172">
        <f>E35+E51+E55+E57+E63+E47+E49+E53+E65</f>
        <v>16178.8</v>
      </c>
      <c r="F34" s="1172">
        <f>F35+F51+F55+F57+F63+F47+F49+F53+F65</f>
        <v>324</v>
      </c>
      <c r="G34" s="1226">
        <f>F34/E34*100</f>
        <v>2.002620713526343</v>
      </c>
      <c r="H34" s="1227"/>
    </row>
    <row r="35" spans="1:12" s="1182" customFormat="1" ht="16.5" thickTop="1">
      <c r="A35" s="1229"/>
      <c r="B35" s="1177" t="s">
        <v>961</v>
      </c>
      <c r="C35" s="1178"/>
      <c r="D35" s="1230">
        <f>SUM(D36:D41)</f>
        <v>8833</v>
      </c>
      <c r="E35" s="1230">
        <f>SUM(E36:E46)</f>
        <v>11448.9</v>
      </c>
      <c r="F35" s="1230">
        <f>SUM(F36:F46)</f>
        <v>192.7</v>
      </c>
      <c r="G35" s="1180">
        <f>F35/E35*100</f>
        <v>1.68313113050162</v>
      </c>
      <c r="H35" s="1181"/>
      <c r="I35" s="965"/>
      <c r="J35" s="965"/>
      <c r="K35" s="965"/>
      <c r="L35" s="965"/>
    </row>
    <row r="36" spans="1:8" ht="25.5">
      <c r="A36" s="1199">
        <v>19</v>
      </c>
      <c r="B36" s="1200" t="s">
        <v>1019</v>
      </c>
      <c r="C36" s="1201" t="s">
        <v>1020</v>
      </c>
      <c r="D36" s="1202">
        <v>50</v>
      </c>
      <c r="E36" s="1042">
        <v>50</v>
      </c>
      <c r="F36" s="1042">
        <v>2.8</v>
      </c>
      <c r="G36" s="1203">
        <f aca="true" t="shared" si="2" ref="G36:G44">F36/E36*100</f>
        <v>5.6</v>
      </c>
      <c r="H36" s="1204" t="s">
        <v>1021</v>
      </c>
    </row>
    <row r="37" spans="1:12" s="1019" customFormat="1" ht="63.75">
      <c r="A37" s="1199">
        <v>20</v>
      </c>
      <c r="B37" s="1200" t="s">
        <v>1022</v>
      </c>
      <c r="C37" s="1201" t="s">
        <v>1020</v>
      </c>
      <c r="D37" s="1202">
        <v>50</v>
      </c>
      <c r="E37" s="1042">
        <v>50</v>
      </c>
      <c r="F37" s="1042">
        <v>5.6</v>
      </c>
      <c r="G37" s="1203">
        <f t="shared" si="2"/>
        <v>11.2</v>
      </c>
      <c r="H37" s="1204" t="s">
        <v>1023</v>
      </c>
      <c r="I37" s="714"/>
      <c r="J37" s="714"/>
      <c r="K37" s="714"/>
      <c r="L37" s="714"/>
    </row>
    <row r="38" spans="1:12" s="1019" customFormat="1" ht="66" customHeight="1">
      <c r="A38" s="1199">
        <v>21</v>
      </c>
      <c r="B38" s="1211" t="s">
        <v>1024</v>
      </c>
      <c r="C38" s="1201" t="s">
        <v>1025</v>
      </c>
      <c r="D38" s="1202">
        <v>4613.7</v>
      </c>
      <c r="E38" s="1042">
        <v>4663.7</v>
      </c>
      <c r="F38" s="1042">
        <v>4.3</v>
      </c>
      <c r="G38" s="1203">
        <f t="shared" si="2"/>
        <v>0.09220147093509445</v>
      </c>
      <c r="H38" s="1204" t="s">
        <v>1026</v>
      </c>
      <c r="I38" s="714"/>
      <c r="J38" s="714"/>
      <c r="K38" s="714"/>
      <c r="L38" s="714"/>
    </row>
    <row r="39" spans="1:12" s="1019" customFormat="1" ht="78.75" customHeight="1">
      <c r="A39" s="1199">
        <v>22</v>
      </c>
      <c r="B39" s="1231" t="s">
        <v>1027</v>
      </c>
      <c r="C39" s="1201" t="s">
        <v>1025</v>
      </c>
      <c r="D39" s="1202">
        <v>4119.3</v>
      </c>
      <c r="E39" s="1042">
        <v>4169.2</v>
      </c>
      <c r="F39" s="1042">
        <v>5.7</v>
      </c>
      <c r="G39" s="1203">
        <f t="shared" si="2"/>
        <v>0.1367168761393073</v>
      </c>
      <c r="H39" s="1204" t="s">
        <v>1028</v>
      </c>
      <c r="I39" s="714"/>
      <c r="J39" s="714"/>
      <c r="K39" s="714"/>
      <c r="L39" s="714"/>
    </row>
    <row r="40" spans="1:12" s="1019" customFormat="1" ht="30" customHeight="1">
      <c r="A40" s="1039">
        <v>23</v>
      </c>
      <c r="B40" s="1208" t="s">
        <v>1029</v>
      </c>
      <c r="C40" s="1201" t="s">
        <v>1020</v>
      </c>
      <c r="D40" s="1042">
        <v>0</v>
      </c>
      <c r="E40" s="1042">
        <v>20</v>
      </c>
      <c r="F40" s="1042">
        <v>0</v>
      </c>
      <c r="G40" s="1203">
        <f t="shared" si="2"/>
        <v>0</v>
      </c>
      <c r="H40" s="1204" t="s">
        <v>1030</v>
      </c>
      <c r="I40" s="714"/>
      <c r="J40" s="714"/>
      <c r="K40" s="714"/>
      <c r="L40" s="714"/>
    </row>
    <row r="41" spans="1:12" s="1019" customFormat="1" ht="51">
      <c r="A41" s="1039">
        <v>24</v>
      </c>
      <c r="B41" s="1208" t="s">
        <v>1031</v>
      </c>
      <c r="C41" s="1201" t="s">
        <v>1020</v>
      </c>
      <c r="D41" s="1042">
        <v>0</v>
      </c>
      <c r="E41" s="1042">
        <v>100</v>
      </c>
      <c r="F41" s="1042">
        <v>28.7</v>
      </c>
      <c r="G41" s="1203">
        <f t="shared" si="2"/>
        <v>28.7</v>
      </c>
      <c r="H41" s="1204" t="s">
        <v>1032</v>
      </c>
      <c r="I41" s="714"/>
      <c r="J41" s="714"/>
      <c r="K41" s="714"/>
      <c r="L41" s="714"/>
    </row>
    <row r="42" spans="1:12" s="1019" customFormat="1" ht="80.25" customHeight="1">
      <c r="A42" s="1193">
        <v>25</v>
      </c>
      <c r="B42" s="1232" t="s">
        <v>1033</v>
      </c>
      <c r="C42" s="1201" t="s">
        <v>1020</v>
      </c>
      <c r="D42" s="1042">
        <v>0</v>
      </c>
      <c r="E42" s="1042">
        <v>146</v>
      </c>
      <c r="F42" s="1042">
        <v>145.6</v>
      </c>
      <c r="G42" s="1203">
        <f t="shared" si="2"/>
        <v>99.72602739726028</v>
      </c>
      <c r="H42" s="1233" t="s">
        <v>1034</v>
      </c>
      <c r="I42" s="714"/>
      <c r="J42" s="714"/>
      <c r="K42" s="714"/>
      <c r="L42" s="714"/>
    </row>
    <row r="43" spans="1:12" s="1019" customFormat="1" ht="21">
      <c r="A43" s="1193">
        <v>26</v>
      </c>
      <c r="B43" s="1232" t="s">
        <v>1035</v>
      </c>
      <c r="C43" s="1201" t="s">
        <v>1020</v>
      </c>
      <c r="D43" s="1042">
        <v>0</v>
      </c>
      <c r="E43" s="1042">
        <v>1694</v>
      </c>
      <c r="F43" s="1042">
        <v>0</v>
      </c>
      <c r="G43" s="1203">
        <f t="shared" si="2"/>
        <v>0</v>
      </c>
      <c r="H43" s="1204" t="s">
        <v>1036</v>
      </c>
      <c r="I43" s="714"/>
      <c r="J43" s="714"/>
      <c r="K43" s="714"/>
      <c r="L43" s="714"/>
    </row>
    <row r="44" spans="1:12" s="1019" customFormat="1" ht="23.25" customHeight="1">
      <c r="A44" s="1193">
        <v>27</v>
      </c>
      <c r="B44" s="1232" t="s">
        <v>1037</v>
      </c>
      <c r="C44" s="1201" t="s">
        <v>1038</v>
      </c>
      <c r="D44" s="1042">
        <v>0</v>
      </c>
      <c r="E44" s="1042">
        <v>400</v>
      </c>
      <c r="F44" s="1042">
        <v>0</v>
      </c>
      <c r="G44" s="1203">
        <f t="shared" si="2"/>
        <v>0</v>
      </c>
      <c r="H44" s="1204" t="s">
        <v>1036</v>
      </c>
      <c r="I44" s="714"/>
      <c r="J44" s="714"/>
      <c r="K44" s="714"/>
      <c r="L44" s="714"/>
    </row>
    <row r="45" spans="1:12" s="1019" customFormat="1" ht="21">
      <c r="A45" s="1193">
        <v>28</v>
      </c>
      <c r="B45" s="1232" t="s">
        <v>1039</v>
      </c>
      <c r="C45" s="1201" t="s">
        <v>1040</v>
      </c>
      <c r="D45" s="1042">
        <v>0</v>
      </c>
      <c r="E45" s="1042">
        <v>86</v>
      </c>
      <c r="F45" s="1042">
        <v>0</v>
      </c>
      <c r="G45" s="1203"/>
      <c r="H45" s="1204" t="s">
        <v>1036</v>
      </c>
      <c r="I45" s="714"/>
      <c r="J45" s="714"/>
      <c r="K45" s="714"/>
      <c r="L45" s="714"/>
    </row>
    <row r="46" spans="1:12" s="1019" customFormat="1" ht="21">
      <c r="A46" s="1193">
        <v>29</v>
      </c>
      <c r="B46" s="1232" t="s">
        <v>1041</v>
      </c>
      <c r="C46" s="1201" t="s">
        <v>1040</v>
      </c>
      <c r="D46" s="1042">
        <v>0</v>
      </c>
      <c r="E46" s="1042">
        <v>70</v>
      </c>
      <c r="F46" s="1042">
        <v>0</v>
      </c>
      <c r="G46" s="1209"/>
      <c r="H46" s="1204" t="s">
        <v>1042</v>
      </c>
      <c r="I46" s="714"/>
      <c r="J46" s="714"/>
      <c r="K46" s="714"/>
      <c r="L46" s="714"/>
    </row>
    <row r="47" spans="1:12" s="1182" customFormat="1" ht="15.75">
      <c r="A47" s="1210"/>
      <c r="B47" s="1177" t="s">
        <v>981</v>
      </c>
      <c r="C47" s="1234"/>
      <c r="D47" s="1206"/>
      <c r="E47" s="1206">
        <f>SUM(E48)</f>
        <v>3587.9</v>
      </c>
      <c r="F47" s="1206">
        <f>SUM(F48)</f>
        <v>0</v>
      </c>
      <c r="G47" s="1235"/>
      <c r="H47" s="1181"/>
      <c r="I47" s="965"/>
      <c r="J47" s="965"/>
      <c r="K47" s="965"/>
      <c r="L47" s="965"/>
    </row>
    <row r="48" spans="1:12" s="1019" customFormat="1" ht="23.25" customHeight="1">
      <c r="A48" s="1039">
        <v>30</v>
      </c>
      <c r="B48" s="1208" t="s">
        <v>891</v>
      </c>
      <c r="C48" s="1201" t="s">
        <v>1043</v>
      </c>
      <c r="D48" s="1042"/>
      <c r="E48" s="1042">
        <v>3587.9</v>
      </c>
      <c r="F48" s="1042">
        <v>0</v>
      </c>
      <c r="G48" s="1203"/>
      <c r="H48" s="1204" t="s">
        <v>1044</v>
      </c>
      <c r="I48" s="714"/>
      <c r="J48" s="714"/>
      <c r="K48" s="714"/>
      <c r="L48" s="714"/>
    </row>
    <row r="49" spans="1:12" s="1182" customFormat="1" ht="15.75">
      <c r="A49" s="1210"/>
      <c r="B49" s="1177" t="s">
        <v>1045</v>
      </c>
      <c r="C49" s="1178"/>
      <c r="D49" s="1206"/>
      <c r="E49" s="1206">
        <f>SUM(E50)</f>
        <v>125</v>
      </c>
      <c r="F49" s="1206">
        <f>SUM(F50)</f>
        <v>0</v>
      </c>
      <c r="G49" s="1207"/>
      <c r="H49" s="1181"/>
      <c r="I49" s="965"/>
      <c r="J49" s="965"/>
      <c r="K49" s="965"/>
      <c r="L49" s="965"/>
    </row>
    <row r="50" spans="1:12" s="1019" customFormat="1" ht="26.25" customHeight="1">
      <c r="A50" s="1039">
        <v>31</v>
      </c>
      <c r="B50" s="1208" t="s">
        <v>931</v>
      </c>
      <c r="C50" s="1201" t="s">
        <v>1046</v>
      </c>
      <c r="D50" s="1042"/>
      <c r="E50" s="1042">
        <v>125</v>
      </c>
      <c r="F50" s="1042">
        <v>0</v>
      </c>
      <c r="G50" s="1203"/>
      <c r="H50" s="1204" t="s">
        <v>1047</v>
      </c>
      <c r="I50" s="714"/>
      <c r="J50" s="714"/>
      <c r="K50" s="714"/>
      <c r="L50" s="714"/>
    </row>
    <row r="51" spans="1:12" s="1182" customFormat="1" ht="15.75">
      <c r="A51" s="1210"/>
      <c r="B51" s="1177" t="s">
        <v>1048</v>
      </c>
      <c r="C51" s="1178"/>
      <c r="D51" s="1206">
        <f>SUM(D52)</f>
        <v>100</v>
      </c>
      <c r="E51" s="1206">
        <f>SUM(E52)</f>
        <v>100</v>
      </c>
      <c r="F51" s="1206">
        <f>SUM(F52)</f>
        <v>0</v>
      </c>
      <c r="G51" s="1207"/>
      <c r="H51" s="1181"/>
      <c r="I51" s="965"/>
      <c r="J51" s="965"/>
      <c r="K51" s="965"/>
      <c r="L51" s="965"/>
    </row>
    <row r="52" spans="1:12" s="1019" customFormat="1" ht="24" customHeight="1">
      <c r="A52" s="1039">
        <v>32</v>
      </c>
      <c r="B52" s="1208" t="s">
        <v>1049</v>
      </c>
      <c r="C52" s="1201" t="s">
        <v>1050</v>
      </c>
      <c r="D52" s="1042">
        <v>100</v>
      </c>
      <c r="E52" s="1042">
        <v>100</v>
      </c>
      <c r="F52" s="1042">
        <v>0</v>
      </c>
      <c r="G52" s="1203"/>
      <c r="H52" s="1204" t="s">
        <v>1051</v>
      </c>
      <c r="I52" s="714"/>
      <c r="J52" s="714"/>
      <c r="K52" s="714"/>
      <c r="L52" s="714"/>
    </row>
    <row r="53" spans="1:12" s="1182" customFormat="1" ht="15.75">
      <c r="A53" s="1210"/>
      <c r="B53" s="1177" t="s">
        <v>1052</v>
      </c>
      <c r="C53" s="1178"/>
      <c r="D53" s="1206"/>
      <c r="E53" s="1206">
        <f>SUM(E54)</f>
        <v>5</v>
      </c>
      <c r="F53" s="1206">
        <f>SUM(F54)</f>
        <v>0</v>
      </c>
      <c r="G53" s="1207"/>
      <c r="H53" s="1181"/>
      <c r="I53" s="965"/>
      <c r="J53" s="965"/>
      <c r="K53" s="965"/>
      <c r="L53" s="965"/>
    </row>
    <row r="54" spans="1:12" s="1019" customFormat="1" ht="25.5" customHeight="1">
      <c r="A54" s="1039">
        <v>33</v>
      </c>
      <c r="B54" s="1208" t="s">
        <v>1053</v>
      </c>
      <c r="C54" s="1201" t="s">
        <v>1054</v>
      </c>
      <c r="D54" s="1042"/>
      <c r="E54" s="1042">
        <v>5</v>
      </c>
      <c r="F54" s="1042">
        <v>0</v>
      </c>
      <c r="G54" s="1203"/>
      <c r="H54" s="1204" t="s">
        <v>1055</v>
      </c>
      <c r="I54" s="714"/>
      <c r="J54" s="714"/>
      <c r="K54" s="714"/>
      <c r="L54" s="714"/>
    </row>
    <row r="55" spans="1:12" s="1182" customFormat="1" ht="17.25" customHeight="1">
      <c r="A55" s="1210"/>
      <c r="B55" s="1177" t="s">
        <v>1056</v>
      </c>
      <c r="C55" s="1178"/>
      <c r="D55" s="1206">
        <f>SUM(D56)</f>
        <v>100</v>
      </c>
      <c r="E55" s="1206">
        <f>SUM(E56)</f>
        <v>130</v>
      </c>
      <c r="F55" s="1206">
        <f>SUM(F56)</f>
        <v>51</v>
      </c>
      <c r="G55" s="1207">
        <f>F55/E55*100</f>
        <v>39.23076923076923</v>
      </c>
      <c r="H55" s="1181"/>
      <c r="I55" s="965"/>
      <c r="J55" s="965"/>
      <c r="K55" s="965"/>
      <c r="L55" s="965"/>
    </row>
    <row r="56" spans="1:12" s="1019" customFormat="1" ht="26.25" customHeight="1">
      <c r="A56" s="1039">
        <v>34</v>
      </c>
      <c r="B56" s="1208" t="s">
        <v>1057</v>
      </c>
      <c r="C56" s="1201" t="s">
        <v>1058</v>
      </c>
      <c r="D56" s="1042">
        <v>100</v>
      </c>
      <c r="E56" s="1042">
        <v>130</v>
      </c>
      <c r="F56" s="1042">
        <v>51</v>
      </c>
      <c r="G56" s="1203"/>
      <c r="H56" s="1204" t="s">
        <v>1059</v>
      </c>
      <c r="I56" s="714"/>
      <c r="J56" s="714"/>
      <c r="K56" s="714"/>
      <c r="L56" s="714"/>
    </row>
    <row r="57" spans="1:12" s="1182" customFormat="1" ht="15.75">
      <c r="A57" s="1210"/>
      <c r="B57" s="1177" t="s">
        <v>988</v>
      </c>
      <c r="C57" s="1178"/>
      <c r="D57" s="1206">
        <f>SUM(D58:D62)</f>
        <v>100</v>
      </c>
      <c r="E57" s="1206">
        <f>SUM(E58:E62)</f>
        <v>580</v>
      </c>
      <c r="F57" s="1206">
        <f>SUM(F58:F62)</f>
        <v>35.3</v>
      </c>
      <c r="G57" s="1207">
        <f aca="true" t="shared" si="3" ref="G57:G64">F57/E57*100</f>
        <v>6.086206896551723</v>
      </c>
      <c r="H57" s="1181"/>
      <c r="I57" s="965"/>
      <c r="J57" s="965"/>
      <c r="K57" s="965"/>
      <c r="L57" s="965"/>
    </row>
    <row r="58" spans="1:12" s="1019" customFormat="1" ht="51">
      <c r="A58" s="1039">
        <v>35</v>
      </c>
      <c r="B58" s="1200" t="s">
        <v>1060</v>
      </c>
      <c r="C58" s="1201" t="s">
        <v>1061</v>
      </c>
      <c r="D58" s="1202">
        <v>50</v>
      </c>
      <c r="E58" s="1042">
        <v>50</v>
      </c>
      <c r="F58" s="1042">
        <v>8.1</v>
      </c>
      <c r="G58" s="1203">
        <f t="shared" si="3"/>
        <v>16.2</v>
      </c>
      <c r="H58" s="1204" t="s">
        <v>1062</v>
      </c>
      <c r="I58" s="714"/>
      <c r="J58" s="714"/>
      <c r="K58" s="714"/>
      <c r="L58" s="714"/>
    </row>
    <row r="59" spans="1:12" s="1019" customFormat="1" ht="31.5" customHeight="1">
      <c r="A59" s="1039">
        <v>36</v>
      </c>
      <c r="B59" s="1236" t="s">
        <v>1063</v>
      </c>
      <c r="C59" s="1218" t="s">
        <v>1064</v>
      </c>
      <c r="D59" s="1237">
        <v>50</v>
      </c>
      <c r="E59" s="1237">
        <v>180</v>
      </c>
      <c r="F59" s="1237">
        <v>0.1</v>
      </c>
      <c r="G59" s="1203">
        <f t="shared" si="3"/>
        <v>0.05555555555555555</v>
      </c>
      <c r="H59" s="1204" t="s">
        <v>1065</v>
      </c>
      <c r="I59" s="714"/>
      <c r="J59" s="714"/>
      <c r="K59" s="714"/>
      <c r="L59" s="714"/>
    </row>
    <row r="60" spans="1:12" s="1019" customFormat="1" ht="76.5">
      <c r="A60" s="1039">
        <v>37</v>
      </c>
      <c r="B60" s="1236" t="s">
        <v>1066</v>
      </c>
      <c r="C60" s="1218" t="s">
        <v>1067</v>
      </c>
      <c r="D60" s="1237">
        <v>0</v>
      </c>
      <c r="E60" s="1237">
        <v>200</v>
      </c>
      <c r="F60" s="1237">
        <v>18.2</v>
      </c>
      <c r="G60" s="1203">
        <f t="shared" si="3"/>
        <v>9.1</v>
      </c>
      <c r="H60" s="1204" t="s">
        <v>1068</v>
      </c>
      <c r="I60" s="714"/>
      <c r="J60" s="714"/>
      <c r="K60" s="714"/>
      <c r="L60" s="714"/>
    </row>
    <row r="61" spans="1:12" s="1238" customFormat="1" ht="38.25">
      <c r="A61" s="1039">
        <v>38</v>
      </c>
      <c r="B61" s="1208" t="s">
        <v>1069</v>
      </c>
      <c r="C61" s="1201" t="s">
        <v>1070</v>
      </c>
      <c r="D61" s="1042">
        <v>0</v>
      </c>
      <c r="E61" s="1042">
        <v>50</v>
      </c>
      <c r="F61" s="1042">
        <v>0</v>
      </c>
      <c r="G61" s="1203">
        <f t="shared" si="3"/>
        <v>0</v>
      </c>
      <c r="H61" s="1204" t="s">
        <v>1071</v>
      </c>
      <c r="I61" s="725"/>
      <c r="J61" s="725"/>
      <c r="K61" s="725"/>
      <c r="L61" s="725"/>
    </row>
    <row r="62" spans="1:12" s="1019" customFormat="1" ht="89.25">
      <c r="A62" s="1048">
        <v>39</v>
      </c>
      <c r="B62" s="1236" t="s">
        <v>1072</v>
      </c>
      <c r="C62" s="1218" t="s">
        <v>1073</v>
      </c>
      <c r="D62" s="1237">
        <v>0</v>
      </c>
      <c r="E62" s="1237">
        <v>100</v>
      </c>
      <c r="F62" s="1237">
        <v>8.9</v>
      </c>
      <c r="G62" s="1203">
        <f t="shared" si="3"/>
        <v>8.9</v>
      </c>
      <c r="H62" s="1204" t="s">
        <v>1074</v>
      </c>
      <c r="I62" s="714"/>
      <c r="J62" s="714"/>
      <c r="K62" s="714"/>
      <c r="L62" s="714"/>
    </row>
    <row r="63" spans="1:12" s="1182" customFormat="1" ht="15.75">
      <c r="A63" s="1210"/>
      <c r="B63" s="1239" t="s">
        <v>1003</v>
      </c>
      <c r="C63" s="1240"/>
      <c r="D63" s="1206">
        <f>SUM(D64)</f>
        <v>50</v>
      </c>
      <c r="E63" s="1206">
        <f>SUM(E64)</f>
        <v>102</v>
      </c>
      <c r="F63" s="1206">
        <f>SUM(F64)</f>
        <v>45</v>
      </c>
      <c r="G63" s="1207">
        <f t="shared" si="3"/>
        <v>44.11764705882353</v>
      </c>
      <c r="H63" s="1181"/>
      <c r="I63" s="965"/>
      <c r="J63" s="965"/>
      <c r="K63" s="965"/>
      <c r="L63" s="965"/>
    </row>
    <row r="64" spans="1:12" s="1019" customFormat="1" ht="82.5" customHeight="1">
      <c r="A64" s="1039">
        <v>40</v>
      </c>
      <c r="B64" s="1208" t="s">
        <v>1075</v>
      </c>
      <c r="C64" s="1201" t="s">
        <v>1076</v>
      </c>
      <c r="D64" s="1042">
        <v>50</v>
      </c>
      <c r="E64" s="1042">
        <v>102</v>
      </c>
      <c r="F64" s="1042">
        <v>45</v>
      </c>
      <c r="G64" s="1203">
        <f t="shared" si="3"/>
        <v>44.11764705882353</v>
      </c>
      <c r="H64" s="1204" t="s">
        <v>1077</v>
      </c>
      <c r="I64" s="714"/>
      <c r="J64" s="714"/>
      <c r="K64" s="714"/>
      <c r="L64" s="714"/>
    </row>
    <row r="65" spans="1:12" s="1182" customFormat="1" ht="15.75">
      <c r="A65" s="1210"/>
      <c r="B65" s="1239" t="s">
        <v>1010</v>
      </c>
      <c r="C65" s="1240"/>
      <c r="D65" s="1206">
        <f>SUM(D66)</f>
        <v>0</v>
      </c>
      <c r="E65" s="1206">
        <f>SUM(E66)</f>
        <v>100</v>
      </c>
      <c r="F65" s="1206">
        <f>SUM(F66)</f>
        <v>0</v>
      </c>
      <c r="G65" s="1207"/>
      <c r="H65" s="1181"/>
      <c r="I65" s="965"/>
      <c r="J65" s="965"/>
      <c r="K65" s="965"/>
      <c r="L65" s="965"/>
    </row>
    <row r="66" spans="1:12" s="1019" customFormat="1" ht="77.25" thickBot="1">
      <c r="A66" s="1048">
        <v>41</v>
      </c>
      <c r="B66" s="1236" t="s">
        <v>1078</v>
      </c>
      <c r="C66" s="1218" t="s">
        <v>1076</v>
      </c>
      <c r="D66" s="1237"/>
      <c r="E66" s="1237">
        <v>100</v>
      </c>
      <c r="F66" s="1237">
        <v>0</v>
      </c>
      <c r="G66" s="1209">
        <f aca="true" t="shared" si="4" ref="G66:G71">F66/E66*100</f>
        <v>0</v>
      </c>
      <c r="H66" s="1187" t="s">
        <v>1077</v>
      </c>
      <c r="I66" s="714"/>
      <c r="J66" s="714"/>
      <c r="K66" s="714"/>
      <c r="L66" s="714"/>
    </row>
    <row r="67" spans="1:21" s="1019" customFormat="1" ht="22.5" customHeight="1" thickBot="1" thickTop="1">
      <c r="A67" s="1241"/>
      <c r="B67" s="1242" t="s">
        <v>1079</v>
      </c>
      <c r="C67" s="1243"/>
      <c r="D67" s="1244">
        <f>D7+D34</f>
        <v>45283</v>
      </c>
      <c r="E67" s="1244">
        <f>E7+E34</f>
        <v>54613.40000000001</v>
      </c>
      <c r="F67" s="1244">
        <f>F7+F34</f>
        <v>5296.1</v>
      </c>
      <c r="G67" s="1245">
        <f t="shared" si="4"/>
        <v>9.69743689277723</v>
      </c>
      <c r="H67" s="1246"/>
      <c r="I67" s="720"/>
      <c r="J67" s="720"/>
      <c r="K67" s="720"/>
      <c r="L67" s="720"/>
      <c r="M67" s="720"/>
      <c r="N67" s="720"/>
      <c r="O67" s="720"/>
      <c r="P67" s="720"/>
      <c r="Q67" s="720"/>
      <c r="R67" s="720"/>
      <c r="S67" s="720"/>
      <c r="T67" s="720"/>
      <c r="U67" s="720"/>
    </row>
    <row r="68" spans="1:8" s="1253" customFormat="1" ht="25.5" customHeight="1" thickBot="1" thickTop="1">
      <c r="A68" s="1247" t="s">
        <v>1080</v>
      </c>
      <c r="B68" s="1248"/>
      <c r="C68" s="1249"/>
      <c r="D68" s="1250">
        <v>717.5</v>
      </c>
      <c r="E68" s="1250">
        <v>4576.6</v>
      </c>
      <c r="F68" s="1250">
        <v>309.6</v>
      </c>
      <c r="G68" s="1251">
        <f t="shared" si="4"/>
        <v>6.764847266529738</v>
      </c>
      <c r="H68" s="1252" t="s">
        <v>1081</v>
      </c>
    </row>
    <row r="69" spans="1:8" s="1253" customFormat="1" ht="25.5" customHeight="1" thickBot="1" thickTop="1">
      <c r="A69" s="1254" t="s">
        <v>1082</v>
      </c>
      <c r="B69" s="1255"/>
      <c r="C69" s="1256"/>
      <c r="D69" s="1257">
        <v>3360</v>
      </c>
      <c r="E69" s="1257">
        <v>3360</v>
      </c>
      <c r="F69" s="1257">
        <v>0</v>
      </c>
      <c r="G69" s="1258">
        <f t="shared" si="4"/>
        <v>0</v>
      </c>
      <c r="H69" s="1259" t="s">
        <v>1083</v>
      </c>
    </row>
    <row r="70" spans="1:8" s="1253" customFormat="1" ht="19.5" customHeight="1" thickBot="1" thickTop="1">
      <c r="A70" s="1247" t="s">
        <v>1084</v>
      </c>
      <c r="B70" s="1248"/>
      <c r="C70" s="1249"/>
      <c r="D70" s="1250">
        <v>12529</v>
      </c>
      <c r="E70" s="1250">
        <v>12472.9</v>
      </c>
      <c r="F70" s="1250">
        <v>3052.2</v>
      </c>
      <c r="G70" s="1260">
        <f t="shared" si="4"/>
        <v>24.470652374347583</v>
      </c>
      <c r="H70" s="1252" t="s">
        <v>1085</v>
      </c>
    </row>
    <row r="71" spans="1:12" ht="32.25" customHeight="1" thickBot="1" thickTop="1">
      <c r="A71" s="1261" t="s">
        <v>1086</v>
      </c>
      <c r="B71" s="1262"/>
      <c r="C71" s="1263" t="s">
        <v>1087</v>
      </c>
      <c r="D71" s="1264">
        <f>SUM(D67:D70)</f>
        <v>61889.5</v>
      </c>
      <c r="E71" s="1264">
        <f>SUM(E67:E70)</f>
        <v>75022.90000000001</v>
      </c>
      <c r="F71" s="1264">
        <f>SUM(F67:F70)</f>
        <v>8657.900000000001</v>
      </c>
      <c r="G71" s="1264">
        <f t="shared" si="4"/>
        <v>11.540343015266007</v>
      </c>
      <c r="H71" s="1265"/>
      <c r="L71"/>
    </row>
    <row r="72" spans="1:49" s="1269" customFormat="1" ht="18.75" thickTop="1">
      <c r="A72" s="1266"/>
      <c r="B72" s="965"/>
      <c r="C72" s="965"/>
      <c r="D72" s="1267"/>
      <c r="E72" s="1267"/>
      <c r="F72" s="1267"/>
      <c r="G72" s="1268"/>
      <c r="H72" s="1267"/>
      <c r="I72" s="1182"/>
      <c r="J72" s="1182"/>
      <c r="K72" s="1182"/>
      <c r="L72" s="1182"/>
      <c r="M72" s="1182"/>
      <c r="N72" s="1182"/>
      <c r="O72" s="1182"/>
      <c r="P72" s="1182"/>
      <c r="Q72" s="1182"/>
      <c r="R72" s="1182"/>
      <c r="S72" s="1182"/>
      <c r="T72" s="1182"/>
      <c r="U72" s="1182"/>
      <c r="V72" s="1182"/>
      <c r="W72" s="1182"/>
      <c r="X72" s="1182"/>
      <c r="Y72" s="1182"/>
      <c r="Z72" s="1182"/>
      <c r="AA72" s="1182"/>
      <c r="AB72" s="1182"/>
      <c r="AC72" s="1182"/>
      <c r="AD72" s="1182"/>
      <c r="AE72" s="1182"/>
      <c r="AF72" s="1182"/>
      <c r="AG72" s="1182"/>
      <c r="AH72" s="1182"/>
      <c r="AI72" s="1182"/>
      <c r="AJ72" s="1182"/>
      <c r="AK72" s="1182"/>
      <c r="AL72" s="1182"/>
      <c r="AM72" s="1182"/>
      <c r="AN72" s="1182"/>
      <c r="AO72" s="1182"/>
      <c r="AP72" s="1182"/>
      <c r="AQ72" s="1182"/>
      <c r="AR72" s="1182"/>
      <c r="AS72" s="1182"/>
      <c r="AT72" s="1182"/>
      <c r="AU72" s="1182"/>
      <c r="AV72" s="1182"/>
      <c r="AW72" s="1182"/>
    </row>
    <row r="73" spans="1:8" s="1182" customFormat="1" ht="15">
      <c r="A73" s="1270"/>
      <c r="B73" s="965"/>
      <c r="C73" s="965"/>
      <c r="D73" s="1267"/>
      <c r="E73" s="1267"/>
      <c r="F73" s="1267"/>
      <c r="G73" s="1268"/>
      <c r="H73" s="1267"/>
    </row>
    <row r="74" spans="1:8" s="1182" customFormat="1" ht="15">
      <c r="A74" s="1270"/>
      <c r="B74" s="965"/>
      <c r="C74" s="965"/>
      <c r="D74" s="1267"/>
      <c r="E74" s="1267"/>
      <c r="F74" s="1267"/>
      <c r="G74" s="1268"/>
      <c r="H74" s="1267"/>
    </row>
    <row r="75" spans="1:15" s="1182" customFormat="1" ht="15.75">
      <c r="A75" s="1266"/>
      <c r="B75" s="725"/>
      <c r="C75" s="725"/>
      <c r="D75" s="725"/>
      <c r="E75" s="725"/>
      <c r="F75" s="725"/>
      <c r="G75" s="1271"/>
      <c r="H75" s="725"/>
      <c r="I75" s="719"/>
      <c r="J75" s="719"/>
      <c r="K75" s="719"/>
      <c r="L75" s="719"/>
      <c r="M75" s="719"/>
      <c r="N75" s="719"/>
      <c r="O75" s="719"/>
    </row>
    <row r="76" spans="1:49" s="1182" customFormat="1" ht="15.75">
      <c r="A76" s="1266"/>
      <c r="B76" s="725"/>
      <c r="C76" s="725"/>
      <c r="D76" s="725"/>
      <c r="E76" s="725"/>
      <c r="F76" s="725"/>
      <c r="G76" s="1271"/>
      <c r="H76" s="725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  <c r="U76" s="719"/>
      <c r="V76" s="719"/>
      <c r="W76" s="719"/>
      <c r="X76" s="719"/>
      <c r="Y76" s="719"/>
      <c r="Z76" s="719"/>
      <c r="AA76" s="719"/>
      <c r="AB76" s="719"/>
      <c r="AC76" s="719"/>
      <c r="AD76" s="719"/>
      <c r="AE76" s="719"/>
      <c r="AF76" s="719"/>
      <c r="AG76" s="719"/>
      <c r="AH76" s="719"/>
      <c r="AI76" s="719"/>
      <c r="AJ76" s="719"/>
      <c r="AK76" s="719"/>
      <c r="AL76" s="719"/>
      <c r="AM76" s="719"/>
      <c r="AN76" s="719"/>
      <c r="AO76" s="719"/>
      <c r="AP76" s="719"/>
      <c r="AQ76" s="719"/>
      <c r="AR76" s="719"/>
      <c r="AS76" s="719"/>
      <c r="AT76" s="719"/>
      <c r="AU76" s="719"/>
      <c r="AV76" s="719"/>
      <c r="AW76" s="719"/>
    </row>
    <row r="77" spans="1:21" s="719" customFormat="1" ht="15.75">
      <c r="A77" s="1266"/>
      <c r="B77" s="1267"/>
      <c r="C77" s="1267"/>
      <c r="D77" s="725"/>
      <c r="E77" s="725"/>
      <c r="F77" s="725"/>
      <c r="G77" s="1271"/>
      <c r="H77" s="1266"/>
      <c r="I77" s="965"/>
      <c r="J77" s="965"/>
      <c r="K77" s="965"/>
      <c r="L77" s="965"/>
      <c r="M77" s="1182"/>
      <c r="N77" s="1182"/>
      <c r="O77" s="1182"/>
      <c r="P77" s="1182"/>
      <c r="Q77" s="1182"/>
      <c r="R77" s="1182"/>
      <c r="S77" s="1182"/>
      <c r="T77" s="1182"/>
      <c r="U77" s="1182"/>
    </row>
    <row r="78" spans="1:55" s="719" customFormat="1" ht="15.75">
      <c r="A78" s="1266"/>
      <c r="B78" s="1267"/>
      <c r="C78" s="1267"/>
      <c r="D78" s="725"/>
      <c r="E78" s="725"/>
      <c r="F78" s="725"/>
      <c r="G78" s="1271"/>
      <c r="H78" s="1266"/>
      <c r="I78" s="965"/>
      <c r="J78" s="965"/>
      <c r="K78" s="965"/>
      <c r="L78" s="965"/>
      <c r="M78" s="1182"/>
      <c r="N78" s="1182"/>
      <c r="O78" s="1182"/>
      <c r="P78" s="1182"/>
      <c r="Q78" s="1182"/>
      <c r="R78" s="1182"/>
      <c r="S78" s="1182"/>
      <c r="T78" s="1182"/>
      <c r="U78" s="1182"/>
      <c r="V78" s="1182"/>
      <c r="W78" s="1182"/>
      <c r="X78" s="1182"/>
      <c r="Y78" s="1182"/>
      <c r="Z78" s="1182"/>
      <c r="AA78" s="1182"/>
      <c r="AB78" s="1182"/>
      <c r="AC78" s="1182"/>
      <c r="AD78" s="1182"/>
      <c r="AE78" s="1182"/>
      <c r="AF78" s="1182"/>
      <c r="AG78" s="1182"/>
      <c r="AH78" s="1182"/>
      <c r="AI78" s="1182"/>
      <c r="AJ78" s="1182"/>
      <c r="AK78" s="1182"/>
      <c r="AL78" s="1182"/>
      <c r="AM78" s="1182"/>
      <c r="AN78" s="1182"/>
      <c r="AO78" s="1182"/>
      <c r="AP78" s="1182"/>
      <c r="AQ78" s="1182"/>
      <c r="AR78" s="1182"/>
      <c r="AS78" s="1182"/>
      <c r="AT78" s="1182"/>
      <c r="AU78" s="1182"/>
      <c r="AV78" s="1182"/>
      <c r="AW78" s="1182"/>
      <c r="AX78" s="1182"/>
      <c r="AY78" s="1182"/>
      <c r="AZ78" s="1182"/>
      <c r="BA78" s="1182"/>
      <c r="BB78" s="1182"/>
      <c r="BC78" s="1182"/>
    </row>
    <row r="79" spans="1:12" s="1182" customFormat="1" ht="15.75">
      <c r="A79" s="1266"/>
      <c r="B79" s="1267"/>
      <c r="C79" s="1267"/>
      <c r="D79" s="725"/>
      <c r="E79" s="725"/>
      <c r="F79" s="725"/>
      <c r="G79" s="1271"/>
      <c r="H79" s="1266"/>
      <c r="I79" s="965"/>
      <c r="J79" s="965"/>
      <c r="K79" s="965"/>
      <c r="L79" s="965"/>
    </row>
    <row r="80" spans="1:12" s="1182" customFormat="1" ht="15.75">
      <c r="A80" s="1266"/>
      <c r="B80" s="1272"/>
      <c r="C80" s="1178"/>
      <c r="D80" s="1273"/>
      <c r="E80" s="1273"/>
      <c r="F80" s="1273"/>
      <c r="G80" s="1274"/>
      <c r="H80" s="1275"/>
      <c r="I80" s="965"/>
      <c r="J80" s="965"/>
      <c r="K80" s="965"/>
      <c r="L80" s="965"/>
    </row>
    <row r="81" spans="1:12" s="1182" customFormat="1" ht="15.75">
      <c r="A81" s="1275"/>
      <c r="B81" s="1272"/>
      <c r="C81" s="1178"/>
      <c r="D81" s="1273"/>
      <c r="E81" s="1273"/>
      <c r="F81" s="1273"/>
      <c r="G81" s="1274"/>
      <c r="H81" s="1275"/>
      <c r="I81" s="965"/>
      <c r="J81" s="965"/>
      <c r="K81" s="965"/>
      <c r="L81" s="965"/>
    </row>
    <row r="82" spans="1:12" s="1182" customFormat="1" ht="15.75">
      <c r="A82" s="1275"/>
      <c r="B82" s="1272"/>
      <c r="C82" s="1178"/>
      <c r="D82" s="1273"/>
      <c r="E82" s="1273"/>
      <c r="F82" s="1273"/>
      <c r="G82" s="1274"/>
      <c r="H82" s="1275"/>
      <c r="I82" s="965"/>
      <c r="J82" s="965"/>
      <c r="K82" s="965"/>
      <c r="L82" s="965"/>
    </row>
    <row r="83" spans="1:21" s="1182" customFormat="1" ht="15.75">
      <c r="A83" s="1275"/>
      <c r="B83" s="1272"/>
      <c r="C83" s="1178"/>
      <c r="D83" s="1276"/>
      <c r="E83" s="1276"/>
      <c r="F83" s="1276"/>
      <c r="G83" s="1277"/>
      <c r="H83" s="1278"/>
      <c r="I83" s="1279"/>
      <c r="J83" s="1280"/>
      <c r="K83" s="1280"/>
      <c r="L83" s="1280"/>
      <c r="M83" s="1281"/>
      <c r="N83" s="1281"/>
      <c r="O83" s="1281"/>
      <c r="P83" s="1281"/>
      <c r="Q83" s="1281"/>
      <c r="R83" s="1281"/>
      <c r="S83" s="1281"/>
      <c r="T83" s="1281"/>
      <c r="U83" s="1281"/>
    </row>
    <row r="84" spans="1:55" s="1182" customFormat="1" ht="15.75">
      <c r="A84" s="1275"/>
      <c r="B84" s="1272"/>
      <c r="C84" s="1178"/>
      <c r="D84" s="1273"/>
      <c r="E84" s="1273"/>
      <c r="F84" s="1273"/>
      <c r="G84" s="1274"/>
      <c r="H84" s="1275"/>
      <c r="I84" s="1279"/>
      <c r="J84" s="1280"/>
      <c r="K84" s="1280"/>
      <c r="L84" s="1280"/>
      <c r="M84" s="1281"/>
      <c r="N84" s="1281"/>
      <c r="O84" s="1281"/>
      <c r="P84" s="1281"/>
      <c r="Q84" s="1281"/>
      <c r="R84" s="1281"/>
      <c r="S84" s="1281"/>
      <c r="T84" s="1281"/>
      <c r="U84" s="1281"/>
      <c r="V84" s="1281"/>
      <c r="W84" s="1281"/>
      <c r="X84" s="1281"/>
      <c r="Y84" s="1281"/>
      <c r="Z84" s="1281"/>
      <c r="AA84" s="1281"/>
      <c r="AB84" s="1281"/>
      <c r="AC84" s="1281"/>
      <c r="AD84" s="1281"/>
      <c r="AE84" s="1281"/>
      <c r="AF84" s="1281"/>
      <c r="AG84" s="1281"/>
      <c r="AH84" s="1281"/>
      <c r="AI84" s="1281"/>
      <c r="AJ84" s="1281"/>
      <c r="AK84" s="1281"/>
      <c r="AL84" s="1281"/>
      <c r="AM84" s="1281"/>
      <c r="AN84" s="1281"/>
      <c r="AO84" s="1281"/>
      <c r="AP84" s="1281"/>
      <c r="AQ84" s="1281"/>
      <c r="AR84" s="1281"/>
      <c r="AS84" s="1281"/>
      <c r="AT84" s="1281"/>
      <c r="AU84" s="1281"/>
      <c r="AV84" s="1281"/>
      <c r="AW84" s="1281"/>
      <c r="AX84" s="1281"/>
      <c r="AY84" s="1281"/>
      <c r="AZ84" s="1281"/>
      <c r="BA84" s="1281"/>
      <c r="BB84" s="1281"/>
      <c r="BC84" s="1281"/>
    </row>
    <row r="85" spans="1:12" s="1281" customFormat="1" ht="15.75">
      <c r="A85" s="1275"/>
      <c r="B85" s="1272"/>
      <c r="C85" s="1178"/>
      <c r="D85" s="1273"/>
      <c r="E85" s="1273"/>
      <c r="F85" s="1273"/>
      <c r="G85" s="1274"/>
      <c r="H85" s="1275"/>
      <c r="I85" s="1279"/>
      <c r="J85" s="1280"/>
      <c r="K85" s="1280"/>
      <c r="L85" s="1280"/>
    </row>
    <row r="86" spans="1:12" s="1281" customFormat="1" ht="15.75">
      <c r="A86" s="1275"/>
      <c r="B86" s="1272"/>
      <c r="C86" s="1178"/>
      <c r="D86" s="1273"/>
      <c r="E86" s="1273"/>
      <c r="F86" s="1273"/>
      <c r="G86" s="1274"/>
      <c r="H86" s="1275"/>
      <c r="I86" s="1279"/>
      <c r="J86" s="1280"/>
      <c r="K86" s="1280"/>
      <c r="L86" s="1280"/>
    </row>
    <row r="87" spans="1:12" s="1281" customFormat="1" ht="15.75">
      <c r="A87" s="1275"/>
      <c r="B87" s="1272"/>
      <c r="C87" s="1178"/>
      <c r="D87" s="1273"/>
      <c r="E87" s="1273"/>
      <c r="F87" s="1273"/>
      <c r="G87" s="1274"/>
      <c r="H87" s="1275"/>
      <c r="I87" s="1279"/>
      <c r="J87" s="1280"/>
      <c r="K87" s="1280"/>
      <c r="L87" s="1280"/>
    </row>
    <row r="88" spans="1:12" s="1281" customFormat="1" ht="15.75">
      <c r="A88" s="1275"/>
      <c r="B88" s="1272"/>
      <c r="C88" s="1178"/>
      <c r="D88" s="1273"/>
      <c r="E88" s="1273"/>
      <c r="F88" s="1273"/>
      <c r="G88" s="1274"/>
      <c r="H88" s="1275"/>
      <c r="I88" s="1279"/>
      <c r="J88" s="1280"/>
      <c r="K88" s="1280"/>
      <c r="L88" s="1280"/>
    </row>
    <row r="89" spans="1:12" s="1281" customFormat="1" ht="15.75">
      <c r="A89" s="1275"/>
      <c r="B89" s="714"/>
      <c r="C89" s="1282"/>
      <c r="D89" s="683"/>
      <c r="E89" s="683"/>
      <c r="F89" s="683"/>
      <c r="G89" s="749"/>
      <c r="H89" s="743"/>
      <c r="I89" s="1279"/>
      <c r="J89" s="1280"/>
      <c r="K89" s="1280"/>
      <c r="L89" s="1280"/>
    </row>
    <row r="90" spans="1:12" s="1281" customFormat="1" ht="15.75">
      <c r="A90" s="743"/>
      <c r="B90" s="714"/>
      <c r="C90" s="1282"/>
      <c r="D90" s="683"/>
      <c r="E90" s="683"/>
      <c r="F90" s="683"/>
      <c r="G90" s="749"/>
      <c r="H90" s="743"/>
      <c r="I90" s="1279"/>
      <c r="J90" s="1280"/>
      <c r="K90" s="1280"/>
      <c r="L90" s="1280"/>
    </row>
    <row r="91" spans="1:12" s="1281" customFormat="1" ht="15.75">
      <c r="A91" s="743"/>
      <c r="B91" s="714"/>
      <c r="C91" s="1282"/>
      <c r="D91" s="683"/>
      <c r="E91" s="683"/>
      <c r="F91" s="683"/>
      <c r="G91" s="749"/>
      <c r="H91" s="743"/>
      <c r="I91" s="1279"/>
      <c r="J91" s="1280"/>
      <c r="K91" s="1280"/>
      <c r="L91" s="1280"/>
    </row>
    <row r="92" spans="1:21" s="1281" customFormat="1" ht="15.75">
      <c r="A92" s="743"/>
      <c r="B92" s="714"/>
      <c r="C92" s="1282"/>
      <c r="D92" s="683"/>
      <c r="E92" s="683"/>
      <c r="F92" s="683"/>
      <c r="G92" s="749"/>
      <c r="H92" s="743"/>
      <c r="I92" s="683"/>
      <c r="J92" s="683"/>
      <c r="K92" s="683"/>
      <c r="L92" s="683"/>
      <c r="M92"/>
      <c r="N92"/>
      <c r="O92"/>
      <c r="P92"/>
      <c r="Q92"/>
      <c r="R92"/>
      <c r="S92"/>
      <c r="T92"/>
      <c r="U92"/>
    </row>
    <row r="93" spans="1:55" s="1281" customFormat="1" ht="15.75">
      <c r="A93" s="743"/>
      <c r="B93" s="714"/>
      <c r="C93" s="1282"/>
      <c r="D93" s="683"/>
      <c r="E93" s="683"/>
      <c r="F93" s="683"/>
      <c r="G93" s="749"/>
      <c r="H93" s="743"/>
      <c r="I93" s="683"/>
      <c r="J93" s="683"/>
      <c r="K93" s="683"/>
      <c r="L93" s="68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</sheetData>
  <mergeCells count="4">
    <mergeCell ref="B1:H1"/>
    <mergeCell ref="B7:C7"/>
    <mergeCell ref="B34:C34"/>
    <mergeCell ref="B67:C67"/>
  </mergeCells>
  <printOptions horizontalCentered="1"/>
  <pageMargins left="0" right="0" top="0.7874015748031497" bottom="0.3937007874015748" header="0.5118110236220472" footer="0.5118110236220472"/>
  <pageSetup firstPageNumber="72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H1" sqref="H1"/>
    </sheetView>
  </sheetViews>
  <sheetFormatPr defaultColWidth="9.00390625" defaultRowHeight="12.75"/>
  <cols>
    <col min="1" max="1" width="6.625" style="1283" customWidth="1"/>
    <col min="2" max="2" width="27.25390625" style="1284" customWidth="1"/>
    <col min="3" max="3" width="7.875" style="1285" customWidth="1"/>
    <col min="4" max="4" width="8.625" style="1286" customWidth="1"/>
    <col min="5" max="5" width="10.00390625" style="1284" customWidth="1"/>
    <col min="6" max="6" width="10.625" style="1284" customWidth="1"/>
    <col min="7" max="7" width="9.125" style="1284" customWidth="1"/>
    <col min="8" max="16384" width="9.125" style="1284" customWidth="1"/>
  </cols>
  <sheetData>
    <row r="1" ht="15">
      <c r="F1" s="1287" t="s">
        <v>1081</v>
      </c>
    </row>
    <row r="3" spans="1:7" s="1291" customFormat="1" ht="16.5">
      <c r="A3" s="1288" t="s">
        <v>1088</v>
      </c>
      <c r="B3" s="1288"/>
      <c r="C3" s="1289"/>
      <c r="D3" s="1290"/>
      <c r="E3" s="1288"/>
      <c r="F3" s="1288"/>
      <c r="G3" s="1288"/>
    </row>
    <row r="4" spans="1:7" ht="15.75">
      <c r="A4" s="1292" t="s">
        <v>1089</v>
      </c>
      <c r="B4" s="1293"/>
      <c r="C4" s="1289"/>
      <c r="D4" s="1294"/>
      <c r="E4" s="1293"/>
      <c r="F4" s="1293"/>
      <c r="G4" s="1293"/>
    </row>
    <row r="5" spans="1:7" ht="15.75">
      <c r="A5" s="1293"/>
      <c r="B5" s="1293"/>
      <c r="C5" s="1289"/>
      <c r="D5" s="1294"/>
      <c r="E5" s="1293"/>
      <c r="F5" s="1293"/>
      <c r="G5" s="1293"/>
    </row>
    <row r="6" ht="13.5" customHeight="1" thickBot="1">
      <c r="F6" s="1295" t="s">
        <v>1090</v>
      </c>
    </row>
    <row r="7" spans="1:7" s="1302" customFormat="1" ht="41.25" customHeight="1" thickTop="1">
      <c r="A7" s="1296" t="s">
        <v>1091</v>
      </c>
      <c r="B7" s="1297" t="s">
        <v>818</v>
      </c>
      <c r="C7" s="1298" t="s">
        <v>1092</v>
      </c>
      <c r="D7" s="1299" t="s">
        <v>546</v>
      </c>
      <c r="E7" s="1299" t="s">
        <v>1093</v>
      </c>
      <c r="F7" s="1300" t="s">
        <v>734</v>
      </c>
      <c r="G7" s="1301" t="s">
        <v>1094</v>
      </c>
    </row>
    <row r="8" spans="1:7" s="1308" customFormat="1" ht="13.5" thickBot="1">
      <c r="A8" s="1303">
        <v>1</v>
      </c>
      <c r="B8" s="1304">
        <v>2</v>
      </c>
      <c r="C8" s="1305">
        <v>3</v>
      </c>
      <c r="D8" s="1306">
        <v>4</v>
      </c>
      <c r="E8" s="1304">
        <v>5</v>
      </c>
      <c r="F8" s="1304">
        <v>6</v>
      </c>
      <c r="G8" s="1307">
        <v>7</v>
      </c>
    </row>
    <row r="9" spans="1:7" s="1315" customFormat="1" ht="16.5" thickBot="1" thickTop="1">
      <c r="A9" s="1309"/>
      <c r="B9" s="1310" t="s">
        <v>1095</v>
      </c>
      <c r="C9" s="1311"/>
      <c r="D9" s="1312">
        <f>SUM(D10)</f>
        <v>47.5</v>
      </c>
      <c r="E9" s="1313">
        <f>E10</f>
        <v>47.5</v>
      </c>
      <c r="F9" s="1313">
        <f>F10</f>
        <v>7.7</v>
      </c>
      <c r="G9" s="1314">
        <f>G10</f>
        <v>16.210526315789476</v>
      </c>
    </row>
    <row r="10" spans="1:7" s="79" customFormat="1" ht="32.25" customHeight="1" thickBot="1" thickTop="1">
      <c r="A10" s="1316">
        <v>1</v>
      </c>
      <c r="B10" s="1317" t="s">
        <v>1096</v>
      </c>
      <c r="C10" s="1318" t="s">
        <v>1097</v>
      </c>
      <c r="D10" s="1319">
        <v>47.5</v>
      </c>
      <c r="E10" s="1112">
        <v>47.5</v>
      </c>
      <c r="F10" s="1112">
        <v>7.7</v>
      </c>
      <c r="G10" s="1320">
        <f>F10/E10*100</f>
        <v>16.210526315789476</v>
      </c>
    </row>
    <row r="11" spans="1:7" s="1315" customFormat="1" ht="16.5" thickBot="1" thickTop="1">
      <c r="A11" s="1309"/>
      <c r="B11" s="1310" t="s">
        <v>1098</v>
      </c>
      <c r="C11" s="1311"/>
      <c r="D11" s="1312">
        <f>D12</f>
        <v>0</v>
      </c>
      <c r="E11" s="1313">
        <f>SUM(E12)</f>
        <v>2972.5</v>
      </c>
      <c r="F11" s="1313">
        <f>SUM(F12)</f>
        <v>62</v>
      </c>
      <c r="G11" s="1314">
        <f>G12</f>
        <v>2.0857863751051307</v>
      </c>
    </row>
    <row r="12" spans="1:7" s="79" customFormat="1" ht="39.75" thickBot="1" thickTop="1">
      <c r="A12" s="1316">
        <v>2</v>
      </c>
      <c r="B12" s="1110" t="s">
        <v>1099</v>
      </c>
      <c r="C12" s="1321" t="s">
        <v>1100</v>
      </c>
      <c r="D12" s="1319">
        <v>0</v>
      </c>
      <c r="E12" s="1112">
        <v>2972.5</v>
      </c>
      <c r="F12" s="1112">
        <v>62</v>
      </c>
      <c r="G12" s="1320">
        <f aca="true" t="shared" si="0" ref="G12:G32">F12/E12*100</f>
        <v>2.0857863751051307</v>
      </c>
    </row>
    <row r="13" spans="1:7" s="1315" customFormat="1" ht="19.5" customHeight="1" thickBot="1" thickTop="1">
      <c r="A13" s="1309"/>
      <c r="B13" s="1310" t="s">
        <v>1101</v>
      </c>
      <c r="C13" s="1311"/>
      <c r="D13" s="1312">
        <f>D14</f>
        <v>570</v>
      </c>
      <c r="E13" s="1313">
        <f>SUM(E14:E14)</f>
        <v>580</v>
      </c>
      <c r="F13" s="1313">
        <f>SUM(F14:F14)</f>
        <v>36.3</v>
      </c>
      <c r="G13" s="1314">
        <f t="shared" si="0"/>
        <v>6.258620689655172</v>
      </c>
    </row>
    <row r="14" spans="1:7" ht="42.75" customHeight="1" thickBot="1" thickTop="1">
      <c r="A14" s="1322">
        <v>3</v>
      </c>
      <c r="B14" s="1323" t="s">
        <v>1102</v>
      </c>
      <c r="C14" s="1324" t="s">
        <v>1103</v>
      </c>
      <c r="D14" s="1325">
        <v>570</v>
      </c>
      <c r="E14" s="1326">
        <v>580</v>
      </c>
      <c r="F14" s="1326">
        <v>36.3</v>
      </c>
      <c r="G14" s="1327">
        <f t="shared" si="0"/>
        <v>6.258620689655172</v>
      </c>
    </row>
    <row r="15" spans="1:7" s="1315" customFormat="1" ht="20.25" customHeight="1" thickBot="1" thickTop="1">
      <c r="A15" s="1309"/>
      <c r="B15" s="1310" t="s">
        <v>1104</v>
      </c>
      <c r="C15" s="1311"/>
      <c r="D15" s="1312">
        <f>SUM(D16:D16)</f>
        <v>0</v>
      </c>
      <c r="E15" s="1313">
        <f>SUM(E16:E16)</f>
        <v>140</v>
      </c>
      <c r="F15" s="1313">
        <f>SUM(F16:F16)</f>
        <v>121.8</v>
      </c>
      <c r="G15" s="1314">
        <f t="shared" si="0"/>
        <v>87</v>
      </c>
    </row>
    <row r="16" spans="1:7" s="79" customFormat="1" ht="27.75" customHeight="1" thickBot="1" thickTop="1">
      <c r="A16" s="1328">
        <v>4</v>
      </c>
      <c r="B16" s="1323" t="s">
        <v>1105</v>
      </c>
      <c r="C16" s="1324" t="s">
        <v>1106</v>
      </c>
      <c r="D16" s="1329"/>
      <c r="E16" s="1330">
        <v>140</v>
      </c>
      <c r="F16" s="1330">
        <v>121.8</v>
      </c>
      <c r="G16" s="1331">
        <f t="shared" si="0"/>
        <v>87</v>
      </c>
    </row>
    <row r="17" spans="1:7" s="1315" customFormat="1" ht="20.25" customHeight="1" thickBot="1" thickTop="1">
      <c r="A17" s="1309"/>
      <c r="B17" s="1310" t="s">
        <v>1107</v>
      </c>
      <c r="C17" s="1311"/>
      <c r="D17" s="1312">
        <f>SUM(D18:D19)</f>
        <v>0</v>
      </c>
      <c r="E17" s="1313">
        <f>SUM(E18:E19)</f>
        <v>718.9</v>
      </c>
      <c r="F17" s="1313">
        <f>SUM(F18:F19)</f>
        <v>33</v>
      </c>
      <c r="G17" s="1314">
        <f t="shared" si="0"/>
        <v>4.590346362498261</v>
      </c>
    </row>
    <row r="18" spans="1:7" s="79" customFormat="1" ht="42.75" customHeight="1" thickTop="1">
      <c r="A18" s="1328">
        <v>5</v>
      </c>
      <c r="B18" s="1323" t="s">
        <v>1108</v>
      </c>
      <c r="C18" s="1324" t="s">
        <v>1109</v>
      </c>
      <c r="D18" s="1329"/>
      <c r="E18" s="1330">
        <v>22.1</v>
      </c>
      <c r="F18" s="1330">
        <v>22.1</v>
      </c>
      <c r="G18" s="1331">
        <f t="shared" si="0"/>
        <v>100</v>
      </c>
    </row>
    <row r="19" spans="1:7" s="79" customFormat="1" ht="32.25" customHeight="1" thickBot="1">
      <c r="A19" s="1332">
        <v>6</v>
      </c>
      <c r="B19" s="1333" t="s">
        <v>1110</v>
      </c>
      <c r="C19" s="1334" t="s">
        <v>1111</v>
      </c>
      <c r="D19" s="1335"/>
      <c r="E19" s="1336">
        <v>696.8</v>
      </c>
      <c r="F19" s="1336">
        <v>10.9</v>
      </c>
      <c r="G19" s="1337">
        <f t="shared" si="0"/>
        <v>1.5642939150401838</v>
      </c>
    </row>
    <row r="20" spans="1:7" s="1315" customFormat="1" ht="16.5" thickBot="1" thickTop="1">
      <c r="A20" s="1309"/>
      <c r="B20" s="1310" t="s">
        <v>1112</v>
      </c>
      <c r="C20" s="1311"/>
      <c r="D20" s="1312">
        <f>SUM(D21:D22)</f>
        <v>30</v>
      </c>
      <c r="E20" s="1313">
        <f>SUM(E21:E22)</f>
        <v>30</v>
      </c>
      <c r="F20" s="1313">
        <f>SUM(F21:F22)</f>
        <v>0</v>
      </c>
      <c r="G20" s="1314">
        <f t="shared" si="0"/>
        <v>0</v>
      </c>
    </row>
    <row r="21" spans="1:7" ht="28.5" customHeight="1" thickTop="1">
      <c r="A21" s="1338">
        <v>7</v>
      </c>
      <c r="B21" s="1339" t="s">
        <v>1113</v>
      </c>
      <c r="C21" s="1340" t="s">
        <v>1114</v>
      </c>
      <c r="D21" s="1341">
        <v>10</v>
      </c>
      <c r="E21" s="1342">
        <v>10</v>
      </c>
      <c r="F21" s="1342">
        <v>0</v>
      </c>
      <c r="G21" s="1343">
        <f t="shared" si="0"/>
        <v>0</v>
      </c>
    </row>
    <row r="22" spans="1:7" ht="26.25" thickBot="1">
      <c r="A22" s="1332">
        <v>8</v>
      </c>
      <c r="B22" s="1344" t="s">
        <v>1115</v>
      </c>
      <c r="C22" s="1334" t="s">
        <v>1116</v>
      </c>
      <c r="D22" s="1335">
        <v>20</v>
      </c>
      <c r="E22" s="1336">
        <v>20</v>
      </c>
      <c r="F22" s="1336">
        <v>0</v>
      </c>
      <c r="G22" s="1345">
        <f t="shared" si="0"/>
        <v>0</v>
      </c>
    </row>
    <row r="23" spans="1:7" s="1315" customFormat="1" ht="16.5" thickBot="1" thickTop="1">
      <c r="A23" s="1309"/>
      <c r="B23" s="1310" t="s">
        <v>1117</v>
      </c>
      <c r="C23" s="1311"/>
      <c r="D23" s="1313">
        <f>SUM(D24)</f>
        <v>5</v>
      </c>
      <c r="E23" s="1313">
        <f>SUM(E24)</f>
        <v>5</v>
      </c>
      <c r="F23" s="1313">
        <f>SUM(F24)</f>
        <v>0</v>
      </c>
      <c r="G23" s="1314">
        <f t="shared" si="0"/>
        <v>0</v>
      </c>
    </row>
    <row r="24" spans="1:7" ht="36.75" customHeight="1" thickBot="1" thickTop="1">
      <c r="A24" s="1328">
        <v>9</v>
      </c>
      <c r="B24" s="1323" t="s">
        <v>1118</v>
      </c>
      <c r="C24" s="1324" t="s">
        <v>1119</v>
      </c>
      <c r="D24" s="1329">
        <v>5</v>
      </c>
      <c r="E24" s="1330">
        <v>5</v>
      </c>
      <c r="F24" s="1330">
        <v>0</v>
      </c>
      <c r="G24" s="1346">
        <f t="shared" si="0"/>
        <v>0</v>
      </c>
    </row>
    <row r="25" spans="1:7" s="1315" customFormat="1" ht="16.5" thickBot="1" thickTop="1">
      <c r="A25" s="1309"/>
      <c r="B25" s="1310" t="s">
        <v>1120</v>
      </c>
      <c r="C25" s="1311" t="s">
        <v>1121</v>
      </c>
      <c r="D25" s="1312">
        <f>SUM(D26:D27)</f>
        <v>27</v>
      </c>
      <c r="E25" s="1313">
        <f>SUM(E26:E27)</f>
        <v>34</v>
      </c>
      <c r="F25" s="1313">
        <f>SUM(F26:F27)</f>
        <v>29.3</v>
      </c>
      <c r="G25" s="1314">
        <f t="shared" si="0"/>
        <v>86.1764705882353</v>
      </c>
    </row>
    <row r="26" spans="1:7" s="1315" customFormat="1" ht="51.75" thickTop="1">
      <c r="A26" s="1322">
        <v>10</v>
      </c>
      <c r="B26" s="1323" t="s">
        <v>1122</v>
      </c>
      <c r="C26" s="1324" t="s">
        <v>1123</v>
      </c>
      <c r="D26" s="1325">
        <v>27</v>
      </c>
      <c r="E26" s="1326">
        <v>27</v>
      </c>
      <c r="F26" s="1326">
        <v>22.3</v>
      </c>
      <c r="G26" s="1327">
        <f>F26/E26*100</f>
        <v>82.5925925925926</v>
      </c>
    </row>
    <row r="27" spans="1:7" ht="38.25">
      <c r="A27" s="1347">
        <v>11</v>
      </c>
      <c r="B27" s="1348" t="s">
        <v>1124</v>
      </c>
      <c r="C27" s="1349" t="s">
        <v>1125</v>
      </c>
      <c r="D27" s="1350"/>
      <c r="E27" s="1351">
        <v>7</v>
      </c>
      <c r="F27" s="1351">
        <v>7</v>
      </c>
      <c r="G27" s="1352">
        <f t="shared" si="0"/>
        <v>100</v>
      </c>
    </row>
    <row r="28" spans="1:7" s="1315" customFormat="1" ht="18" customHeight="1" thickBot="1">
      <c r="A28" s="1353"/>
      <c r="B28" s="1354" t="s">
        <v>1126</v>
      </c>
      <c r="C28" s="1355" t="s">
        <v>1121</v>
      </c>
      <c r="D28" s="1356"/>
      <c r="E28" s="1357">
        <f>E29</f>
        <v>10.7</v>
      </c>
      <c r="F28" s="1357">
        <f>F29</f>
        <v>0</v>
      </c>
      <c r="G28" s="1358">
        <f t="shared" si="0"/>
        <v>0</v>
      </c>
    </row>
    <row r="29" spans="1:7" ht="39.75" thickBot="1" thickTop="1">
      <c r="A29" s="1359">
        <v>12</v>
      </c>
      <c r="B29" s="1110" t="s">
        <v>1127</v>
      </c>
      <c r="C29" s="1321" t="s">
        <v>0</v>
      </c>
      <c r="D29" s="1360"/>
      <c r="E29" s="1361">
        <v>10.7</v>
      </c>
      <c r="F29" s="1361">
        <v>0</v>
      </c>
      <c r="G29" s="1362">
        <f t="shared" si="0"/>
        <v>0</v>
      </c>
    </row>
    <row r="30" spans="1:7" s="1315" customFormat="1" ht="24.75" customHeight="1" thickBot="1" thickTop="1">
      <c r="A30" s="1309"/>
      <c r="B30" s="1310" t="s">
        <v>1</v>
      </c>
      <c r="C30" s="1311"/>
      <c r="D30" s="1312">
        <f>SUM(D31:D32)</f>
        <v>38</v>
      </c>
      <c r="E30" s="1312">
        <f>SUM(E31:E32)</f>
        <v>38</v>
      </c>
      <c r="F30" s="1312">
        <f>SUM(F31:F32)</f>
        <v>19.5</v>
      </c>
      <c r="G30" s="1314">
        <f t="shared" si="0"/>
        <v>51.31578947368421</v>
      </c>
    </row>
    <row r="31" spans="1:7" ht="30" customHeight="1" thickTop="1">
      <c r="A31" s="1328">
        <v>13</v>
      </c>
      <c r="B31" s="1323" t="s">
        <v>2</v>
      </c>
      <c r="C31" s="1324" t="s">
        <v>3</v>
      </c>
      <c r="D31" s="1329">
        <v>20</v>
      </c>
      <c r="E31" s="1330">
        <v>20</v>
      </c>
      <c r="F31" s="1330">
        <v>19.5</v>
      </c>
      <c r="G31" s="1346">
        <f t="shared" si="0"/>
        <v>97.5</v>
      </c>
    </row>
    <row r="32" spans="1:7" ht="40.5" customHeight="1" thickBot="1">
      <c r="A32" s="1338">
        <v>14</v>
      </c>
      <c r="B32" s="1363" t="s">
        <v>4</v>
      </c>
      <c r="C32" s="1340" t="s">
        <v>5</v>
      </c>
      <c r="D32" s="1341">
        <v>18</v>
      </c>
      <c r="E32" s="1342">
        <v>18</v>
      </c>
      <c r="F32" s="1342">
        <v>0</v>
      </c>
      <c r="G32" s="1343">
        <f t="shared" si="0"/>
        <v>0</v>
      </c>
    </row>
    <row r="33" spans="1:7" s="1096" customFormat="1" ht="20.25" customHeight="1" thickBot="1" thickTop="1">
      <c r="A33" s="1364"/>
      <c r="B33" s="1365" t="s">
        <v>582</v>
      </c>
      <c r="C33" s="1366"/>
      <c r="D33" s="1367">
        <f>D9+D11+D13+D15+D17+D20+D23+D25+D28+D30</f>
        <v>717.5</v>
      </c>
      <c r="E33" s="1367">
        <f>E9+E11+E13+E15+E17+E20+E23+E25+E28+E30</f>
        <v>4576.599999999999</v>
      </c>
      <c r="F33" s="1367">
        <f>F9+F11+F13+F15+F17+F20+F23+F25+F28+F30</f>
        <v>309.6</v>
      </c>
      <c r="G33" s="1368">
        <f>F33/E33*100</f>
        <v>6.76484726652974</v>
      </c>
    </row>
    <row r="34" spans="2:7" ht="15.75" thickTop="1">
      <c r="B34" s="1369"/>
      <c r="G34" s="1370"/>
    </row>
    <row r="35" ht="15">
      <c r="G35" s="1370"/>
    </row>
    <row r="36" ht="15">
      <c r="G36" s="1370"/>
    </row>
    <row r="37" ht="15">
      <c r="G37" s="1370"/>
    </row>
    <row r="38" ht="15">
      <c r="G38" s="1370"/>
    </row>
  </sheetData>
  <printOptions horizontalCentered="1"/>
  <pageMargins left="0" right="0.1968503937007874" top="0.984251968503937" bottom="0.7874015748031497" header="0.5118110236220472" footer="0.5118110236220472"/>
  <pageSetup firstPageNumber="8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B45"/>
  <sheetViews>
    <sheetView workbookViewId="0" topLeftCell="A1">
      <selection activeCell="B9" sqref="B9"/>
    </sheetView>
  </sheetViews>
  <sheetFormatPr defaultColWidth="9.00390625" defaultRowHeight="12.75"/>
  <cols>
    <col min="1" max="1" width="6.625" style="1371" customWidth="1"/>
    <col min="2" max="2" width="43.00390625" style="1372" customWidth="1"/>
    <col min="3" max="3" width="5.125" style="1373" customWidth="1"/>
    <col min="4" max="5" width="10.00390625" style="1371" customWidth="1"/>
    <col min="6" max="6" width="10.25390625" style="1371" customWidth="1"/>
    <col min="7" max="7" width="9.00390625" style="1371" customWidth="1"/>
    <col min="8" max="236" width="10.00390625" style="1371" customWidth="1"/>
    <col min="237" max="16384" width="10.00390625" style="1375" customWidth="1"/>
  </cols>
  <sheetData>
    <row r="1" ht="15.75">
      <c r="F1" s="1374" t="s">
        <v>1085</v>
      </c>
    </row>
    <row r="2" spans="1:7" s="1378" customFormat="1" ht="21.75" customHeight="1">
      <c r="A2" s="1376" t="s">
        <v>6</v>
      </c>
      <c r="B2" s="1376"/>
      <c r="C2" s="1376"/>
      <c r="D2" s="1377"/>
      <c r="E2" s="1377"/>
      <c r="F2" s="1377"/>
      <c r="G2" s="1377"/>
    </row>
    <row r="3" spans="1:236" s="1385" customFormat="1" ht="13.5" customHeight="1">
      <c r="A3" s="1379" t="s">
        <v>7</v>
      </c>
      <c r="B3" s="1380"/>
      <c r="C3" s="1381"/>
      <c r="D3" s="1382"/>
      <c r="E3" s="1382"/>
      <c r="F3" s="1383"/>
      <c r="G3" s="1382"/>
      <c r="H3" s="1384"/>
      <c r="I3" s="1384"/>
      <c r="J3" s="1384"/>
      <c r="K3" s="1384"/>
      <c r="L3" s="1384"/>
      <c r="M3" s="1384"/>
      <c r="N3" s="1384"/>
      <c r="O3" s="1384"/>
      <c r="P3" s="1384"/>
      <c r="Q3" s="1384"/>
      <c r="R3" s="1384"/>
      <c r="S3" s="1384"/>
      <c r="T3" s="1384"/>
      <c r="U3" s="1384"/>
      <c r="V3" s="1384"/>
      <c r="W3" s="1384"/>
      <c r="X3" s="1384"/>
      <c r="Y3" s="1384"/>
      <c r="Z3" s="1384"/>
      <c r="AA3" s="1384"/>
      <c r="AB3" s="1384"/>
      <c r="AC3" s="1384"/>
      <c r="AD3" s="1384"/>
      <c r="AE3" s="1384"/>
      <c r="AF3" s="1384"/>
      <c r="AG3" s="1384"/>
      <c r="AH3" s="1384"/>
      <c r="AI3" s="1384"/>
      <c r="AJ3" s="1384"/>
      <c r="AK3" s="1384"/>
      <c r="AL3" s="1384"/>
      <c r="AM3" s="1384"/>
      <c r="AN3" s="1384"/>
      <c r="AO3" s="1384"/>
      <c r="AP3" s="1384"/>
      <c r="AQ3" s="1384"/>
      <c r="AR3" s="1384"/>
      <c r="AS3" s="1384"/>
      <c r="AT3" s="1384"/>
      <c r="AU3" s="1384"/>
      <c r="AV3" s="1384"/>
      <c r="AW3" s="1384"/>
      <c r="AX3" s="1384"/>
      <c r="AY3" s="1384"/>
      <c r="AZ3" s="1384"/>
      <c r="BA3" s="1384"/>
      <c r="BB3" s="1384"/>
      <c r="BC3" s="1384"/>
      <c r="BD3" s="1384"/>
      <c r="BE3" s="1384"/>
      <c r="BF3" s="1384"/>
      <c r="BG3" s="1384"/>
      <c r="BH3" s="1384"/>
      <c r="BI3" s="1384"/>
      <c r="BJ3" s="1384"/>
      <c r="BK3" s="1384"/>
      <c r="BL3" s="1384"/>
      <c r="BM3" s="1384"/>
      <c r="BN3" s="1384"/>
      <c r="BO3" s="1384"/>
      <c r="BP3" s="1384"/>
      <c r="BQ3" s="1384"/>
      <c r="BR3" s="1384"/>
      <c r="BS3" s="1384"/>
      <c r="BT3" s="1384"/>
      <c r="BU3" s="1384"/>
      <c r="BV3" s="1384"/>
      <c r="BW3" s="1384"/>
      <c r="BX3" s="1384"/>
      <c r="BY3" s="1384"/>
      <c r="BZ3" s="1384"/>
      <c r="CA3" s="1384"/>
      <c r="CB3" s="1384"/>
      <c r="CC3" s="1384"/>
      <c r="CD3" s="1384"/>
      <c r="CE3" s="1384"/>
      <c r="CF3" s="1384"/>
      <c r="CG3" s="1384"/>
      <c r="CH3" s="1384"/>
      <c r="CI3" s="1384"/>
      <c r="CJ3" s="1384"/>
      <c r="CK3" s="1384"/>
      <c r="CL3" s="1384"/>
      <c r="CM3" s="1384"/>
      <c r="CN3" s="1384"/>
      <c r="CO3" s="1384"/>
      <c r="CP3" s="1384"/>
      <c r="CQ3" s="1384"/>
      <c r="CR3" s="1384"/>
      <c r="CS3" s="1384"/>
      <c r="CT3" s="1384"/>
      <c r="CU3" s="1384"/>
      <c r="CV3" s="1384"/>
      <c r="CW3" s="1384"/>
      <c r="CX3" s="1384"/>
      <c r="CY3" s="1384"/>
      <c r="CZ3" s="1384"/>
      <c r="DA3" s="1384"/>
      <c r="DB3" s="1384"/>
      <c r="DC3" s="1384"/>
      <c r="DD3" s="1384"/>
      <c r="DE3" s="1384"/>
      <c r="DF3" s="1384"/>
      <c r="DG3" s="1384"/>
      <c r="DH3" s="1384"/>
      <c r="DI3" s="1384"/>
      <c r="DJ3" s="1384"/>
      <c r="DK3" s="1384"/>
      <c r="DL3" s="1384"/>
      <c r="DM3" s="1384"/>
      <c r="DN3" s="1384"/>
      <c r="DO3" s="1384"/>
      <c r="DP3" s="1384"/>
      <c r="DQ3" s="1384"/>
      <c r="DR3" s="1384"/>
      <c r="DS3" s="1384"/>
      <c r="DT3" s="1384"/>
      <c r="DU3" s="1384"/>
      <c r="DV3" s="1384"/>
      <c r="DW3" s="1384"/>
      <c r="DX3" s="1384"/>
      <c r="DY3" s="1384"/>
      <c r="DZ3" s="1384"/>
      <c r="EA3" s="1384"/>
      <c r="EB3" s="1384"/>
      <c r="EC3" s="1384"/>
      <c r="ED3" s="1384"/>
      <c r="EE3" s="1384"/>
      <c r="EF3" s="1384"/>
      <c r="EG3" s="1384"/>
      <c r="EH3" s="1384"/>
      <c r="EI3" s="1384"/>
      <c r="EJ3" s="1384"/>
      <c r="EK3" s="1384"/>
      <c r="EL3" s="1384"/>
      <c r="EM3" s="1384"/>
      <c r="EN3" s="1384"/>
      <c r="EO3" s="1384"/>
      <c r="EP3" s="1384"/>
      <c r="EQ3" s="1384"/>
      <c r="ER3" s="1384"/>
      <c r="ES3" s="1384"/>
      <c r="ET3" s="1384"/>
      <c r="EU3" s="1384"/>
      <c r="EV3" s="1384"/>
      <c r="EW3" s="1384"/>
      <c r="EX3" s="1384"/>
      <c r="EY3" s="1384"/>
      <c r="EZ3" s="1384"/>
      <c r="FA3" s="1384"/>
      <c r="FB3" s="1384"/>
      <c r="FC3" s="1384"/>
      <c r="FD3" s="1384"/>
      <c r="FE3" s="1384"/>
      <c r="FF3" s="1384"/>
      <c r="FG3" s="1384"/>
      <c r="FH3" s="1384"/>
      <c r="FI3" s="1384"/>
      <c r="FJ3" s="1384"/>
      <c r="FK3" s="1384"/>
      <c r="FL3" s="1384"/>
      <c r="FM3" s="1384"/>
      <c r="FN3" s="1384"/>
      <c r="FO3" s="1384"/>
      <c r="FP3" s="1384"/>
      <c r="FQ3" s="1384"/>
      <c r="FR3" s="1384"/>
      <c r="FS3" s="1384"/>
      <c r="FT3" s="1384"/>
      <c r="FU3" s="1384"/>
      <c r="FV3" s="1384"/>
      <c r="FW3" s="1384"/>
      <c r="FX3" s="1384"/>
      <c r="FY3" s="1384"/>
      <c r="FZ3" s="1384"/>
      <c r="GA3" s="1384"/>
      <c r="GB3" s="1384"/>
      <c r="GC3" s="1384"/>
      <c r="GD3" s="1384"/>
      <c r="GE3" s="1384"/>
      <c r="GF3" s="1384"/>
      <c r="GG3" s="1384"/>
      <c r="GH3" s="1384"/>
      <c r="GI3" s="1384"/>
      <c r="GJ3" s="1384"/>
      <c r="GK3" s="1384"/>
      <c r="GL3" s="1384"/>
      <c r="GM3" s="1384"/>
      <c r="GN3" s="1384"/>
      <c r="GO3" s="1384"/>
      <c r="GP3" s="1384"/>
      <c r="GQ3" s="1384"/>
      <c r="GR3" s="1384"/>
      <c r="GS3" s="1384"/>
      <c r="GT3" s="1384"/>
      <c r="GU3" s="1384"/>
      <c r="GV3" s="1384"/>
      <c r="GW3" s="1384"/>
      <c r="GX3" s="1384"/>
      <c r="GY3" s="1384"/>
      <c r="GZ3" s="1384"/>
      <c r="HA3" s="1384"/>
      <c r="HB3" s="1384"/>
      <c r="HC3" s="1384"/>
      <c r="HD3" s="1384"/>
      <c r="HE3" s="1384"/>
      <c r="HF3" s="1384"/>
      <c r="HG3" s="1384"/>
      <c r="HH3" s="1384"/>
      <c r="HI3" s="1384"/>
      <c r="HJ3" s="1384"/>
      <c r="HK3" s="1384"/>
      <c r="HL3" s="1384"/>
      <c r="HM3" s="1384"/>
      <c r="HN3" s="1384"/>
      <c r="HO3" s="1384"/>
      <c r="HP3" s="1384"/>
      <c r="HQ3" s="1384"/>
      <c r="HR3" s="1384"/>
      <c r="HS3" s="1384"/>
      <c r="HT3" s="1384"/>
      <c r="HU3" s="1384"/>
      <c r="HV3" s="1384"/>
      <c r="HW3" s="1384"/>
      <c r="HX3" s="1384"/>
      <c r="HY3" s="1384"/>
      <c r="HZ3" s="1384"/>
      <c r="IA3" s="1384"/>
      <c r="IB3" s="1384"/>
    </row>
    <row r="4" spans="1:236" s="1385" customFormat="1" ht="13.5" customHeight="1" thickBot="1">
      <c r="A4" s="1379"/>
      <c r="B4" s="1380"/>
      <c r="C4" s="1386"/>
      <c r="D4" s="1382"/>
      <c r="E4" s="1382"/>
      <c r="F4" s="1383" t="s">
        <v>872</v>
      </c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  <c r="R4" s="1384"/>
      <c r="S4" s="1384"/>
      <c r="T4" s="1384"/>
      <c r="U4" s="1384"/>
      <c r="V4" s="1384"/>
      <c r="W4" s="1384"/>
      <c r="X4" s="1384"/>
      <c r="Y4" s="1384"/>
      <c r="Z4" s="1384"/>
      <c r="AA4" s="1384"/>
      <c r="AB4" s="1384"/>
      <c r="AC4" s="1384"/>
      <c r="AD4" s="1384"/>
      <c r="AE4" s="1384"/>
      <c r="AF4" s="1384"/>
      <c r="AG4" s="1384"/>
      <c r="AH4" s="1384"/>
      <c r="AI4" s="1384"/>
      <c r="AJ4" s="1384"/>
      <c r="AK4" s="1384"/>
      <c r="AL4" s="1384"/>
      <c r="AM4" s="1384"/>
      <c r="AN4" s="1384"/>
      <c r="AO4" s="1384"/>
      <c r="AP4" s="1384"/>
      <c r="AQ4" s="1384"/>
      <c r="AR4" s="1384"/>
      <c r="AS4" s="1384"/>
      <c r="AT4" s="1384"/>
      <c r="AU4" s="1384"/>
      <c r="AV4" s="1384"/>
      <c r="AW4" s="1384"/>
      <c r="AX4" s="1384"/>
      <c r="AY4" s="1384"/>
      <c r="AZ4" s="1384"/>
      <c r="BA4" s="1384"/>
      <c r="BB4" s="1384"/>
      <c r="BC4" s="1384"/>
      <c r="BD4" s="1384"/>
      <c r="BE4" s="1384"/>
      <c r="BF4" s="1384"/>
      <c r="BG4" s="1384"/>
      <c r="BH4" s="1384"/>
      <c r="BI4" s="1384"/>
      <c r="BJ4" s="1384"/>
      <c r="BK4" s="1384"/>
      <c r="BL4" s="1384"/>
      <c r="BM4" s="1384"/>
      <c r="BN4" s="1384"/>
      <c r="BO4" s="1384"/>
      <c r="BP4" s="1384"/>
      <c r="BQ4" s="1384"/>
      <c r="BR4" s="1384"/>
      <c r="BS4" s="1384"/>
      <c r="BT4" s="1384"/>
      <c r="BU4" s="1384"/>
      <c r="BV4" s="1384"/>
      <c r="BW4" s="1384"/>
      <c r="BX4" s="1384"/>
      <c r="BY4" s="1384"/>
      <c r="BZ4" s="1384"/>
      <c r="CA4" s="1384"/>
      <c r="CB4" s="1384"/>
      <c r="CC4" s="1384"/>
      <c r="CD4" s="1384"/>
      <c r="CE4" s="1384"/>
      <c r="CF4" s="1384"/>
      <c r="CG4" s="1384"/>
      <c r="CH4" s="1384"/>
      <c r="CI4" s="1384"/>
      <c r="CJ4" s="1384"/>
      <c r="CK4" s="1384"/>
      <c r="CL4" s="1384"/>
      <c r="CM4" s="1384"/>
      <c r="CN4" s="1384"/>
      <c r="CO4" s="1384"/>
      <c r="CP4" s="1384"/>
      <c r="CQ4" s="1384"/>
      <c r="CR4" s="1384"/>
      <c r="CS4" s="1384"/>
      <c r="CT4" s="1384"/>
      <c r="CU4" s="1384"/>
      <c r="CV4" s="1384"/>
      <c r="CW4" s="1384"/>
      <c r="CX4" s="1384"/>
      <c r="CY4" s="1384"/>
      <c r="CZ4" s="1384"/>
      <c r="DA4" s="1384"/>
      <c r="DB4" s="1384"/>
      <c r="DC4" s="1384"/>
      <c r="DD4" s="1384"/>
      <c r="DE4" s="1384"/>
      <c r="DF4" s="1384"/>
      <c r="DG4" s="1384"/>
      <c r="DH4" s="1384"/>
      <c r="DI4" s="1384"/>
      <c r="DJ4" s="1384"/>
      <c r="DK4" s="1384"/>
      <c r="DL4" s="1384"/>
      <c r="DM4" s="1384"/>
      <c r="DN4" s="1384"/>
      <c r="DO4" s="1384"/>
      <c r="DP4" s="1384"/>
      <c r="DQ4" s="1384"/>
      <c r="DR4" s="1384"/>
      <c r="DS4" s="1384"/>
      <c r="DT4" s="1384"/>
      <c r="DU4" s="1384"/>
      <c r="DV4" s="1384"/>
      <c r="DW4" s="1384"/>
      <c r="DX4" s="1384"/>
      <c r="DY4" s="1384"/>
      <c r="DZ4" s="1384"/>
      <c r="EA4" s="1384"/>
      <c r="EB4" s="1384"/>
      <c r="EC4" s="1384"/>
      <c r="ED4" s="1384"/>
      <c r="EE4" s="1384"/>
      <c r="EF4" s="1384"/>
      <c r="EG4" s="1384"/>
      <c r="EH4" s="1384"/>
      <c r="EI4" s="1384"/>
      <c r="EJ4" s="1384"/>
      <c r="EK4" s="1384"/>
      <c r="EL4" s="1384"/>
      <c r="EM4" s="1384"/>
      <c r="EN4" s="1384"/>
      <c r="EO4" s="1384"/>
      <c r="EP4" s="1384"/>
      <c r="EQ4" s="1384"/>
      <c r="ER4" s="1384"/>
      <c r="ES4" s="1384"/>
      <c r="ET4" s="1384"/>
      <c r="EU4" s="1384"/>
      <c r="EV4" s="1384"/>
      <c r="EW4" s="1384"/>
      <c r="EX4" s="1384"/>
      <c r="EY4" s="1384"/>
      <c r="EZ4" s="1384"/>
      <c r="FA4" s="1384"/>
      <c r="FB4" s="1384"/>
      <c r="FC4" s="1384"/>
      <c r="FD4" s="1384"/>
      <c r="FE4" s="1384"/>
      <c r="FF4" s="1384"/>
      <c r="FG4" s="1384"/>
      <c r="FH4" s="1384"/>
      <c r="FI4" s="1384"/>
      <c r="FJ4" s="1384"/>
      <c r="FK4" s="1384"/>
      <c r="FL4" s="1384"/>
      <c r="FM4" s="1384"/>
      <c r="FN4" s="1384"/>
      <c r="FO4" s="1384"/>
      <c r="FP4" s="1384"/>
      <c r="FQ4" s="1384"/>
      <c r="FR4" s="1384"/>
      <c r="FS4" s="1384"/>
      <c r="FT4" s="1384"/>
      <c r="FU4" s="1384"/>
      <c r="FV4" s="1384"/>
      <c r="FW4" s="1384"/>
      <c r="FX4" s="1384"/>
      <c r="FY4" s="1384"/>
      <c r="FZ4" s="1384"/>
      <c r="GA4" s="1384"/>
      <c r="GB4" s="1384"/>
      <c r="GC4" s="1384"/>
      <c r="GD4" s="1384"/>
      <c r="GE4" s="1384"/>
      <c r="GF4" s="1384"/>
      <c r="GG4" s="1384"/>
      <c r="GH4" s="1384"/>
      <c r="GI4" s="1384"/>
      <c r="GJ4" s="1384"/>
      <c r="GK4" s="1384"/>
      <c r="GL4" s="1384"/>
      <c r="GM4" s="1384"/>
      <c r="GN4" s="1384"/>
      <c r="GO4" s="1384"/>
      <c r="GP4" s="1384"/>
      <c r="GQ4" s="1384"/>
      <c r="GR4" s="1384"/>
      <c r="GS4" s="1384"/>
      <c r="GT4" s="1384"/>
      <c r="GU4" s="1384"/>
      <c r="GV4" s="1384"/>
      <c r="GW4" s="1384"/>
      <c r="GX4" s="1384"/>
      <c r="GY4" s="1384"/>
      <c r="GZ4" s="1384"/>
      <c r="HA4" s="1384"/>
      <c r="HB4" s="1384"/>
      <c r="HC4" s="1384"/>
      <c r="HD4" s="1384"/>
      <c r="HE4" s="1384"/>
      <c r="HF4" s="1384"/>
      <c r="HG4" s="1384"/>
      <c r="HH4" s="1384"/>
      <c r="HI4" s="1384"/>
      <c r="HJ4" s="1384"/>
      <c r="HK4" s="1384"/>
      <c r="HL4" s="1384"/>
      <c r="HM4" s="1384"/>
      <c r="HN4" s="1384"/>
      <c r="HO4" s="1384"/>
      <c r="HP4" s="1384"/>
      <c r="HQ4" s="1384"/>
      <c r="HR4" s="1384"/>
      <c r="HS4" s="1384"/>
      <c r="HT4" s="1384"/>
      <c r="HU4" s="1384"/>
      <c r="HV4" s="1384"/>
      <c r="HW4" s="1384"/>
      <c r="HX4" s="1384"/>
      <c r="HY4" s="1384"/>
      <c r="HZ4" s="1384"/>
      <c r="IA4" s="1384"/>
      <c r="IB4" s="1384"/>
    </row>
    <row r="5" spans="1:7" ht="39" customHeight="1" thickTop="1">
      <c r="A5" s="1387" t="s">
        <v>8</v>
      </c>
      <c r="B5" s="1388" t="s">
        <v>818</v>
      </c>
      <c r="C5" s="1389" t="s">
        <v>9</v>
      </c>
      <c r="D5" s="1390" t="s">
        <v>546</v>
      </c>
      <c r="E5" s="1390" t="s">
        <v>10</v>
      </c>
      <c r="F5" s="1390" t="s">
        <v>734</v>
      </c>
      <c r="G5" s="1301" t="s">
        <v>1094</v>
      </c>
    </row>
    <row r="6" spans="1:7" s="1395" customFormat="1" ht="12.75" customHeight="1" thickBot="1">
      <c r="A6" s="1391">
        <v>1</v>
      </c>
      <c r="B6" s="1392">
        <v>2</v>
      </c>
      <c r="C6" s="1393">
        <v>3</v>
      </c>
      <c r="D6" s="1393">
        <v>4</v>
      </c>
      <c r="E6" s="1393">
        <v>5</v>
      </c>
      <c r="F6" s="1393">
        <v>6</v>
      </c>
      <c r="G6" s="1394">
        <v>7</v>
      </c>
    </row>
    <row r="7" spans="1:7" s="1401" customFormat="1" ht="16.5" thickBot="1" thickTop="1">
      <c r="A7" s="1396"/>
      <c r="B7" s="1397" t="s">
        <v>11</v>
      </c>
      <c r="C7" s="1398"/>
      <c r="D7" s="1399">
        <f>SUM(D8)</f>
        <v>0</v>
      </c>
      <c r="E7" s="1399">
        <f>SUM(E8)</f>
        <v>30</v>
      </c>
      <c r="F7" s="1399">
        <f>SUM(F8)</f>
        <v>0</v>
      </c>
      <c r="G7" s="1400">
        <f>F7/E7*100</f>
        <v>0</v>
      </c>
    </row>
    <row r="8" spans="1:236" ht="18" customHeight="1" thickBot="1" thickTop="1">
      <c r="A8" s="1402">
        <v>50095</v>
      </c>
      <c r="B8" s="1403" t="s">
        <v>12</v>
      </c>
      <c r="C8" s="1404">
        <v>4270</v>
      </c>
      <c r="D8" s="1405">
        <v>0</v>
      </c>
      <c r="E8" s="1405">
        <v>30</v>
      </c>
      <c r="F8" s="1405">
        <v>0</v>
      </c>
      <c r="G8" s="1406">
        <v>0</v>
      </c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1375"/>
      <c r="AG8" s="1375"/>
      <c r="AH8" s="1375"/>
      <c r="AI8" s="1375"/>
      <c r="AJ8" s="1375"/>
      <c r="AK8" s="1375"/>
      <c r="AL8" s="1375"/>
      <c r="AM8" s="1375"/>
      <c r="AN8" s="1375"/>
      <c r="AO8" s="1375"/>
      <c r="AP8" s="1375"/>
      <c r="AQ8" s="1375"/>
      <c r="AR8" s="1375"/>
      <c r="AS8" s="1375"/>
      <c r="AT8" s="1375"/>
      <c r="AU8" s="1375"/>
      <c r="AV8" s="1375"/>
      <c r="AW8" s="1375"/>
      <c r="AX8" s="1375"/>
      <c r="AY8" s="1375"/>
      <c r="AZ8" s="1375"/>
      <c r="BA8" s="1375"/>
      <c r="BB8" s="1375"/>
      <c r="BC8" s="1375"/>
      <c r="BD8" s="1375"/>
      <c r="BE8" s="1375"/>
      <c r="BF8" s="1375"/>
      <c r="BG8" s="1375"/>
      <c r="BH8" s="1375"/>
      <c r="BI8" s="1375"/>
      <c r="BJ8" s="1375"/>
      <c r="BK8" s="1375"/>
      <c r="BL8" s="1375"/>
      <c r="BM8" s="1375"/>
      <c r="BN8" s="1375"/>
      <c r="BO8" s="1375"/>
      <c r="BP8" s="1375"/>
      <c r="BQ8" s="1375"/>
      <c r="BR8" s="1375"/>
      <c r="BS8" s="1375"/>
      <c r="BT8" s="1375"/>
      <c r="BU8" s="1375"/>
      <c r="BV8" s="1375"/>
      <c r="BW8" s="1375"/>
      <c r="BX8" s="1375"/>
      <c r="BY8" s="1375"/>
      <c r="BZ8" s="1375"/>
      <c r="CA8" s="1375"/>
      <c r="CB8" s="1375"/>
      <c r="CC8" s="1375"/>
      <c r="CD8" s="1375"/>
      <c r="CE8" s="1375"/>
      <c r="CF8" s="1375"/>
      <c r="CG8" s="1375"/>
      <c r="CH8" s="1375"/>
      <c r="CI8" s="1375"/>
      <c r="CJ8" s="1375"/>
      <c r="CK8" s="1375"/>
      <c r="CL8" s="1375"/>
      <c r="CM8" s="1375"/>
      <c r="CN8" s="1375"/>
      <c r="CO8" s="1375"/>
      <c r="CP8" s="1375"/>
      <c r="CQ8" s="1375"/>
      <c r="CR8" s="1375"/>
      <c r="CS8" s="1375"/>
      <c r="CT8" s="1375"/>
      <c r="CU8" s="1375"/>
      <c r="CV8" s="1375"/>
      <c r="CW8" s="1375"/>
      <c r="CX8" s="1375"/>
      <c r="CY8" s="1375"/>
      <c r="CZ8" s="1375"/>
      <c r="DA8" s="1375"/>
      <c r="DB8" s="1375"/>
      <c r="DC8" s="1375"/>
      <c r="DD8" s="1375"/>
      <c r="DE8" s="1375"/>
      <c r="DF8" s="1375"/>
      <c r="DG8" s="1375"/>
      <c r="DH8" s="1375"/>
      <c r="DI8" s="1375"/>
      <c r="DJ8" s="1375"/>
      <c r="DK8" s="1375"/>
      <c r="DL8" s="1375"/>
      <c r="DM8" s="1375"/>
      <c r="DN8" s="1375"/>
      <c r="DO8" s="1375"/>
      <c r="DP8" s="1375"/>
      <c r="DQ8" s="1375"/>
      <c r="DR8" s="1375"/>
      <c r="DS8" s="1375"/>
      <c r="DT8" s="1375"/>
      <c r="DU8" s="1375"/>
      <c r="DV8" s="1375"/>
      <c r="DW8" s="1375"/>
      <c r="DX8" s="1375"/>
      <c r="DY8" s="1375"/>
      <c r="DZ8" s="1375"/>
      <c r="EA8" s="1375"/>
      <c r="EB8" s="1375"/>
      <c r="EC8" s="1375"/>
      <c r="ED8" s="1375"/>
      <c r="EE8" s="1375"/>
      <c r="EF8" s="1375"/>
      <c r="EG8" s="1375"/>
      <c r="EH8" s="1375"/>
      <c r="EI8" s="1375"/>
      <c r="EJ8" s="1375"/>
      <c r="EK8" s="1375"/>
      <c r="EL8" s="1375"/>
      <c r="EM8" s="1375"/>
      <c r="EN8" s="1375"/>
      <c r="EO8" s="1375"/>
      <c r="EP8" s="1375"/>
      <c r="EQ8" s="1375"/>
      <c r="ER8" s="1375"/>
      <c r="ES8" s="1375"/>
      <c r="ET8" s="1375"/>
      <c r="EU8" s="1375"/>
      <c r="EV8" s="1375"/>
      <c r="EW8" s="1375"/>
      <c r="EX8" s="1375"/>
      <c r="EY8" s="1375"/>
      <c r="EZ8" s="1375"/>
      <c r="FA8" s="1375"/>
      <c r="FB8" s="1375"/>
      <c r="FC8" s="1375"/>
      <c r="FD8" s="1375"/>
      <c r="FE8" s="1375"/>
      <c r="FF8" s="1375"/>
      <c r="FG8" s="1375"/>
      <c r="FH8" s="1375"/>
      <c r="FI8" s="1375"/>
      <c r="FJ8" s="1375"/>
      <c r="FK8" s="1375"/>
      <c r="FL8" s="1375"/>
      <c r="FM8" s="1375"/>
      <c r="FN8" s="1375"/>
      <c r="FO8" s="1375"/>
      <c r="FP8" s="1375"/>
      <c r="FQ8" s="1375"/>
      <c r="FR8" s="1375"/>
      <c r="FS8" s="1375"/>
      <c r="FT8" s="1375"/>
      <c r="FU8" s="1375"/>
      <c r="FV8" s="1375"/>
      <c r="FW8" s="1375"/>
      <c r="FX8" s="1375"/>
      <c r="FY8" s="1375"/>
      <c r="FZ8" s="1375"/>
      <c r="GA8" s="1375"/>
      <c r="GB8" s="1375"/>
      <c r="GC8" s="1375"/>
      <c r="GD8" s="1375"/>
      <c r="GE8" s="1375"/>
      <c r="GF8" s="1375"/>
      <c r="GG8" s="1375"/>
      <c r="GH8" s="1375"/>
      <c r="GI8" s="1375"/>
      <c r="GJ8" s="1375"/>
      <c r="GK8" s="1375"/>
      <c r="GL8" s="1375"/>
      <c r="GM8" s="1375"/>
      <c r="GN8" s="1375"/>
      <c r="GO8" s="1375"/>
      <c r="GP8" s="1375"/>
      <c r="GQ8" s="1375"/>
      <c r="GR8" s="1375"/>
      <c r="GS8" s="1375"/>
      <c r="GT8" s="1375"/>
      <c r="GU8" s="1375"/>
      <c r="GV8" s="1375"/>
      <c r="GW8" s="1375"/>
      <c r="GX8" s="1375"/>
      <c r="GY8" s="1375"/>
      <c r="GZ8" s="1375"/>
      <c r="HA8" s="1375"/>
      <c r="HB8" s="1375"/>
      <c r="HC8" s="1375"/>
      <c r="HD8" s="1375"/>
      <c r="HE8" s="1375"/>
      <c r="HF8" s="1375"/>
      <c r="HG8" s="1375"/>
      <c r="HH8" s="1375"/>
      <c r="HI8" s="1375"/>
      <c r="HJ8" s="1375"/>
      <c r="HK8" s="1375"/>
      <c r="HL8" s="1375"/>
      <c r="HM8" s="1375"/>
      <c r="HN8" s="1375"/>
      <c r="HO8" s="1375"/>
      <c r="HP8" s="1375"/>
      <c r="HQ8" s="1375"/>
      <c r="HR8" s="1375"/>
      <c r="HS8" s="1375"/>
      <c r="HT8" s="1375"/>
      <c r="HU8" s="1375"/>
      <c r="HV8" s="1375"/>
      <c r="HW8" s="1375"/>
      <c r="HX8" s="1375"/>
      <c r="HY8" s="1375"/>
      <c r="HZ8" s="1375"/>
      <c r="IA8" s="1375"/>
      <c r="IB8" s="1375"/>
    </row>
    <row r="9" spans="1:7" s="1401" customFormat="1" ht="16.5" thickBot="1" thickTop="1">
      <c r="A9" s="1396"/>
      <c r="B9" s="1407" t="s">
        <v>1095</v>
      </c>
      <c r="C9" s="1398"/>
      <c r="D9" s="1399">
        <f>SUM(D10:D13)</f>
        <v>5327.6</v>
      </c>
      <c r="E9" s="1399">
        <f>SUM(E10:E13)</f>
        <v>5520.4</v>
      </c>
      <c r="F9" s="1399">
        <f>SUM(F10:F13)</f>
        <v>1592.6</v>
      </c>
      <c r="G9" s="1400">
        <f aca="true" t="shared" si="0" ref="G9:G14">F9/E9*100</f>
        <v>28.849358742120135</v>
      </c>
    </row>
    <row r="10" spans="1:7" s="1395" customFormat="1" ht="16.5" customHeight="1" thickTop="1">
      <c r="A10" s="1402">
        <v>60015</v>
      </c>
      <c r="B10" s="1408" t="s">
        <v>13</v>
      </c>
      <c r="C10" s="1404">
        <v>4270</v>
      </c>
      <c r="D10" s="1409">
        <v>3000</v>
      </c>
      <c r="E10" s="1409">
        <v>3300</v>
      </c>
      <c r="F10" s="1410">
        <v>799.1</v>
      </c>
      <c r="G10" s="1411">
        <f t="shared" si="0"/>
        <v>24.215151515151515</v>
      </c>
    </row>
    <row r="11" spans="1:7" s="1395" customFormat="1" ht="16.5" customHeight="1">
      <c r="A11" s="1402">
        <v>60016</v>
      </c>
      <c r="B11" s="1408" t="s">
        <v>14</v>
      </c>
      <c r="C11" s="1404">
        <v>4270</v>
      </c>
      <c r="D11" s="1409">
        <v>2000</v>
      </c>
      <c r="E11" s="1409">
        <v>1306.4</v>
      </c>
      <c r="F11" s="1410">
        <v>644.9</v>
      </c>
      <c r="G11" s="1411">
        <f t="shared" si="0"/>
        <v>49.36466625842008</v>
      </c>
    </row>
    <row r="12" spans="1:7" s="1395" customFormat="1" ht="16.5" customHeight="1">
      <c r="A12" s="1402">
        <v>60017</v>
      </c>
      <c r="B12" s="1408" t="s">
        <v>15</v>
      </c>
      <c r="C12" s="1404">
        <v>4270</v>
      </c>
      <c r="D12" s="1409">
        <v>327.6</v>
      </c>
      <c r="E12" s="1409">
        <v>909</v>
      </c>
      <c r="F12" s="1410">
        <v>145.1</v>
      </c>
      <c r="G12" s="1411">
        <f t="shared" si="0"/>
        <v>15.962596259625961</v>
      </c>
    </row>
    <row r="13" spans="1:7" s="1395" customFormat="1" ht="16.5" customHeight="1" thickBot="1">
      <c r="A13" s="1402">
        <v>60095</v>
      </c>
      <c r="B13" s="1408" t="s">
        <v>930</v>
      </c>
      <c r="C13" s="1404">
        <v>4270</v>
      </c>
      <c r="D13" s="1409">
        <v>0</v>
      </c>
      <c r="E13" s="1409">
        <v>5</v>
      </c>
      <c r="F13" s="1410">
        <v>3.5</v>
      </c>
      <c r="G13" s="1411">
        <f t="shared" si="0"/>
        <v>70</v>
      </c>
    </row>
    <row r="14" spans="1:7" s="1401" customFormat="1" ht="16.5" thickBot="1" thickTop="1">
      <c r="A14" s="1396"/>
      <c r="B14" s="1397" t="s">
        <v>1098</v>
      </c>
      <c r="C14" s="1398"/>
      <c r="D14" s="1399">
        <f>SUM(D15)</f>
        <v>3000</v>
      </c>
      <c r="E14" s="1399">
        <f>SUM(E15)</f>
        <v>2100</v>
      </c>
      <c r="F14" s="1399">
        <f>SUM(F15)</f>
        <v>301.3</v>
      </c>
      <c r="G14" s="1400">
        <f t="shared" si="0"/>
        <v>14.347619047619048</v>
      </c>
    </row>
    <row r="15" spans="1:236" ht="18" customHeight="1" thickBot="1" thickTop="1">
      <c r="A15" s="1402">
        <v>70001</v>
      </c>
      <c r="B15" s="1403" t="s">
        <v>825</v>
      </c>
      <c r="C15" s="1404">
        <v>2510</v>
      </c>
      <c r="D15" s="1405">
        <v>3000</v>
      </c>
      <c r="E15" s="1405">
        <v>2100</v>
      </c>
      <c r="F15" s="1405">
        <v>301.3</v>
      </c>
      <c r="G15" s="1406">
        <v>0</v>
      </c>
      <c r="H15" s="1375"/>
      <c r="I15" s="1375"/>
      <c r="J15" s="1375"/>
      <c r="K15" s="1375"/>
      <c r="L15" s="1375"/>
      <c r="M15" s="1375"/>
      <c r="N15" s="1375"/>
      <c r="O15" s="1375"/>
      <c r="P15" s="1375"/>
      <c r="Q15" s="1375"/>
      <c r="R15" s="1375"/>
      <c r="S15" s="1375"/>
      <c r="T15" s="1375"/>
      <c r="U15" s="1375"/>
      <c r="V15" s="1375"/>
      <c r="W15" s="1375"/>
      <c r="X15" s="1375"/>
      <c r="Y15" s="1375"/>
      <c r="Z15" s="1375"/>
      <c r="AA15" s="1375"/>
      <c r="AB15" s="1375"/>
      <c r="AC15" s="1375"/>
      <c r="AD15" s="1375"/>
      <c r="AE15" s="1375"/>
      <c r="AF15" s="1375"/>
      <c r="AG15" s="1375"/>
      <c r="AH15" s="1375"/>
      <c r="AI15" s="1375"/>
      <c r="AJ15" s="1375"/>
      <c r="AK15" s="1375"/>
      <c r="AL15" s="1375"/>
      <c r="AM15" s="1375"/>
      <c r="AN15" s="1375"/>
      <c r="AO15" s="1375"/>
      <c r="AP15" s="1375"/>
      <c r="AQ15" s="1375"/>
      <c r="AR15" s="1375"/>
      <c r="AS15" s="1375"/>
      <c r="AT15" s="1375"/>
      <c r="AU15" s="1375"/>
      <c r="AV15" s="1375"/>
      <c r="AW15" s="1375"/>
      <c r="AX15" s="1375"/>
      <c r="AY15" s="1375"/>
      <c r="AZ15" s="1375"/>
      <c r="BA15" s="1375"/>
      <c r="BB15" s="1375"/>
      <c r="BC15" s="1375"/>
      <c r="BD15" s="1375"/>
      <c r="BE15" s="1375"/>
      <c r="BF15" s="1375"/>
      <c r="BG15" s="1375"/>
      <c r="BH15" s="1375"/>
      <c r="BI15" s="1375"/>
      <c r="BJ15" s="1375"/>
      <c r="BK15" s="1375"/>
      <c r="BL15" s="1375"/>
      <c r="BM15" s="1375"/>
      <c r="BN15" s="1375"/>
      <c r="BO15" s="1375"/>
      <c r="BP15" s="1375"/>
      <c r="BQ15" s="1375"/>
      <c r="BR15" s="1375"/>
      <c r="BS15" s="1375"/>
      <c r="BT15" s="1375"/>
      <c r="BU15" s="1375"/>
      <c r="BV15" s="1375"/>
      <c r="BW15" s="1375"/>
      <c r="BX15" s="1375"/>
      <c r="BY15" s="1375"/>
      <c r="BZ15" s="1375"/>
      <c r="CA15" s="1375"/>
      <c r="CB15" s="1375"/>
      <c r="CC15" s="1375"/>
      <c r="CD15" s="1375"/>
      <c r="CE15" s="1375"/>
      <c r="CF15" s="1375"/>
      <c r="CG15" s="1375"/>
      <c r="CH15" s="1375"/>
      <c r="CI15" s="1375"/>
      <c r="CJ15" s="1375"/>
      <c r="CK15" s="1375"/>
      <c r="CL15" s="1375"/>
      <c r="CM15" s="1375"/>
      <c r="CN15" s="1375"/>
      <c r="CO15" s="1375"/>
      <c r="CP15" s="1375"/>
      <c r="CQ15" s="1375"/>
      <c r="CR15" s="1375"/>
      <c r="CS15" s="1375"/>
      <c r="CT15" s="1375"/>
      <c r="CU15" s="1375"/>
      <c r="CV15" s="1375"/>
      <c r="CW15" s="1375"/>
      <c r="CX15" s="1375"/>
      <c r="CY15" s="1375"/>
      <c r="CZ15" s="1375"/>
      <c r="DA15" s="1375"/>
      <c r="DB15" s="1375"/>
      <c r="DC15" s="1375"/>
      <c r="DD15" s="1375"/>
      <c r="DE15" s="1375"/>
      <c r="DF15" s="1375"/>
      <c r="DG15" s="1375"/>
      <c r="DH15" s="1375"/>
      <c r="DI15" s="1375"/>
      <c r="DJ15" s="1375"/>
      <c r="DK15" s="1375"/>
      <c r="DL15" s="1375"/>
      <c r="DM15" s="1375"/>
      <c r="DN15" s="1375"/>
      <c r="DO15" s="1375"/>
      <c r="DP15" s="1375"/>
      <c r="DQ15" s="1375"/>
      <c r="DR15" s="1375"/>
      <c r="DS15" s="1375"/>
      <c r="DT15" s="1375"/>
      <c r="DU15" s="1375"/>
      <c r="DV15" s="1375"/>
      <c r="DW15" s="1375"/>
      <c r="DX15" s="1375"/>
      <c r="DY15" s="1375"/>
      <c r="DZ15" s="1375"/>
      <c r="EA15" s="1375"/>
      <c r="EB15" s="1375"/>
      <c r="EC15" s="1375"/>
      <c r="ED15" s="1375"/>
      <c r="EE15" s="1375"/>
      <c r="EF15" s="1375"/>
      <c r="EG15" s="1375"/>
      <c r="EH15" s="1375"/>
      <c r="EI15" s="1375"/>
      <c r="EJ15" s="1375"/>
      <c r="EK15" s="1375"/>
      <c r="EL15" s="1375"/>
      <c r="EM15" s="1375"/>
      <c r="EN15" s="1375"/>
      <c r="EO15" s="1375"/>
      <c r="EP15" s="1375"/>
      <c r="EQ15" s="1375"/>
      <c r="ER15" s="1375"/>
      <c r="ES15" s="1375"/>
      <c r="ET15" s="1375"/>
      <c r="EU15" s="1375"/>
      <c r="EV15" s="1375"/>
      <c r="EW15" s="1375"/>
      <c r="EX15" s="1375"/>
      <c r="EY15" s="1375"/>
      <c r="EZ15" s="1375"/>
      <c r="FA15" s="1375"/>
      <c r="FB15" s="1375"/>
      <c r="FC15" s="1375"/>
      <c r="FD15" s="1375"/>
      <c r="FE15" s="1375"/>
      <c r="FF15" s="1375"/>
      <c r="FG15" s="1375"/>
      <c r="FH15" s="1375"/>
      <c r="FI15" s="1375"/>
      <c r="FJ15" s="1375"/>
      <c r="FK15" s="1375"/>
      <c r="FL15" s="1375"/>
      <c r="FM15" s="1375"/>
      <c r="FN15" s="1375"/>
      <c r="FO15" s="1375"/>
      <c r="FP15" s="1375"/>
      <c r="FQ15" s="1375"/>
      <c r="FR15" s="1375"/>
      <c r="FS15" s="1375"/>
      <c r="FT15" s="1375"/>
      <c r="FU15" s="1375"/>
      <c r="FV15" s="1375"/>
      <c r="FW15" s="1375"/>
      <c r="FX15" s="1375"/>
      <c r="FY15" s="1375"/>
      <c r="FZ15" s="1375"/>
      <c r="GA15" s="1375"/>
      <c r="GB15" s="1375"/>
      <c r="GC15" s="1375"/>
      <c r="GD15" s="1375"/>
      <c r="GE15" s="1375"/>
      <c r="GF15" s="1375"/>
      <c r="GG15" s="1375"/>
      <c r="GH15" s="1375"/>
      <c r="GI15" s="1375"/>
      <c r="GJ15" s="1375"/>
      <c r="GK15" s="1375"/>
      <c r="GL15" s="1375"/>
      <c r="GM15" s="1375"/>
      <c r="GN15" s="1375"/>
      <c r="GO15" s="1375"/>
      <c r="GP15" s="1375"/>
      <c r="GQ15" s="1375"/>
      <c r="GR15" s="1375"/>
      <c r="GS15" s="1375"/>
      <c r="GT15" s="1375"/>
      <c r="GU15" s="1375"/>
      <c r="GV15" s="1375"/>
      <c r="GW15" s="1375"/>
      <c r="GX15" s="1375"/>
      <c r="GY15" s="1375"/>
      <c r="GZ15" s="1375"/>
      <c r="HA15" s="1375"/>
      <c r="HB15" s="1375"/>
      <c r="HC15" s="1375"/>
      <c r="HD15" s="1375"/>
      <c r="HE15" s="1375"/>
      <c r="HF15" s="1375"/>
      <c r="HG15" s="1375"/>
      <c r="HH15" s="1375"/>
      <c r="HI15" s="1375"/>
      <c r="HJ15" s="1375"/>
      <c r="HK15" s="1375"/>
      <c r="HL15" s="1375"/>
      <c r="HM15" s="1375"/>
      <c r="HN15" s="1375"/>
      <c r="HO15" s="1375"/>
      <c r="HP15" s="1375"/>
      <c r="HQ15" s="1375"/>
      <c r="HR15" s="1375"/>
      <c r="HS15" s="1375"/>
      <c r="HT15" s="1375"/>
      <c r="HU15" s="1375"/>
      <c r="HV15" s="1375"/>
      <c r="HW15" s="1375"/>
      <c r="HX15" s="1375"/>
      <c r="HY15" s="1375"/>
      <c r="HZ15" s="1375"/>
      <c r="IA15" s="1375"/>
      <c r="IB15" s="1375"/>
    </row>
    <row r="16" spans="1:20" s="1401" customFormat="1" ht="16.5" thickBot="1" thickTop="1">
      <c r="A16" s="1396"/>
      <c r="B16" s="1397" t="s">
        <v>1101</v>
      </c>
      <c r="C16" s="1398"/>
      <c r="D16" s="1399">
        <f>SUM(D17:D17)</f>
        <v>700.2</v>
      </c>
      <c r="E16" s="1412">
        <f>SUM(E17)</f>
        <v>700.2</v>
      </c>
      <c r="F16" s="1412">
        <f>SUM(F17:F17)</f>
        <v>110.5</v>
      </c>
      <c r="G16" s="1400">
        <f>F16/E16*100</f>
        <v>15.781205369894316</v>
      </c>
      <c r="H16" s="1413"/>
      <c r="I16" s="1413"/>
      <c r="J16" s="1413"/>
      <c r="K16" s="1413"/>
      <c r="L16" s="1413"/>
      <c r="M16" s="1413"/>
      <c r="N16" s="1413"/>
      <c r="O16" s="1413"/>
      <c r="P16" s="1413"/>
      <c r="Q16" s="1413"/>
      <c r="R16" s="1413"/>
      <c r="S16" s="1413"/>
      <c r="T16" s="1413"/>
    </row>
    <row r="17" spans="1:236" ht="40.5" customHeight="1" thickBot="1" thickTop="1">
      <c r="A17" s="1414">
        <v>75023</v>
      </c>
      <c r="B17" s="1415" t="s">
        <v>16</v>
      </c>
      <c r="C17" s="1416">
        <v>4270</v>
      </c>
      <c r="D17" s="1417">
        <v>700.2</v>
      </c>
      <c r="E17" s="1417">
        <v>700.2</v>
      </c>
      <c r="F17" s="1417">
        <v>110.5</v>
      </c>
      <c r="G17" s="1411">
        <f>F17/E17*100</f>
        <v>15.781205369894316</v>
      </c>
      <c r="H17" s="1418"/>
      <c r="I17" s="1418"/>
      <c r="J17" s="1418"/>
      <c r="K17" s="1418"/>
      <c r="L17" s="1418"/>
      <c r="M17" s="1418"/>
      <c r="N17" s="1418"/>
      <c r="O17" s="1418"/>
      <c r="P17" s="1418"/>
      <c r="Q17" s="1418"/>
      <c r="R17" s="1418"/>
      <c r="S17" s="1418"/>
      <c r="T17" s="1418"/>
      <c r="U17" s="1375"/>
      <c r="V17" s="1375"/>
      <c r="W17" s="1375"/>
      <c r="X17" s="1375"/>
      <c r="Y17" s="1375"/>
      <c r="Z17" s="1375"/>
      <c r="AA17" s="1375"/>
      <c r="AB17" s="1375"/>
      <c r="AC17" s="1375"/>
      <c r="AD17" s="1375"/>
      <c r="AE17" s="1375"/>
      <c r="AF17" s="1375"/>
      <c r="AG17" s="1375"/>
      <c r="AH17" s="1375"/>
      <c r="AI17" s="1375"/>
      <c r="AJ17" s="1375"/>
      <c r="AK17" s="1375"/>
      <c r="AL17" s="1375"/>
      <c r="AM17" s="1375"/>
      <c r="AN17" s="1375"/>
      <c r="AO17" s="1375"/>
      <c r="AP17" s="1375"/>
      <c r="AQ17" s="1375"/>
      <c r="AR17" s="1375"/>
      <c r="AS17" s="1375"/>
      <c r="AT17" s="1375"/>
      <c r="AU17" s="1375"/>
      <c r="AV17" s="1375"/>
      <c r="AW17" s="1375"/>
      <c r="AX17" s="1375"/>
      <c r="AY17" s="1375"/>
      <c r="AZ17" s="1375"/>
      <c r="BA17" s="1375"/>
      <c r="BB17" s="1375"/>
      <c r="BC17" s="1375"/>
      <c r="BD17" s="1375"/>
      <c r="BE17" s="1375"/>
      <c r="BF17" s="1375"/>
      <c r="BG17" s="1375"/>
      <c r="BH17" s="1375"/>
      <c r="BI17" s="1375"/>
      <c r="BJ17" s="1375"/>
      <c r="BK17" s="1375"/>
      <c r="BL17" s="1375"/>
      <c r="BM17" s="1375"/>
      <c r="BN17" s="1375"/>
      <c r="BO17" s="1375"/>
      <c r="BP17" s="1375"/>
      <c r="BQ17" s="1375"/>
      <c r="BR17" s="1375"/>
      <c r="BS17" s="1375"/>
      <c r="BT17" s="1375"/>
      <c r="BU17" s="1375"/>
      <c r="BV17" s="1375"/>
      <c r="BW17" s="1375"/>
      <c r="BX17" s="1375"/>
      <c r="BY17" s="1375"/>
      <c r="BZ17" s="1375"/>
      <c r="CA17" s="1375"/>
      <c r="CB17" s="1375"/>
      <c r="CC17" s="1375"/>
      <c r="CD17" s="1375"/>
      <c r="CE17" s="1375"/>
      <c r="CF17" s="1375"/>
      <c r="CG17" s="1375"/>
      <c r="CH17" s="1375"/>
      <c r="CI17" s="1375"/>
      <c r="CJ17" s="1375"/>
      <c r="CK17" s="1375"/>
      <c r="CL17" s="1375"/>
      <c r="CM17" s="1375"/>
      <c r="CN17" s="1375"/>
      <c r="CO17" s="1375"/>
      <c r="CP17" s="1375"/>
      <c r="CQ17" s="1375"/>
      <c r="CR17" s="1375"/>
      <c r="CS17" s="1375"/>
      <c r="CT17" s="1375"/>
      <c r="CU17" s="1375"/>
      <c r="CV17" s="1375"/>
      <c r="CW17" s="1375"/>
      <c r="CX17" s="1375"/>
      <c r="CY17" s="1375"/>
      <c r="CZ17" s="1375"/>
      <c r="DA17" s="1375"/>
      <c r="DB17" s="1375"/>
      <c r="DC17" s="1375"/>
      <c r="DD17" s="1375"/>
      <c r="DE17" s="1375"/>
      <c r="DF17" s="1375"/>
      <c r="DG17" s="1375"/>
      <c r="DH17" s="1375"/>
      <c r="DI17" s="1375"/>
      <c r="DJ17" s="1375"/>
      <c r="DK17" s="1375"/>
      <c r="DL17" s="1375"/>
      <c r="DM17" s="1375"/>
      <c r="DN17" s="1375"/>
      <c r="DO17" s="1375"/>
      <c r="DP17" s="1375"/>
      <c r="DQ17" s="1375"/>
      <c r="DR17" s="1375"/>
      <c r="DS17" s="1375"/>
      <c r="DT17" s="1375"/>
      <c r="DU17" s="1375"/>
      <c r="DV17" s="1375"/>
      <c r="DW17" s="1375"/>
      <c r="DX17" s="1375"/>
      <c r="DY17" s="1375"/>
      <c r="DZ17" s="1375"/>
      <c r="EA17" s="1375"/>
      <c r="EB17" s="1375"/>
      <c r="EC17" s="1375"/>
      <c r="ED17" s="1375"/>
      <c r="EE17" s="1375"/>
      <c r="EF17" s="1375"/>
      <c r="EG17" s="1375"/>
      <c r="EH17" s="1375"/>
      <c r="EI17" s="1375"/>
      <c r="EJ17" s="1375"/>
      <c r="EK17" s="1375"/>
      <c r="EL17" s="1375"/>
      <c r="EM17" s="1375"/>
      <c r="EN17" s="1375"/>
      <c r="EO17" s="1375"/>
      <c r="EP17" s="1375"/>
      <c r="EQ17" s="1375"/>
      <c r="ER17" s="1375"/>
      <c r="ES17" s="1375"/>
      <c r="ET17" s="1375"/>
      <c r="EU17" s="1375"/>
      <c r="EV17" s="1375"/>
      <c r="EW17" s="1375"/>
      <c r="EX17" s="1375"/>
      <c r="EY17" s="1375"/>
      <c r="EZ17" s="1375"/>
      <c r="FA17" s="1375"/>
      <c r="FB17" s="1375"/>
      <c r="FC17" s="1375"/>
      <c r="FD17" s="1375"/>
      <c r="FE17" s="1375"/>
      <c r="FF17" s="1375"/>
      <c r="FG17" s="1375"/>
      <c r="FH17" s="1375"/>
      <c r="FI17" s="1375"/>
      <c r="FJ17" s="1375"/>
      <c r="FK17" s="1375"/>
      <c r="FL17" s="1375"/>
      <c r="FM17" s="1375"/>
      <c r="FN17" s="1375"/>
      <c r="FO17" s="1375"/>
      <c r="FP17" s="1375"/>
      <c r="FQ17" s="1375"/>
      <c r="FR17" s="1375"/>
      <c r="FS17" s="1375"/>
      <c r="FT17" s="1375"/>
      <c r="FU17" s="1375"/>
      <c r="FV17" s="1375"/>
      <c r="FW17" s="1375"/>
      <c r="FX17" s="1375"/>
      <c r="FY17" s="1375"/>
      <c r="FZ17" s="1375"/>
      <c r="GA17" s="1375"/>
      <c r="GB17" s="1375"/>
      <c r="GC17" s="1375"/>
      <c r="GD17" s="1375"/>
      <c r="GE17" s="1375"/>
      <c r="GF17" s="1375"/>
      <c r="GG17" s="1375"/>
      <c r="GH17" s="1375"/>
      <c r="GI17" s="1375"/>
      <c r="GJ17" s="1375"/>
      <c r="GK17" s="1375"/>
      <c r="GL17" s="1375"/>
      <c r="GM17" s="1375"/>
      <c r="GN17" s="1375"/>
      <c r="GO17" s="1375"/>
      <c r="GP17" s="1375"/>
      <c r="GQ17" s="1375"/>
      <c r="GR17" s="1375"/>
      <c r="GS17" s="1375"/>
      <c r="GT17" s="1375"/>
      <c r="GU17" s="1375"/>
      <c r="GV17" s="1375"/>
      <c r="GW17" s="1375"/>
      <c r="GX17" s="1375"/>
      <c r="GY17" s="1375"/>
      <c r="GZ17" s="1375"/>
      <c r="HA17" s="1375"/>
      <c r="HB17" s="1375"/>
      <c r="HC17" s="1375"/>
      <c r="HD17" s="1375"/>
      <c r="HE17" s="1375"/>
      <c r="HF17" s="1375"/>
      <c r="HG17" s="1375"/>
      <c r="HH17" s="1375"/>
      <c r="HI17" s="1375"/>
      <c r="HJ17" s="1375"/>
      <c r="HK17" s="1375"/>
      <c r="HL17" s="1375"/>
      <c r="HM17" s="1375"/>
      <c r="HN17" s="1375"/>
      <c r="HO17" s="1375"/>
      <c r="HP17" s="1375"/>
      <c r="HQ17" s="1375"/>
      <c r="HR17" s="1375"/>
      <c r="HS17" s="1375"/>
      <c r="HT17" s="1375"/>
      <c r="HU17" s="1375"/>
      <c r="HV17" s="1375"/>
      <c r="HW17" s="1375"/>
      <c r="HX17" s="1375"/>
      <c r="HY17" s="1375"/>
      <c r="HZ17" s="1375"/>
      <c r="IA17" s="1375"/>
      <c r="IB17" s="1375"/>
    </row>
    <row r="18" spans="1:7" s="1401" customFormat="1" ht="16.5" thickBot="1" thickTop="1">
      <c r="A18" s="1396"/>
      <c r="B18" s="1397" t="s">
        <v>1104</v>
      </c>
      <c r="C18" s="1398"/>
      <c r="D18" s="1412">
        <f>SUM(D19:D19)</f>
        <v>47</v>
      </c>
      <c r="E18" s="1412">
        <f>SUM(E19:E19)</f>
        <v>47</v>
      </c>
      <c r="F18" s="1412">
        <f>SUM(F19:F19)</f>
        <v>18.4</v>
      </c>
      <c r="G18" s="1400">
        <f>F18/E18*100</f>
        <v>39.148936170212764</v>
      </c>
    </row>
    <row r="19" spans="1:236" ht="17.25" customHeight="1" thickBot="1" thickTop="1">
      <c r="A19" s="1402">
        <v>74511</v>
      </c>
      <c r="B19" s="1403" t="s">
        <v>936</v>
      </c>
      <c r="C19" s="1404">
        <v>4270</v>
      </c>
      <c r="D19" s="1405">
        <v>47</v>
      </c>
      <c r="E19" s="1405">
        <v>47</v>
      </c>
      <c r="F19" s="1405">
        <v>18.4</v>
      </c>
      <c r="G19" s="1411">
        <f>F19/E19*100</f>
        <v>39.148936170212764</v>
      </c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75"/>
      <c r="AA19" s="1375"/>
      <c r="AB19" s="1375"/>
      <c r="AC19" s="1375"/>
      <c r="AD19" s="1375"/>
      <c r="AE19" s="1375"/>
      <c r="AF19" s="1375"/>
      <c r="AG19" s="1375"/>
      <c r="AH19" s="1375"/>
      <c r="AI19" s="1375"/>
      <c r="AJ19" s="1375"/>
      <c r="AK19" s="1375"/>
      <c r="AL19" s="1375"/>
      <c r="AM19" s="1375"/>
      <c r="AN19" s="1375"/>
      <c r="AO19" s="1375"/>
      <c r="AP19" s="1375"/>
      <c r="AQ19" s="1375"/>
      <c r="AR19" s="1375"/>
      <c r="AS19" s="1375"/>
      <c r="AT19" s="1375"/>
      <c r="AU19" s="1375"/>
      <c r="AV19" s="1375"/>
      <c r="AW19" s="1375"/>
      <c r="AX19" s="1375"/>
      <c r="AY19" s="1375"/>
      <c r="AZ19" s="1375"/>
      <c r="BA19" s="1375"/>
      <c r="BB19" s="1375"/>
      <c r="BC19" s="1375"/>
      <c r="BD19" s="1375"/>
      <c r="BE19" s="1375"/>
      <c r="BF19" s="1375"/>
      <c r="BG19" s="1375"/>
      <c r="BH19" s="1375"/>
      <c r="BI19" s="1375"/>
      <c r="BJ19" s="1375"/>
      <c r="BK19" s="1375"/>
      <c r="BL19" s="1375"/>
      <c r="BM19" s="1375"/>
      <c r="BN19" s="1375"/>
      <c r="BO19" s="1375"/>
      <c r="BP19" s="1375"/>
      <c r="BQ19" s="1375"/>
      <c r="BR19" s="1375"/>
      <c r="BS19" s="1375"/>
      <c r="BT19" s="1375"/>
      <c r="BU19" s="1375"/>
      <c r="BV19" s="1375"/>
      <c r="BW19" s="1375"/>
      <c r="BX19" s="1375"/>
      <c r="BY19" s="1375"/>
      <c r="BZ19" s="1375"/>
      <c r="CA19" s="1375"/>
      <c r="CB19" s="1375"/>
      <c r="CC19" s="1375"/>
      <c r="CD19" s="1375"/>
      <c r="CE19" s="1375"/>
      <c r="CF19" s="1375"/>
      <c r="CG19" s="1375"/>
      <c r="CH19" s="1375"/>
      <c r="CI19" s="1375"/>
      <c r="CJ19" s="1375"/>
      <c r="CK19" s="1375"/>
      <c r="CL19" s="1375"/>
      <c r="CM19" s="1375"/>
      <c r="CN19" s="1375"/>
      <c r="CO19" s="1375"/>
      <c r="CP19" s="1375"/>
      <c r="CQ19" s="1375"/>
      <c r="CR19" s="1375"/>
      <c r="CS19" s="1375"/>
      <c r="CT19" s="1375"/>
      <c r="CU19" s="1375"/>
      <c r="CV19" s="1375"/>
      <c r="CW19" s="1375"/>
      <c r="CX19" s="1375"/>
      <c r="CY19" s="1375"/>
      <c r="CZ19" s="1375"/>
      <c r="DA19" s="1375"/>
      <c r="DB19" s="1375"/>
      <c r="DC19" s="1375"/>
      <c r="DD19" s="1375"/>
      <c r="DE19" s="1375"/>
      <c r="DF19" s="1375"/>
      <c r="DG19" s="1375"/>
      <c r="DH19" s="1375"/>
      <c r="DI19" s="1375"/>
      <c r="DJ19" s="1375"/>
      <c r="DK19" s="1375"/>
      <c r="DL19" s="1375"/>
      <c r="DM19" s="1375"/>
      <c r="DN19" s="1375"/>
      <c r="DO19" s="1375"/>
      <c r="DP19" s="1375"/>
      <c r="DQ19" s="1375"/>
      <c r="DR19" s="1375"/>
      <c r="DS19" s="1375"/>
      <c r="DT19" s="1375"/>
      <c r="DU19" s="1375"/>
      <c r="DV19" s="1375"/>
      <c r="DW19" s="1375"/>
      <c r="DX19" s="1375"/>
      <c r="DY19" s="1375"/>
      <c r="DZ19" s="1375"/>
      <c r="EA19" s="1375"/>
      <c r="EB19" s="1375"/>
      <c r="EC19" s="1375"/>
      <c r="ED19" s="1375"/>
      <c r="EE19" s="1375"/>
      <c r="EF19" s="1375"/>
      <c r="EG19" s="1375"/>
      <c r="EH19" s="1375"/>
      <c r="EI19" s="1375"/>
      <c r="EJ19" s="1375"/>
      <c r="EK19" s="1375"/>
      <c r="EL19" s="1375"/>
      <c r="EM19" s="1375"/>
      <c r="EN19" s="1375"/>
      <c r="EO19" s="1375"/>
      <c r="EP19" s="1375"/>
      <c r="EQ19" s="1375"/>
      <c r="ER19" s="1375"/>
      <c r="ES19" s="1375"/>
      <c r="ET19" s="1375"/>
      <c r="EU19" s="1375"/>
      <c r="EV19" s="1375"/>
      <c r="EW19" s="1375"/>
      <c r="EX19" s="1375"/>
      <c r="EY19" s="1375"/>
      <c r="EZ19" s="1375"/>
      <c r="FA19" s="1375"/>
      <c r="FB19" s="1375"/>
      <c r="FC19" s="1375"/>
      <c r="FD19" s="1375"/>
      <c r="FE19" s="1375"/>
      <c r="FF19" s="1375"/>
      <c r="FG19" s="1375"/>
      <c r="FH19" s="1375"/>
      <c r="FI19" s="1375"/>
      <c r="FJ19" s="1375"/>
      <c r="FK19" s="1375"/>
      <c r="FL19" s="1375"/>
      <c r="FM19" s="1375"/>
      <c r="FN19" s="1375"/>
      <c r="FO19" s="1375"/>
      <c r="FP19" s="1375"/>
      <c r="FQ19" s="1375"/>
      <c r="FR19" s="1375"/>
      <c r="FS19" s="1375"/>
      <c r="FT19" s="1375"/>
      <c r="FU19" s="1375"/>
      <c r="FV19" s="1375"/>
      <c r="FW19" s="1375"/>
      <c r="FX19" s="1375"/>
      <c r="FY19" s="1375"/>
      <c r="FZ19" s="1375"/>
      <c r="GA19" s="1375"/>
      <c r="GB19" s="1375"/>
      <c r="GC19" s="1375"/>
      <c r="GD19" s="1375"/>
      <c r="GE19" s="1375"/>
      <c r="GF19" s="1375"/>
      <c r="GG19" s="1375"/>
      <c r="GH19" s="1375"/>
      <c r="GI19" s="1375"/>
      <c r="GJ19" s="1375"/>
      <c r="GK19" s="1375"/>
      <c r="GL19" s="1375"/>
      <c r="GM19" s="1375"/>
      <c r="GN19" s="1375"/>
      <c r="GO19" s="1375"/>
      <c r="GP19" s="1375"/>
      <c r="GQ19" s="1375"/>
      <c r="GR19" s="1375"/>
      <c r="GS19" s="1375"/>
      <c r="GT19" s="1375"/>
      <c r="GU19" s="1375"/>
      <c r="GV19" s="1375"/>
      <c r="GW19" s="1375"/>
      <c r="GX19" s="1375"/>
      <c r="GY19" s="1375"/>
      <c r="GZ19" s="1375"/>
      <c r="HA19" s="1375"/>
      <c r="HB19" s="1375"/>
      <c r="HC19" s="1375"/>
      <c r="HD19" s="1375"/>
      <c r="HE19" s="1375"/>
      <c r="HF19" s="1375"/>
      <c r="HG19" s="1375"/>
      <c r="HH19" s="1375"/>
      <c r="HI19" s="1375"/>
      <c r="HJ19" s="1375"/>
      <c r="HK19" s="1375"/>
      <c r="HL19" s="1375"/>
      <c r="HM19" s="1375"/>
      <c r="HN19" s="1375"/>
      <c r="HO19" s="1375"/>
      <c r="HP19" s="1375"/>
      <c r="HQ19" s="1375"/>
      <c r="HR19" s="1375"/>
      <c r="HS19" s="1375"/>
      <c r="HT19" s="1375"/>
      <c r="HU19" s="1375"/>
      <c r="HV19" s="1375"/>
      <c r="HW19" s="1375"/>
      <c r="HX19" s="1375"/>
      <c r="HY19" s="1375"/>
      <c r="HZ19" s="1375"/>
      <c r="IA19" s="1375"/>
      <c r="IB19" s="1375"/>
    </row>
    <row r="20" spans="1:7" s="1401" customFormat="1" ht="16.5" thickBot="1" thickTop="1">
      <c r="A20" s="1396"/>
      <c r="B20" s="1397" t="s">
        <v>1107</v>
      </c>
      <c r="C20" s="1398"/>
      <c r="D20" s="1412">
        <f>SUM(D21:D22)</f>
        <v>1428.1</v>
      </c>
      <c r="E20" s="1412">
        <f>SUM(E21:E22)</f>
        <v>1768.9</v>
      </c>
      <c r="F20" s="1412">
        <f>SUM(F21:F22)</f>
        <v>216.29999999999998</v>
      </c>
      <c r="G20" s="1400">
        <f>F20/E20*100</f>
        <v>12.227938266719429</v>
      </c>
    </row>
    <row r="21" spans="1:7" s="1418" customFormat="1" ht="13.5" customHeight="1" thickTop="1">
      <c r="A21" s="1402"/>
      <c r="B21" s="1403" t="s">
        <v>17</v>
      </c>
      <c r="C21" s="1404">
        <v>4270</v>
      </c>
      <c r="D21" s="1405">
        <v>1218.1</v>
      </c>
      <c r="E21" s="1405">
        <v>1558.9</v>
      </c>
      <c r="F21" s="1405">
        <v>134.7</v>
      </c>
      <c r="G21" s="1411">
        <f aca="true" t="shared" si="1" ref="G21:G44">F21/E21*100</f>
        <v>8.640708191673614</v>
      </c>
    </row>
    <row r="22" spans="1:7" s="1424" customFormat="1" ht="13.5" customHeight="1" thickBot="1">
      <c r="A22" s="1419">
        <v>80195</v>
      </c>
      <c r="B22" s="1420" t="s">
        <v>18</v>
      </c>
      <c r="C22" s="1421">
        <v>4270</v>
      </c>
      <c r="D22" s="1422">
        <v>210</v>
      </c>
      <c r="E22" s="1422">
        <v>210</v>
      </c>
      <c r="F22" s="1423">
        <v>81.6</v>
      </c>
      <c r="G22" s="1411">
        <f t="shared" si="1"/>
        <v>38.857142857142854</v>
      </c>
    </row>
    <row r="23" spans="1:7" s="1401" customFormat="1" ht="16.5" hidden="1" thickBot="1" thickTop="1">
      <c r="A23" s="1396"/>
      <c r="B23" s="1397" t="s">
        <v>19</v>
      </c>
      <c r="C23" s="1398"/>
      <c r="D23" s="1412">
        <f>SUM(D24)</f>
        <v>0</v>
      </c>
      <c r="E23" s="1412">
        <f>E24+E25</f>
        <v>0</v>
      </c>
      <c r="F23" s="1412">
        <f>F24</f>
        <v>0</v>
      </c>
      <c r="G23" s="1400" t="e">
        <f>F23/E23*100</f>
        <v>#DIV/0!</v>
      </c>
    </row>
    <row r="24" spans="1:7" s="1418" customFormat="1" ht="14.25" hidden="1" thickBot="1" thickTop="1">
      <c r="A24" s="1425">
        <v>85158</v>
      </c>
      <c r="B24" s="1415" t="s">
        <v>20</v>
      </c>
      <c r="C24" s="1416">
        <v>4270</v>
      </c>
      <c r="D24" s="1417">
        <v>0</v>
      </c>
      <c r="E24" s="1417">
        <v>0</v>
      </c>
      <c r="F24" s="1426">
        <v>0</v>
      </c>
      <c r="G24" s="1411" t="e">
        <f t="shared" si="1"/>
        <v>#DIV/0!</v>
      </c>
    </row>
    <row r="25" spans="1:236" ht="13.5" hidden="1" thickBot="1">
      <c r="A25" s="1402">
        <v>85195</v>
      </c>
      <c r="B25" s="1403" t="s">
        <v>21</v>
      </c>
      <c r="C25" s="1404">
        <v>4270</v>
      </c>
      <c r="D25" s="1405"/>
      <c r="E25" s="1405">
        <v>0</v>
      </c>
      <c r="F25" s="1405">
        <v>0</v>
      </c>
      <c r="G25" s="1411" t="e">
        <f t="shared" si="1"/>
        <v>#DIV/0!</v>
      </c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1375"/>
      <c r="AI25" s="1375"/>
      <c r="AJ25" s="1375"/>
      <c r="AK25" s="1375"/>
      <c r="AL25" s="1375"/>
      <c r="AM25" s="1375"/>
      <c r="AN25" s="1375"/>
      <c r="AO25" s="1375"/>
      <c r="AP25" s="1375"/>
      <c r="AQ25" s="1375"/>
      <c r="AR25" s="1375"/>
      <c r="AS25" s="1375"/>
      <c r="AT25" s="1375"/>
      <c r="AU25" s="1375"/>
      <c r="AV25" s="1375"/>
      <c r="AW25" s="1375"/>
      <c r="AX25" s="1375"/>
      <c r="AY25" s="1375"/>
      <c r="AZ25" s="1375"/>
      <c r="BA25" s="1375"/>
      <c r="BB25" s="1375"/>
      <c r="BC25" s="1375"/>
      <c r="BD25" s="1375"/>
      <c r="BE25" s="1375"/>
      <c r="BF25" s="1375"/>
      <c r="BG25" s="1375"/>
      <c r="BH25" s="1375"/>
      <c r="BI25" s="1375"/>
      <c r="BJ25" s="1375"/>
      <c r="BK25" s="1375"/>
      <c r="BL25" s="1375"/>
      <c r="BM25" s="1375"/>
      <c r="BN25" s="1375"/>
      <c r="BO25" s="1375"/>
      <c r="BP25" s="1375"/>
      <c r="BQ25" s="1375"/>
      <c r="BR25" s="1375"/>
      <c r="BS25" s="1375"/>
      <c r="BT25" s="1375"/>
      <c r="BU25" s="1375"/>
      <c r="BV25" s="1375"/>
      <c r="BW25" s="1375"/>
      <c r="BX25" s="1375"/>
      <c r="BY25" s="1375"/>
      <c r="BZ25" s="1375"/>
      <c r="CA25" s="1375"/>
      <c r="CB25" s="1375"/>
      <c r="CC25" s="1375"/>
      <c r="CD25" s="1375"/>
      <c r="CE25" s="1375"/>
      <c r="CF25" s="1375"/>
      <c r="CG25" s="1375"/>
      <c r="CH25" s="1375"/>
      <c r="CI25" s="1375"/>
      <c r="CJ25" s="1375"/>
      <c r="CK25" s="1375"/>
      <c r="CL25" s="1375"/>
      <c r="CM25" s="1375"/>
      <c r="CN25" s="1375"/>
      <c r="CO25" s="1375"/>
      <c r="CP25" s="1375"/>
      <c r="CQ25" s="1375"/>
      <c r="CR25" s="1375"/>
      <c r="CS25" s="1375"/>
      <c r="CT25" s="1375"/>
      <c r="CU25" s="1375"/>
      <c r="CV25" s="1375"/>
      <c r="CW25" s="1375"/>
      <c r="CX25" s="1375"/>
      <c r="CY25" s="1375"/>
      <c r="CZ25" s="1375"/>
      <c r="DA25" s="1375"/>
      <c r="DB25" s="1375"/>
      <c r="DC25" s="1375"/>
      <c r="DD25" s="1375"/>
      <c r="DE25" s="1375"/>
      <c r="DF25" s="1375"/>
      <c r="DG25" s="1375"/>
      <c r="DH25" s="1375"/>
      <c r="DI25" s="1375"/>
      <c r="DJ25" s="1375"/>
      <c r="DK25" s="1375"/>
      <c r="DL25" s="1375"/>
      <c r="DM25" s="1375"/>
      <c r="DN25" s="1375"/>
      <c r="DO25" s="1375"/>
      <c r="DP25" s="1375"/>
      <c r="DQ25" s="1375"/>
      <c r="DR25" s="1375"/>
      <c r="DS25" s="1375"/>
      <c r="DT25" s="1375"/>
      <c r="DU25" s="1375"/>
      <c r="DV25" s="1375"/>
      <c r="DW25" s="1375"/>
      <c r="DX25" s="1375"/>
      <c r="DY25" s="1375"/>
      <c r="DZ25" s="1375"/>
      <c r="EA25" s="1375"/>
      <c r="EB25" s="1375"/>
      <c r="EC25" s="1375"/>
      <c r="ED25" s="1375"/>
      <c r="EE25" s="1375"/>
      <c r="EF25" s="1375"/>
      <c r="EG25" s="1375"/>
      <c r="EH25" s="1375"/>
      <c r="EI25" s="1375"/>
      <c r="EJ25" s="1375"/>
      <c r="EK25" s="1375"/>
      <c r="EL25" s="1375"/>
      <c r="EM25" s="1375"/>
      <c r="EN25" s="1375"/>
      <c r="EO25" s="1375"/>
      <c r="EP25" s="1375"/>
      <c r="EQ25" s="1375"/>
      <c r="ER25" s="1375"/>
      <c r="ES25" s="1375"/>
      <c r="ET25" s="1375"/>
      <c r="EU25" s="1375"/>
      <c r="EV25" s="1375"/>
      <c r="EW25" s="1375"/>
      <c r="EX25" s="1375"/>
      <c r="EY25" s="1375"/>
      <c r="EZ25" s="1375"/>
      <c r="FA25" s="1375"/>
      <c r="FB25" s="1375"/>
      <c r="FC25" s="1375"/>
      <c r="FD25" s="1375"/>
      <c r="FE25" s="1375"/>
      <c r="FF25" s="1375"/>
      <c r="FG25" s="1375"/>
      <c r="FH25" s="1375"/>
      <c r="FI25" s="1375"/>
      <c r="FJ25" s="1375"/>
      <c r="FK25" s="1375"/>
      <c r="FL25" s="1375"/>
      <c r="FM25" s="1375"/>
      <c r="FN25" s="1375"/>
      <c r="FO25" s="1375"/>
      <c r="FP25" s="1375"/>
      <c r="FQ25" s="1375"/>
      <c r="FR25" s="1375"/>
      <c r="FS25" s="1375"/>
      <c r="FT25" s="1375"/>
      <c r="FU25" s="1375"/>
      <c r="FV25" s="1375"/>
      <c r="FW25" s="1375"/>
      <c r="FX25" s="1375"/>
      <c r="FY25" s="1375"/>
      <c r="FZ25" s="1375"/>
      <c r="GA25" s="1375"/>
      <c r="GB25" s="1375"/>
      <c r="GC25" s="1375"/>
      <c r="GD25" s="1375"/>
      <c r="GE25" s="1375"/>
      <c r="GF25" s="1375"/>
      <c r="GG25" s="1375"/>
      <c r="GH25" s="1375"/>
      <c r="GI25" s="1375"/>
      <c r="GJ25" s="1375"/>
      <c r="GK25" s="1375"/>
      <c r="GL25" s="1375"/>
      <c r="GM25" s="1375"/>
      <c r="GN25" s="1375"/>
      <c r="GO25" s="1375"/>
      <c r="GP25" s="1375"/>
      <c r="GQ25" s="1375"/>
      <c r="GR25" s="1375"/>
      <c r="GS25" s="1375"/>
      <c r="GT25" s="1375"/>
      <c r="GU25" s="1375"/>
      <c r="GV25" s="1375"/>
      <c r="GW25" s="1375"/>
      <c r="GX25" s="1375"/>
      <c r="GY25" s="1375"/>
      <c r="GZ25" s="1375"/>
      <c r="HA25" s="1375"/>
      <c r="HB25" s="1375"/>
      <c r="HC25" s="1375"/>
      <c r="HD25" s="1375"/>
      <c r="HE25" s="1375"/>
      <c r="HF25" s="1375"/>
      <c r="HG25" s="1375"/>
      <c r="HH25" s="1375"/>
      <c r="HI25" s="1375"/>
      <c r="HJ25" s="1375"/>
      <c r="HK25" s="1375"/>
      <c r="HL25" s="1375"/>
      <c r="HM25" s="1375"/>
      <c r="HN25" s="1375"/>
      <c r="HO25" s="1375"/>
      <c r="HP25" s="1375"/>
      <c r="HQ25" s="1375"/>
      <c r="HR25" s="1375"/>
      <c r="HS25" s="1375"/>
      <c r="HT25" s="1375"/>
      <c r="HU25" s="1375"/>
      <c r="HV25" s="1375"/>
      <c r="HW25" s="1375"/>
      <c r="HX25" s="1375"/>
      <c r="HY25" s="1375"/>
      <c r="HZ25" s="1375"/>
      <c r="IA25" s="1375"/>
      <c r="IB25" s="1375"/>
    </row>
    <row r="26" spans="1:7" s="1428" customFormat="1" ht="16.5" thickBot="1" thickTop="1">
      <c r="A26" s="1396"/>
      <c r="B26" s="1397" t="s">
        <v>1112</v>
      </c>
      <c r="C26" s="1398"/>
      <c r="D26" s="1427">
        <f>SUM(D27:D30)</f>
        <v>48.1</v>
      </c>
      <c r="E26" s="1427">
        <f>SUM(E27:E29)</f>
        <v>142.1</v>
      </c>
      <c r="F26" s="1427">
        <f>SUM(F27:F29)</f>
        <v>39.2</v>
      </c>
      <c r="G26" s="1400">
        <f>F26/E26*100</f>
        <v>27.58620689655173</v>
      </c>
    </row>
    <row r="27" spans="1:7" s="1433" customFormat="1" ht="13.5" thickTop="1">
      <c r="A27" s="1429">
        <v>85201</v>
      </c>
      <c r="B27" s="1430" t="s">
        <v>22</v>
      </c>
      <c r="C27" s="1431">
        <v>4270</v>
      </c>
      <c r="D27" s="1423">
        <v>1.1</v>
      </c>
      <c r="E27" s="1423">
        <v>1.1</v>
      </c>
      <c r="F27" s="1423">
        <v>0</v>
      </c>
      <c r="G27" s="1432"/>
    </row>
    <row r="28" spans="1:7" s="1433" customFormat="1" ht="14.25" customHeight="1">
      <c r="A28" s="1402">
        <v>85203</v>
      </c>
      <c r="B28" s="1403" t="s">
        <v>747</v>
      </c>
      <c r="C28" s="1404">
        <v>4270</v>
      </c>
      <c r="D28" s="1423">
        <v>2</v>
      </c>
      <c r="E28" s="1423">
        <v>16</v>
      </c>
      <c r="F28" s="1423">
        <v>15</v>
      </c>
      <c r="G28" s="1411">
        <f t="shared" si="1"/>
        <v>93.75</v>
      </c>
    </row>
    <row r="29" spans="1:7" s="1433" customFormat="1" ht="14.25" customHeight="1" thickBot="1">
      <c r="A29" s="1402">
        <v>85219</v>
      </c>
      <c r="B29" s="1403" t="s">
        <v>23</v>
      </c>
      <c r="C29" s="1404">
        <v>4270</v>
      </c>
      <c r="D29" s="1423">
        <v>45</v>
      </c>
      <c r="E29" s="1423">
        <v>125</v>
      </c>
      <c r="F29" s="1423">
        <v>24.2</v>
      </c>
      <c r="G29" s="1411">
        <f t="shared" si="1"/>
        <v>19.36</v>
      </c>
    </row>
    <row r="30" spans="1:7" s="1433" customFormat="1" ht="14.25" customHeight="1" hidden="1">
      <c r="A30" s="1402">
        <v>85226</v>
      </c>
      <c r="B30" s="1403" t="s">
        <v>24</v>
      </c>
      <c r="C30" s="1404">
        <v>4270</v>
      </c>
      <c r="D30" s="1423">
        <v>0</v>
      </c>
      <c r="E30" s="1423">
        <v>0</v>
      </c>
      <c r="F30" s="1423">
        <v>0</v>
      </c>
      <c r="G30" s="1411" t="e">
        <f t="shared" si="1"/>
        <v>#DIV/0!</v>
      </c>
    </row>
    <row r="31" spans="1:7" s="1401" customFormat="1" ht="17.25" customHeight="1" thickBot="1" thickTop="1">
      <c r="A31" s="1396"/>
      <c r="B31" s="1397" t="s">
        <v>1120</v>
      </c>
      <c r="C31" s="1398"/>
      <c r="D31" s="1412">
        <f>D32+D33</f>
        <v>166.3</v>
      </c>
      <c r="E31" s="1412">
        <f>SUM(E32:E33)</f>
        <v>241.3</v>
      </c>
      <c r="F31" s="1412">
        <f>F32+F33</f>
        <v>28.8</v>
      </c>
      <c r="G31" s="1400">
        <f>F31/E31*100</f>
        <v>11.935350186489845</v>
      </c>
    </row>
    <row r="32" spans="1:7" s="1437" customFormat="1" ht="13.5" customHeight="1" thickTop="1">
      <c r="A32" s="1434"/>
      <c r="B32" s="1435" t="s">
        <v>25</v>
      </c>
      <c r="C32" s="1436">
        <v>4270</v>
      </c>
      <c r="D32" s="1423">
        <v>8.3</v>
      </c>
      <c r="E32" s="1423">
        <v>41.3</v>
      </c>
      <c r="F32" s="1423">
        <v>2.3</v>
      </c>
      <c r="G32" s="1411">
        <f t="shared" si="1"/>
        <v>5.569007263922518</v>
      </c>
    </row>
    <row r="33" spans="1:7" s="1437" customFormat="1" ht="15.75" customHeight="1" thickBot="1">
      <c r="A33" s="1419">
        <v>85410</v>
      </c>
      <c r="B33" s="1438" t="s">
        <v>26</v>
      </c>
      <c r="C33" s="1436">
        <v>4270</v>
      </c>
      <c r="D33" s="1422">
        <v>158</v>
      </c>
      <c r="E33" s="1423">
        <v>200</v>
      </c>
      <c r="F33" s="1423">
        <v>26.5</v>
      </c>
      <c r="G33" s="1411">
        <f t="shared" si="1"/>
        <v>13.25</v>
      </c>
    </row>
    <row r="34" spans="1:7" s="1401" customFormat="1" ht="16.5" thickBot="1" thickTop="1">
      <c r="A34" s="1396"/>
      <c r="B34" s="1397" t="s">
        <v>1126</v>
      </c>
      <c r="C34" s="1439"/>
      <c r="D34" s="1412">
        <f>SUM(D35:D37)</f>
        <v>1611.7</v>
      </c>
      <c r="E34" s="1412">
        <f>SUM(E35:E37)</f>
        <v>1554</v>
      </c>
      <c r="F34" s="1412">
        <f>SUM(F35:F37)</f>
        <v>648.4</v>
      </c>
      <c r="G34" s="1400">
        <f>F34/E34*100</f>
        <v>41.724581724581725</v>
      </c>
    </row>
    <row r="35" spans="1:7" s="1437" customFormat="1" ht="18" customHeight="1" thickTop="1">
      <c r="A35" s="1434">
        <v>90013</v>
      </c>
      <c r="B35" s="1435" t="s">
        <v>27</v>
      </c>
      <c r="C35" s="1436">
        <v>4270</v>
      </c>
      <c r="D35" s="1423">
        <v>22</v>
      </c>
      <c r="E35" s="1423">
        <v>22</v>
      </c>
      <c r="F35" s="1423">
        <v>0</v>
      </c>
      <c r="G35" s="1411">
        <f t="shared" si="1"/>
        <v>0</v>
      </c>
    </row>
    <row r="36" spans="1:7" s="1437" customFormat="1" ht="18" customHeight="1">
      <c r="A36" s="1419">
        <v>90015</v>
      </c>
      <c r="B36" s="1438" t="s">
        <v>28</v>
      </c>
      <c r="C36" s="1436">
        <v>4270</v>
      </c>
      <c r="D36" s="1423">
        <v>1300</v>
      </c>
      <c r="E36" s="1423">
        <v>1160.4</v>
      </c>
      <c r="F36" s="1423">
        <v>648.4</v>
      </c>
      <c r="G36" s="1411">
        <f t="shared" si="1"/>
        <v>55.87728369527748</v>
      </c>
    </row>
    <row r="37" spans="1:7" s="1437" customFormat="1" ht="18" customHeight="1" thickBot="1">
      <c r="A37" s="1419">
        <v>90095</v>
      </c>
      <c r="B37" s="1438" t="s">
        <v>29</v>
      </c>
      <c r="C37" s="1436">
        <v>4270</v>
      </c>
      <c r="D37" s="1423">
        <v>289.7</v>
      </c>
      <c r="E37" s="1423">
        <v>371.6</v>
      </c>
      <c r="F37" s="1423">
        <v>0</v>
      </c>
      <c r="G37" s="1411">
        <f t="shared" si="1"/>
        <v>0</v>
      </c>
    </row>
    <row r="38" spans="1:13" s="1401" customFormat="1" ht="17.25" customHeight="1" thickBot="1" thickTop="1">
      <c r="A38" s="1396"/>
      <c r="B38" s="1397" t="s">
        <v>1</v>
      </c>
      <c r="C38" s="1398"/>
      <c r="D38" s="1440">
        <f>SUM(D39:D42)</f>
        <v>200</v>
      </c>
      <c r="E38" s="1412">
        <f>SUM(E39:E42)</f>
        <v>369</v>
      </c>
      <c r="F38" s="1412">
        <f>SUM(F39:F42)</f>
        <v>96.7</v>
      </c>
      <c r="G38" s="1400">
        <f>F38/E38*100</f>
        <v>26.205962059620596</v>
      </c>
      <c r="H38" s="1413"/>
      <c r="I38" s="1413"/>
      <c r="J38" s="1413"/>
      <c r="K38" s="1413"/>
      <c r="L38" s="1413"/>
      <c r="M38" s="1413"/>
    </row>
    <row r="39" spans="1:7" s="1442" customFormat="1" ht="15.75" customHeight="1" thickTop="1">
      <c r="A39" s="1402">
        <v>92109</v>
      </c>
      <c r="B39" s="1403" t="s">
        <v>894</v>
      </c>
      <c r="C39" s="1404">
        <v>2550</v>
      </c>
      <c r="D39" s="1441">
        <v>0</v>
      </c>
      <c r="E39" s="1405">
        <v>52</v>
      </c>
      <c r="F39" s="1405">
        <v>52</v>
      </c>
      <c r="G39" s="1411">
        <f t="shared" si="1"/>
        <v>100</v>
      </c>
    </row>
    <row r="40" spans="1:7" s="1442" customFormat="1" ht="15.75" customHeight="1">
      <c r="A40" s="1402">
        <v>92116</v>
      </c>
      <c r="B40" s="1403" t="s">
        <v>865</v>
      </c>
      <c r="C40" s="1404">
        <v>2550</v>
      </c>
      <c r="D40" s="1441">
        <v>0</v>
      </c>
      <c r="E40" s="1405">
        <v>17</v>
      </c>
      <c r="F40" s="1405">
        <v>0</v>
      </c>
      <c r="G40" s="1411">
        <f t="shared" si="1"/>
        <v>0</v>
      </c>
    </row>
    <row r="41" spans="1:7" s="1442" customFormat="1" ht="15.75" customHeight="1">
      <c r="A41" s="1402">
        <v>92118</v>
      </c>
      <c r="B41" s="1403" t="s">
        <v>30</v>
      </c>
      <c r="C41" s="1404">
        <v>2550</v>
      </c>
      <c r="D41" s="1441">
        <v>100</v>
      </c>
      <c r="E41" s="1405">
        <v>100</v>
      </c>
      <c r="F41" s="1405">
        <v>44.7</v>
      </c>
      <c r="G41" s="1411">
        <f t="shared" si="1"/>
        <v>44.7</v>
      </c>
    </row>
    <row r="42" spans="1:7" s="1443" customFormat="1" ht="15.75" customHeight="1" thickBot="1">
      <c r="A42" s="1402">
        <v>92120</v>
      </c>
      <c r="B42" s="1403" t="s">
        <v>31</v>
      </c>
      <c r="C42" s="1404">
        <v>4270</v>
      </c>
      <c r="D42" s="1441">
        <v>100</v>
      </c>
      <c r="E42" s="1405">
        <v>200</v>
      </c>
      <c r="F42" s="1405">
        <v>0</v>
      </c>
      <c r="G42" s="1411">
        <f t="shared" si="1"/>
        <v>0</v>
      </c>
    </row>
    <row r="43" spans="1:13" s="1401" customFormat="1" ht="17.25" customHeight="1" hidden="1">
      <c r="A43" s="1396"/>
      <c r="B43" s="1397" t="s">
        <v>32</v>
      </c>
      <c r="C43" s="1398"/>
      <c r="D43" s="1440">
        <f>D44</f>
        <v>0</v>
      </c>
      <c r="E43" s="1412">
        <f>SUM(E44)</f>
        <v>0</v>
      </c>
      <c r="F43" s="1412">
        <f>F44</f>
        <v>173.3</v>
      </c>
      <c r="G43" s="1400" t="e">
        <f>F43/E43*100</f>
        <v>#DIV/0!</v>
      </c>
      <c r="H43" s="1413"/>
      <c r="I43" s="1413"/>
      <c r="J43" s="1413"/>
      <c r="K43" s="1413"/>
      <c r="L43" s="1413"/>
      <c r="M43" s="1413"/>
    </row>
    <row r="44" spans="1:236" ht="27.75" customHeight="1" hidden="1">
      <c r="A44" s="1444">
        <v>92601</v>
      </c>
      <c r="B44" s="1445" t="s">
        <v>33</v>
      </c>
      <c r="C44" s="1446">
        <v>4270</v>
      </c>
      <c r="D44" s="1447">
        <v>0</v>
      </c>
      <c r="E44" s="1447">
        <v>0</v>
      </c>
      <c r="F44" s="1447">
        <v>173.3</v>
      </c>
      <c r="G44" s="1411" t="e">
        <f t="shared" si="1"/>
        <v>#DIV/0!</v>
      </c>
      <c r="H44" s="1418"/>
      <c r="I44" s="1418"/>
      <c r="J44" s="1418"/>
      <c r="K44" s="1418"/>
      <c r="L44" s="1418"/>
      <c r="M44" s="1418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5"/>
      <c r="AG44" s="1375"/>
      <c r="AH44" s="1375"/>
      <c r="AI44" s="1375"/>
      <c r="AJ44" s="1375"/>
      <c r="AK44" s="1375"/>
      <c r="AL44" s="1375"/>
      <c r="AM44" s="1375"/>
      <c r="AN44" s="1375"/>
      <c r="AO44" s="1375"/>
      <c r="AP44" s="1375"/>
      <c r="AQ44" s="1375"/>
      <c r="AR44" s="1375"/>
      <c r="AS44" s="1375"/>
      <c r="AT44" s="1375"/>
      <c r="AU44" s="1375"/>
      <c r="AV44" s="1375"/>
      <c r="AW44" s="1375"/>
      <c r="AX44" s="1375"/>
      <c r="AY44" s="1375"/>
      <c r="AZ44" s="1375"/>
      <c r="BA44" s="1375"/>
      <c r="BB44" s="1375"/>
      <c r="BC44" s="1375"/>
      <c r="BD44" s="1375"/>
      <c r="BE44" s="1375"/>
      <c r="BF44" s="1375"/>
      <c r="BG44" s="1375"/>
      <c r="BH44" s="1375"/>
      <c r="BI44" s="1375"/>
      <c r="BJ44" s="1375"/>
      <c r="BK44" s="1375"/>
      <c r="BL44" s="1375"/>
      <c r="BM44" s="1375"/>
      <c r="BN44" s="1375"/>
      <c r="BO44" s="1375"/>
      <c r="BP44" s="1375"/>
      <c r="BQ44" s="1375"/>
      <c r="BR44" s="1375"/>
      <c r="BS44" s="1375"/>
      <c r="BT44" s="1375"/>
      <c r="BU44" s="1375"/>
      <c r="BV44" s="1375"/>
      <c r="BW44" s="1375"/>
      <c r="BX44" s="1375"/>
      <c r="BY44" s="1375"/>
      <c r="BZ44" s="1375"/>
      <c r="CA44" s="1375"/>
      <c r="CB44" s="1375"/>
      <c r="CC44" s="1375"/>
      <c r="CD44" s="1375"/>
      <c r="CE44" s="1375"/>
      <c r="CF44" s="1375"/>
      <c r="CG44" s="1375"/>
      <c r="CH44" s="1375"/>
      <c r="CI44" s="1375"/>
      <c r="CJ44" s="1375"/>
      <c r="CK44" s="1375"/>
      <c r="CL44" s="1375"/>
      <c r="CM44" s="1375"/>
      <c r="CN44" s="1375"/>
      <c r="CO44" s="1375"/>
      <c r="CP44" s="1375"/>
      <c r="CQ44" s="1375"/>
      <c r="CR44" s="1375"/>
      <c r="CS44" s="1375"/>
      <c r="CT44" s="1375"/>
      <c r="CU44" s="1375"/>
      <c r="CV44" s="1375"/>
      <c r="CW44" s="1375"/>
      <c r="CX44" s="1375"/>
      <c r="CY44" s="1375"/>
      <c r="CZ44" s="1375"/>
      <c r="DA44" s="1375"/>
      <c r="DB44" s="1375"/>
      <c r="DC44" s="1375"/>
      <c r="DD44" s="1375"/>
      <c r="DE44" s="1375"/>
      <c r="DF44" s="1375"/>
      <c r="DG44" s="1375"/>
      <c r="DH44" s="1375"/>
      <c r="DI44" s="1375"/>
      <c r="DJ44" s="1375"/>
      <c r="DK44" s="1375"/>
      <c r="DL44" s="1375"/>
      <c r="DM44" s="1375"/>
      <c r="DN44" s="1375"/>
      <c r="DO44" s="1375"/>
      <c r="DP44" s="1375"/>
      <c r="DQ44" s="1375"/>
      <c r="DR44" s="1375"/>
      <c r="DS44" s="1375"/>
      <c r="DT44" s="1375"/>
      <c r="DU44" s="1375"/>
      <c r="DV44" s="1375"/>
      <c r="DW44" s="1375"/>
      <c r="DX44" s="1375"/>
      <c r="DY44" s="1375"/>
      <c r="DZ44" s="1375"/>
      <c r="EA44" s="1375"/>
      <c r="EB44" s="1375"/>
      <c r="EC44" s="1375"/>
      <c r="ED44" s="1375"/>
      <c r="EE44" s="1375"/>
      <c r="EF44" s="1375"/>
      <c r="EG44" s="1375"/>
      <c r="EH44" s="1375"/>
      <c r="EI44" s="1375"/>
      <c r="EJ44" s="1375"/>
      <c r="EK44" s="1375"/>
      <c r="EL44" s="1375"/>
      <c r="EM44" s="1375"/>
      <c r="EN44" s="1375"/>
      <c r="EO44" s="1375"/>
      <c r="EP44" s="1375"/>
      <c r="EQ44" s="1375"/>
      <c r="ER44" s="1375"/>
      <c r="ES44" s="1375"/>
      <c r="ET44" s="1375"/>
      <c r="EU44" s="1375"/>
      <c r="EV44" s="1375"/>
      <c r="EW44" s="1375"/>
      <c r="EX44" s="1375"/>
      <c r="EY44" s="1375"/>
      <c r="EZ44" s="1375"/>
      <c r="FA44" s="1375"/>
      <c r="FB44" s="1375"/>
      <c r="FC44" s="1375"/>
      <c r="FD44" s="1375"/>
      <c r="FE44" s="1375"/>
      <c r="FF44" s="1375"/>
      <c r="FG44" s="1375"/>
      <c r="FH44" s="1375"/>
      <c r="FI44" s="1375"/>
      <c r="FJ44" s="1375"/>
      <c r="FK44" s="1375"/>
      <c r="FL44" s="1375"/>
      <c r="FM44" s="1375"/>
      <c r="FN44" s="1375"/>
      <c r="FO44" s="1375"/>
      <c r="FP44" s="1375"/>
      <c r="FQ44" s="1375"/>
      <c r="FR44" s="1375"/>
      <c r="FS44" s="1375"/>
      <c r="FT44" s="1375"/>
      <c r="FU44" s="1375"/>
      <c r="FV44" s="1375"/>
      <c r="FW44" s="1375"/>
      <c r="FX44" s="1375"/>
      <c r="FY44" s="1375"/>
      <c r="FZ44" s="1375"/>
      <c r="GA44" s="1375"/>
      <c r="GB44" s="1375"/>
      <c r="GC44" s="1375"/>
      <c r="GD44" s="1375"/>
      <c r="GE44" s="1375"/>
      <c r="GF44" s="1375"/>
      <c r="GG44" s="1375"/>
      <c r="GH44" s="1375"/>
      <c r="GI44" s="1375"/>
      <c r="GJ44" s="1375"/>
      <c r="GK44" s="1375"/>
      <c r="GL44" s="1375"/>
      <c r="GM44" s="1375"/>
      <c r="GN44" s="1375"/>
      <c r="GO44" s="1375"/>
      <c r="GP44" s="1375"/>
      <c r="GQ44" s="1375"/>
      <c r="GR44" s="1375"/>
      <c r="GS44" s="1375"/>
      <c r="GT44" s="1375"/>
      <c r="GU44" s="1375"/>
      <c r="GV44" s="1375"/>
      <c r="GW44" s="1375"/>
      <c r="GX44" s="1375"/>
      <c r="GY44" s="1375"/>
      <c r="GZ44" s="1375"/>
      <c r="HA44" s="1375"/>
      <c r="HB44" s="1375"/>
      <c r="HC44" s="1375"/>
      <c r="HD44" s="1375"/>
      <c r="HE44" s="1375"/>
      <c r="HF44" s="1375"/>
      <c r="HG44" s="1375"/>
      <c r="HH44" s="1375"/>
      <c r="HI44" s="1375"/>
      <c r="HJ44" s="1375"/>
      <c r="HK44" s="1375"/>
      <c r="HL44" s="1375"/>
      <c r="HM44" s="1375"/>
      <c r="HN44" s="1375"/>
      <c r="HO44" s="1375"/>
      <c r="HP44" s="1375"/>
      <c r="HQ44" s="1375"/>
      <c r="HR44" s="1375"/>
      <c r="HS44" s="1375"/>
      <c r="HT44" s="1375"/>
      <c r="HU44" s="1375"/>
      <c r="HV44" s="1375"/>
      <c r="HW44" s="1375"/>
      <c r="HX44" s="1375"/>
      <c r="HY44" s="1375"/>
      <c r="HZ44" s="1375"/>
      <c r="IA44" s="1375"/>
      <c r="IB44" s="1375"/>
    </row>
    <row r="45" spans="1:13" s="1454" customFormat="1" ht="17.25" customHeight="1" thickBot="1" thickTop="1">
      <c r="A45" s="1448"/>
      <c r="B45" s="1449" t="s">
        <v>582</v>
      </c>
      <c r="C45" s="1450"/>
      <c r="D45" s="1451">
        <f>D7+D9+D14+D16+D18+D20+D26+D31+D34+D38</f>
        <v>12529.000000000002</v>
      </c>
      <c r="E45" s="1451">
        <f>E7+E9+E14+E16+E18+E20+E26+E31+E34+E38</f>
        <v>12472.9</v>
      </c>
      <c r="F45" s="1451">
        <f>F7+F9+F14+F16+F18+F20+F26+F31+F34+F38</f>
        <v>3052.2</v>
      </c>
      <c r="G45" s="1452">
        <f>F45/E45*100</f>
        <v>24.470652374347583</v>
      </c>
      <c r="H45" s="1453"/>
      <c r="I45" s="1453"/>
      <c r="J45" s="1453"/>
      <c r="K45" s="1453"/>
      <c r="L45" s="1453"/>
      <c r="M45" s="1453"/>
    </row>
    <row r="46" ht="16.5" thickTop="1"/>
  </sheetData>
  <printOptions horizontalCentered="1"/>
  <pageMargins left="0" right="0" top="0.984251968503937" bottom="0.3937007874015748" header="0.5118110236220472" footer="0.5118110236220472"/>
  <pageSetup firstPageNumber="82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5"/>
  <sheetViews>
    <sheetView workbookViewId="0" topLeftCell="A1">
      <selection activeCell="A6" sqref="A6"/>
    </sheetView>
  </sheetViews>
  <sheetFormatPr defaultColWidth="9.00390625" defaultRowHeight="12.75"/>
  <cols>
    <col min="1" max="1" width="48.125" style="0" customWidth="1"/>
    <col min="2" max="2" width="12.625" style="0" customWidth="1"/>
    <col min="3" max="3" width="12.375" style="0" customWidth="1"/>
    <col min="4" max="4" width="10.25390625" style="0" customWidth="1"/>
  </cols>
  <sheetData>
    <row r="1" spans="1:4" ht="15.75">
      <c r="A1" s="1455"/>
      <c r="B1" s="1455"/>
      <c r="C1" s="1455"/>
      <c r="D1" s="1456" t="s">
        <v>581</v>
      </c>
    </row>
    <row r="2" spans="1:4" s="1047" customFormat="1" ht="39.75" customHeight="1">
      <c r="A2" s="1457" t="s">
        <v>34</v>
      </c>
      <c r="B2" s="1457"/>
      <c r="C2" s="1457"/>
      <c r="D2" s="1457"/>
    </row>
    <row r="3" spans="1:4" ht="17.25" customHeight="1" thickBot="1">
      <c r="A3" s="1458"/>
      <c r="B3" s="1458"/>
      <c r="C3" s="1458"/>
      <c r="D3" s="1459" t="s">
        <v>35</v>
      </c>
    </row>
    <row r="4" spans="1:4" ht="23.25" customHeight="1">
      <c r="A4" s="1460" t="s">
        <v>586</v>
      </c>
      <c r="B4" s="1461" t="s">
        <v>36</v>
      </c>
      <c r="C4" s="1462"/>
      <c r="D4" s="1463" t="s">
        <v>37</v>
      </c>
    </row>
    <row r="5" spans="1:4" ht="20.25" customHeight="1" thickBot="1">
      <c r="A5" s="1464"/>
      <c r="B5" s="1465" t="s">
        <v>38</v>
      </c>
      <c r="C5" s="1465" t="s">
        <v>39</v>
      </c>
      <c r="D5" s="1466" t="s">
        <v>40</v>
      </c>
    </row>
    <row r="6" spans="1:4" s="1019" customFormat="1" ht="10.5" customHeight="1" thickBot="1" thickTop="1">
      <c r="A6" s="1467">
        <v>1</v>
      </c>
      <c r="B6" s="1468">
        <v>2</v>
      </c>
      <c r="C6" s="1468">
        <v>3</v>
      </c>
      <c r="D6" s="1469">
        <v>4</v>
      </c>
    </row>
    <row r="7" spans="1:4" ht="21.75" customHeight="1" thickTop="1">
      <c r="A7" s="1470" t="s">
        <v>41</v>
      </c>
      <c r="B7" s="1471"/>
      <c r="C7" s="1471"/>
      <c r="D7" s="1472"/>
    </row>
    <row r="8" spans="1:4" ht="15">
      <c r="A8" s="1473" t="s">
        <v>42</v>
      </c>
      <c r="B8" s="1474">
        <v>5632.2</v>
      </c>
      <c r="C8" s="1474">
        <v>5968.4</v>
      </c>
      <c r="D8" s="1475">
        <f>C8/B8*100</f>
        <v>105.96924825112744</v>
      </c>
    </row>
    <row r="9" spans="1:4" ht="15">
      <c r="A9" s="1473" t="s">
        <v>43</v>
      </c>
      <c r="B9" s="1474">
        <v>4523.8</v>
      </c>
      <c r="C9" s="1474">
        <v>4148.7</v>
      </c>
      <c r="D9" s="1475">
        <f>C9/B9*100</f>
        <v>91.70829833325965</v>
      </c>
    </row>
    <row r="10" spans="1:4" ht="15">
      <c r="A10" s="1473" t="s">
        <v>44</v>
      </c>
      <c r="B10" s="1476">
        <f>B9/B8*100</f>
        <v>80.32030112567026</v>
      </c>
      <c r="C10" s="1476">
        <f>C9/C8*100</f>
        <v>69.51109174988271</v>
      </c>
      <c r="D10" s="1475"/>
    </row>
    <row r="11" spans="1:4" ht="15">
      <c r="A11" s="1473" t="s">
        <v>45</v>
      </c>
      <c r="B11" s="1474">
        <v>3970.6</v>
      </c>
      <c r="C11" s="1474">
        <v>4643</v>
      </c>
      <c r="D11" s="1475">
        <f aca="true" t="shared" si="0" ref="D11:D20">C11/B11*100</f>
        <v>116.93446834231602</v>
      </c>
    </row>
    <row r="12" spans="1:4" ht="15">
      <c r="A12" s="1473" t="s">
        <v>46</v>
      </c>
      <c r="B12" s="1477">
        <v>376.1</v>
      </c>
      <c r="C12" s="1477">
        <v>593.8</v>
      </c>
      <c r="D12" s="1475">
        <f t="shared" si="0"/>
        <v>157.88354161127359</v>
      </c>
    </row>
    <row r="13" spans="1:4" ht="15">
      <c r="A13" s="1473" t="s">
        <v>47</v>
      </c>
      <c r="B13" s="1476">
        <f>B12/B11*100</f>
        <v>9.472120082607164</v>
      </c>
      <c r="C13" s="1476">
        <f>C12/C11*100</f>
        <v>12.789144949386172</v>
      </c>
      <c r="D13" s="1475"/>
    </row>
    <row r="14" spans="1:4" ht="15">
      <c r="A14" s="1478"/>
      <c r="B14" s="1479"/>
      <c r="C14" s="1479"/>
      <c r="D14" s="1475"/>
    </row>
    <row r="15" spans="1:4" ht="15.75">
      <c r="A15" s="1470" t="s">
        <v>48</v>
      </c>
      <c r="B15" s="1471"/>
      <c r="C15" s="1471"/>
      <c r="D15" s="1475"/>
    </row>
    <row r="16" spans="1:4" ht="15">
      <c r="A16" s="1473" t="s">
        <v>49</v>
      </c>
      <c r="B16" s="1477">
        <v>299.5</v>
      </c>
      <c r="C16" s="1477">
        <v>543.2</v>
      </c>
      <c r="D16" s="1475">
        <f t="shared" si="0"/>
        <v>181.36894824707846</v>
      </c>
    </row>
    <row r="17" spans="1:4" ht="15">
      <c r="A17" s="1473" t="s">
        <v>43</v>
      </c>
      <c r="B17" s="1477">
        <v>260</v>
      </c>
      <c r="C17" s="1477">
        <v>437.9</v>
      </c>
      <c r="D17" s="1475">
        <f t="shared" si="0"/>
        <v>168.4230769230769</v>
      </c>
    </row>
    <row r="18" spans="1:4" ht="15">
      <c r="A18" s="1473" t="s">
        <v>50</v>
      </c>
      <c r="B18" s="1476">
        <f>B17/B16*100</f>
        <v>86.81135225375625</v>
      </c>
      <c r="C18" s="1476">
        <f>C17/C16*100</f>
        <v>80.61487481590574</v>
      </c>
      <c r="D18" s="1475"/>
    </row>
    <row r="19" spans="1:4" ht="15">
      <c r="A19" s="1473" t="s">
        <v>45</v>
      </c>
      <c r="B19" s="1477">
        <v>281.6</v>
      </c>
      <c r="C19" s="1477">
        <v>341</v>
      </c>
      <c r="D19" s="1475">
        <f t="shared" si="0"/>
        <v>121.09375</v>
      </c>
    </row>
    <row r="20" spans="1:4" ht="15">
      <c r="A20" s="1473" t="s">
        <v>51</v>
      </c>
      <c r="B20" s="1477">
        <v>54.2</v>
      </c>
      <c r="C20" s="1477">
        <v>12.9</v>
      </c>
      <c r="D20" s="1475">
        <f t="shared" si="0"/>
        <v>23.800738007380073</v>
      </c>
    </row>
    <row r="21" spans="1:4" ht="15">
      <c r="A21" s="1473" t="s">
        <v>47</v>
      </c>
      <c r="B21" s="1476">
        <f>B20/B19*100</f>
        <v>19.24715909090909</v>
      </c>
      <c r="C21" s="1476">
        <f>C20/C19*100</f>
        <v>3.7829912023460412</v>
      </c>
      <c r="D21" s="1475"/>
    </row>
    <row r="22" spans="1:4" ht="15">
      <c r="A22" s="1478"/>
      <c r="B22" s="1479"/>
      <c r="C22" s="1479"/>
      <c r="D22" s="1475"/>
    </row>
    <row r="23" spans="1:4" ht="15.75">
      <c r="A23" s="1470" t="s">
        <v>52</v>
      </c>
      <c r="B23" s="1471"/>
      <c r="C23" s="1471"/>
      <c r="D23" s="1475"/>
    </row>
    <row r="24" spans="1:4" ht="15">
      <c r="A24" s="1473" t="s">
        <v>49</v>
      </c>
      <c r="B24" s="1474">
        <v>8130.1</v>
      </c>
      <c r="C24" s="1474">
        <v>2610.1</v>
      </c>
      <c r="D24" s="1475">
        <f>C24/B24*100</f>
        <v>32.10415616044083</v>
      </c>
    </row>
    <row r="25" spans="1:4" ht="15">
      <c r="A25" s="1473" t="s">
        <v>43</v>
      </c>
      <c r="B25" s="1474">
        <v>7380.4</v>
      </c>
      <c r="C25" s="1474">
        <v>2278.2</v>
      </c>
      <c r="D25" s="1475">
        <f aca="true" t="shared" si="1" ref="D25:D44">C25/B25*100</f>
        <v>30.868245623543437</v>
      </c>
    </row>
    <row r="26" spans="1:4" ht="15">
      <c r="A26" s="1473" t="s">
        <v>53</v>
      </c>
      <c r="B26" s="1476">
        <f>B25/B24*100</f>
        <v>90.77871120896421</v>
      </c>
      <c r="C26" s="1476">
        <f>C25/C24*100</f>
        <v>87.28401210681582</v>
      </c>
      <c r="D26" s="1475"/>
    </row>
    <row r="27" spans="1:4" ht="15">
      <c r="A27" s="1473" t="s">
        <v>45</v>
      </c>
      <c r="B27" s="1474">
        <v>1929.7</v>
      </c>
      <c r="C27" s="1474">
        <v>1653.7</v>
      </c>
      <c r="D27" s="1475">
        <f t="shared" si="1"/>
        <v>85.69725864123957</v>
      </c>
    </row>
    <row r="28" spans="1:4" ht="15">
      <c r="A28" s="1473" t="s">
        <v>46</v>
      </c>
      <c r="B28" s="1477">
        <v>239.4</v>
      </c>
      <c r="C28" s="1477">
        <v>246.3</v>
      </c>
      <c r="D28" s="1475">
        <f t="shared" si="1"/>
        <v>102.88220551378447</v>
      </c>
    </row>
    <row r="29" spans="1:4" ht="15">
      <c r="A29" s="1473" t="s">
        <v>47</v>
      </c>
      <c r="B29" s="1476">
        <f>B28/B27*100</f>
        <v>12.406073482924807</v>
      </c>
      <c r="C29" s="1476">
        <f>C28/C27*100</f>
        <v>14.893874342383745</v>
      </c>
      <c r="D29" s="1475"/>
    </row>
    <row r="30" spans="1:4" ht="15">
      <c r="A30" s="1478" t="s">
        <v>54</v>
      </c>
      <c r="B30" s="1479"/>
      <c r="C30" s="1479"/>
      <c r="D30" s="1475"/>
    </row>
    <row r="31" spans="1:4" ht="15.75">
      <c r="A31" s="1470" t="s">
        <v>55</v>
      </c>
      <c r="B31" s="1471"/>
      <c r="C31" s="1471"/>
      <c r="D31" s="1475"/>
    </row>
    <row r="32" spans="1:4" ht="15">
      <c r="A32" s="1473" t="s">
        <v>42</v>
      </c>
      <c r="B32" s="1477">
        <v>448.8</v>
      </c>
      <c r="C32" s="1477">
        <v>502.4</v>
      </c>
      <c r="D32" s="1475">
        <f t="shared" si="1"/>
        <v>111.94295900178253</v>
      </c>
    </row>
    <row r="33" spans="1:4" ht="15">
      <c r="A33" s="1473" t="s">
        <v>43</v>
      </c>
      <c r="B33" s="1477">
        <v>168.7</v>
      </c>
      <c r="C33" s="1477">
        <v>216.2</v>
      </c>
      <c r="D33" s="1475">
        <f t="shared" si="1"/>
        <v>128.15649081209247</v>
      </c>
    </row>
    <row r="34" spans="1:4" ht="15">
      <c r="A34" s="1473" t="s">
        <v>50</v>
      </c>
      <c r="B34" s="1476">
        <f>B33/B32*100</f>
        <v>37.58912655971479</v>
      </c>
      <c r="C34" s="1476">
        <f>C33/C32*100</f>
        <v>43.03343949044586</v>
      </c>
      <c r="D34" s="1475"/>
    </row>
    <row r="35" spans="1:4" ht="15">
      <c r="A35" s="1473" t="s">
        <v>56</v>
      </c>
      <c r="B35" s="1477">
        <v>153.1</v>
      </c>
      <c r="C35" s="1477">
        <v>179.5</v>
      </c>
      <c r="D35" s="1475">
        <f t="shared" si="1"/>
        <v>117.24363161332462</v>
      </c>
    </row>
    <row r="36" spans="1:4" ht="15">
      <c r="A36" s="1473" t="s">
        <v>51</v>
      </c>
      <c r="B36" s="1477">
        <v>33</v>
      </c>
      <c r="C36" s="1477">
        <v>23.6</v>
      </c>
      <c r="D36" s="1475">
        <f t="shared" si="1"/>
        <v>71.51515151515152</v>
      </c>
    </row>
    <row r="37" spans="1:4" ht="15">
      <c r="A37" s="1473" t="s">
        <v>47</v>
      </c>
      <c r="B37" s="1476">
        <f>B36/B35*100</f>
        <v>21.554539516655783</v>
      </c>
      <c r="C37" s="1476">
        <f>C36/C35*100</f>
        <v>13.147632311977716</v>
      </c>
      <c r="D37" s="1475"/>
    </row>
    <row r="38" spans="1:4" ht="15">
      <c r="A38" s="1478"/>
      <c r="B38" s="1479"/>
      <c r="C38" s="1479"/>
      <c r="D38" s="1475"/>
    </row>
    <row r="39" spans="1:4" ht="15.75">
      <c r="A39" s="1470" t="s">
        <v>57</v>
      </c>
      <c r="B39" s="1471"/>
      <c r="C39" s="1471"/>
      <c r="D39" s="1475"/>
    </row>
    <row r="40" spans="1:4" ht="15">
      <c r="A40" s="1473" t="s">
        <v>42</v>
      </c>
      <c r="B40" s="1474">
        <v>23961</v>
      </c>
      <c r="C40" s="1474">
        <v>24588.5</v>
      </c>
      <c r="D40" s="1475">
        <f t="shared" si="1"/>
        <v>102.61883894662161</v>
      </c>
    </row>
    <row r="41" spans="1:4" s="1182" customFormat="1" ht="15">
      <c r="A41" s="1473" t="s">
        <v>43</v>
      </c>
      <c r="B41" s="1474">
        <v>10427.6</v>
      </c>
      <c r="C41" s="1474">
        <v>10925.1</v>
      </c>
      <c r="D41" s="1475">
        <f t="shared" si="1"/>
        <v>104.7709923664122</v>
      </c>
    </row>
    <row r="42" spans="1:4" ht="15">
      <c r="A42" s="1473" t="s">
        <v>50</v>
      </c>
      <c r="B42" s="1476">
        <f>B41/B40*100</f>
        <v>43.519051792496136</v>
      </c>
      <c r="C42" s="1476">
        <f>C41/C40*100</f>
        <v>44.43174654818309</v>
      </c>
      <c r="D42" s="1475"/>
    </row>
    <row r="43" spans="1:4" ht="15">
      <c r="A43" s="1473" t="s">
        <v>56</v>
      </c>
      <c r="B43" s="1474">
        <v>8262.3</v>
      </c>
      <c r="C43" s="1474">
        <v>9178.5</v>
      </c>
      <c r="D43" s="1475">
        <f t="shared" si="1"/>
        <v>111.08892197087978</v>
      </c>
    </row>
    <row r="44" spans="1:4" ht="15">
      <c r="A44" s="1473" t="s">
        <v>51</v>
      </c>
      <c r="B44" s="1477">
        <v>358.1</v>
      </c>
      <c r="C44" s="1474">
        <v>1059.6</v>
      </c>
      <c r="D44" s="1475">
        <f t="shared" si="1"/>
        <v>295.89500139625795</v>
      </c>
    </row>
    <row r="45" spans="1:4" s="1182" customFormat="1" ht="12.75" customHeight="1">
      <c r="A45" s="1480" t="s">
        <v>58</v>
      </c>
      <c r="B45" s="1481">
        <f>B44/B43*100</f>
        <v>4.334144245549061</v>
      </c>
      <c r="C45" s="1482">
        <f>C44/C43*100</f>
        <v>11.544369995097236</v>
      </c>
      <c r="D45" s="1483"/>
    </row>
    <row r="46" spans="1:4" s="1182" customFormat="1" ht="10.5" customHeight="1">
      <c r="A46" s="1478"/>
      <c r="B46" s="1479"/>
      <c r="C46" s="1479"/>
      <c r="D46" s="1475"/>
    </row>
    <row r="47" spans="1:4" ht="15.75">
      <c r="A47" s="1470" t="s">
        <v>59</v>
      </c>
      <c r="B47" s="1471"/>
      <c r="C47" s="1471"/>
      <c r="D47" s="1475"/>
    </row>
    <row r="48" spans="1:4" ht="15">
      <c r="A48" s="1473" t="s">
        <v>49</v>
      </c>
      <c r="B48" s="1474">
        <v>6085.2</v>
      </c>
      <c r="C48" s="1474">
        <v>6555.3</v>
      </c>
      <c r="D48" s="1475">
        <f>C48/B48*100</f>
        <v>107.72530072963913</v>
      </c>
    </row>
    <row r="49" spans="1:4" ht="15">
      <c r="A49" s="1473" t="s">
        <v>43</v>
      </c>
      <c r="B49" s="1474">
        <v>2359.1</v>
      </c>
      <c r="C49" s="1474">
        <v>2848.7</v>
      </c>
      <c r="D49" s="1475">
        <f aca="true" t="shared" si="2" ref="D49:D68">C49/B49*100</f>
        <v>120.75367724979864</v>
      </c>
    </row>
    <row r="50" spans="1:4" ht="15">
      <c r="A50" s="1473" t="s">
        <v>50</v>
      </c>
      <c r="B50" s="1476">
        <f>B49/B48*100</f>
        <v>38.767830145270494</v>
      </c>
      <c r="C50" s="1476">
        <f>C49/C48*100</f>
        <v>43.45643982731529</v>
      </c>
      <c r="D50" s="1475"/>
    </row>
    <row r="51" spans="1:4" ht="15">
      <c r="A51" s="1473" t="s">
        <v>56</v>
      </c>
      <c r="B51" s="1474">
        <v>2440.2</v>
      </c>
      <c r="C51" s="1474">
        <v>2908.3</v>
      </c>
      <c r="D51" s="1475">
        <f t="shared" si="2"/>
        <v>119.18285386443736</v>
      </c>
    </row>
    <row r="52" spans="1:4" ht="15">
      <c r="A52" s="1473" t="s">
        <v>46</v>
      </c>
      <c r="B52" s="1477">
        <v>530.1</v>
      </c>
      <c r="C52" s="1477">
        <v>601.1</v>
      </c>
      <c r="D52" s="1475">
        <f t="shared" si="2"/>
        <v>113.39369930201848</v>
      </c>
    </row>
    <row r="53" spans="1:4" ht="15">
      <c r="A53" s="1473" t="s">
        <v>47</v>
      </c>
      <c r="B53" s="1476">
        <f>B52/B51*100</f>
        <v>21.723629210720436</v>
      </c>
      <c r="C53" s="1476">
        <f>C52/C51*100</f>
        <v>20.66843172987656</v>
      </c>
      <c r="D53" s="1475"/>
    </row>
    <row r="54" spans="1:4" ht="15">
      <c r="A54" s="1473"/>
      <c r="B54" s="1477"/>
      <c r="C54" s="1477"/>
      <c r="D54" s="1475"/>
    </row>
    <row r="55" spans="1:4" ht="15.75">
      <c r="A55" s="1470" t="s">
        <v>60</v>
      </c>
      <c r="B55" s="1471"/>
      <c r="C55" s="1471"/>
      <c r="D55" s="1475"/>
    </row>
    <row r="56" spans="1:4" ht="15">
      <c r="A56" s="1473" t="s">
        <v>49</v>
      </c>
      <c r="B56" s="1477">
        <v>921.9</v>
      </c>
      <c r="C56" s="1477">
        <v>948.2</v>
      </c>
      <c r="D56" s="1475">
        <f t="shared" si="2"/>
        <v>102.85280399175616</v>
      </c>
    </row>
    <row r="57" spans="1:4" ht="15">
      <c r="A57" s="1473" t="s">
        <v>61</v>
      </c>
      <c r="B57" s="1477">
        <v>493.2</v>
      </c>
      <c r="C57" s="1477">
        <v>484.9</v>
      </c>
      <c r="D57" s="1475">
        <f t="shared" si="2"/>
        <v>98.31711273317113</v>
      </c>
    </row>
    <row r="58" spans="1:4" ht="15">
      <c r="A58" s="1473" t="s">
        <v>50</v>
      </c>
      <c r="B58" s="1476">
        <f>B57/B56*100</f>
        <v>53.498210218027985</v>
      </c>
      <c r="C58" s="1476">
        <f>C57/C56*100</f>
        <v>51.13900021092596</v>
      </c>
      <c r="D58" s="1475"/>
    </row>
    <row r="59" spans="1:4" ht="15">
      <c r="A59" s="1473" t="s">
        <v>56</v>
      </c>
      <c r="B59" s="1477">
        <v>117.6</v>
      </c>
      <c r="C59" s="1477">
        <v>133.5</v>
      </c>
      <c r="D59" s="1475">
        <f t="shared" si="2"/>
        <v>113.52040816326532</v>
      </c>
    </row>
    <row r="60" spans="1:4" ht="15">
      <c r="A60" s="1473" t="s">
        <v>51</v>
      </c>
      <c r="B60" s="1477">
        <v>9</v>
      </c>
      <c r="C60" s="1477">
        <v>21</v>
      </c>
      <c r="D60" s="1475">
        <f t="shared" si="2"/>
        <v>233.33333333333334</v>
      </c>
    </row>
    <row r="61" spans="1:4" ht="15">
      <c r="A61" s="1473" t="s">
        <v>47</v>
      </c>
      <c r="B61" s="1476">
        <f>B60/B59*100</f>
        <v>7.653061224489796</v>
      </c>
      <c r="C61" s="1476">
        <f>C60/C59*100</f>
        <v>15.730337078651685</v>
      </c>
      <c r="D61" s="1475"/>
    </row>
    <row r="62" spans="1:4" ht="15">
      <c r="A62" s="1478"/>
      <c r="B62" s="1479"/>
      <c r="C62" s="1479"/>
      <c r="D62" s="1475"/>
    </row>
    <row r="63" spans="1:4" ht="15.75">
      <c r="A63" s="1470" t="s">
        <v>62</v>
      </c>
      <c r="B63" s="1471"/>
      <c r="C63" s="1471"/>
      <c r="D63" s="1475"/>
    </row>
    <row r="64" spans="1:4" ht="15">
      <c r="A64" s="1473" t="s">
        <v>49</v>
      </c>
      <c r="B64" s="1477">
        <v>760.2</v>
      </c>
      <c r="C64" s="1477">
        <v>745.3</v>
      </c>
      <c r="D64" s="1475">
        <f t="shared" si="2"/>
        <v>98.03998947645354</v>
      </c>
    </row>
    <row r="65" spans="1:4" ht="15">
      <c r="A65" s="1473" t="s">
        <v>43</v>
      </c>
      <c r="B65" s="1477">
        <v>264.1</v>
      </c>
      <c r="C65" s="1477">
        <v>267.3</v>
      </c>
      <c r="D65" s="1475">
        <f t="shared" si="2"/>
        <v>101.21166224914803</v>
      </c>
    </row>
    <row r="66" spans="1:4" ht="15">
      <c r="A66" s="1473" t="s">
        <v>50</v>
      </c>
      <c r="B66" s="1476">
        <f>B65/B64*100</f>
        <v>34.74085766903446</v>
      </c>
      <c r="C66" s="1476">
        <f>C65/C64*100</f>
        <v>35.86475244867839</v>
      </c>
      <c r="D66" s="1475"/>
    </row>
    <row r="67" spans="1:4" ht="15">
      <c r="A67" s="1473" t="s">
        <v>45</v>
      </c>
      <c r="B67" s="1474">
        <v>1138</v>
      </c>
      <c r="C67" s="1474">
        <v>1063.6</v>
      </c>
      <c r="D67" s="1475">
        <f t="shared" si="2"/>
        <v>93.46221441124779</v>
      </c>
    </row>
    <row r="68" spans="1:4" ht="15">
      <c r="A68" s="1473" t="s">
        <v>46</v>
      </c>
      <c r="B68" s="1477">
        <v>137.6</v>
      </c>
      <c r="C68" s="1477">
        <v>76.4</v>
      </c>
      <c r="D68" s="1475">
        <f t="shared" si="2"/>
        <v>55.5232558139535</v>
      </c>
    </row>
    <row r="69" spans="1:4" ht="15.75" thickBot="1">
      <c r="A69" s="1484" t="s">
        <v>63</v>
      </c>
      <c r="B69" s="1485">
        <f>B68/B67*100</f>
        <v>12.091388400702987</v>
      </c>
      <c r="C69" s="1486">
        <f>C68/C67*100</f>
        <v>7.18315156073712</v>
      </c>
      <c r="D69" s="1487"/>
    </row>
    <row r="70" spans="1:4" s="1019" customFormat="1" ht="25.5" customHeight="1" thickBot="1" thickTop="1">
      <c r="A70" s="1488" t="s">
        <v>64</v>
      </c>
      <c r="B70" s="1489"/>
      <c r="C70" s="1489"/>
      <c r="D70" s="1490"/>
    </row>
    <row r="71" spans="1:4" s="1019" customFormat="1" ht="19.5" customHeight="1" thickTop="1">
      <c r="A71" s="1491" t="s">
        <v>49</v>
      </c>
      <c r="B71" s="1492">
        <f>B8+B16+B24+B32+B40+B48+B56+B64</f>
        <v>46238.899999999994</v>
      </c>
      <c r="C71" s="1492">
        <f>C8+C16+C24+C32+C40+C48+C56+C64</f>
        <v>42461.4</v>
      </c>
      <c r="D71" s="1493">
        <f>C71/B71*100</f>
        <v>91.8304717456514</v>
      </c>
    </row>
    <row r="72" spans="1:4" s="1019" customFormat="1" ht="19.5" customHeight="1">
      <c r="A72" s="1491" t="s">
        <v>43</v>
      </c>
      <c r="B72" s="1492">
        <f>B9+B17+B25+B33+B41+B49+B57+B65</f>
        <v>25876.899999999998</v>
      </c>
      <c r="C72" s="1492">
        <f>C9+C17+C25+C33+C41+C49+C57+C65</f>
        <v>21607</v>
      </c>
      <c r="D72" s="1493">
        <f>C72/B72*100</f>
        <v>83.49918266871225</v>
      </c>
    </row>
    <row r="73" spans="1:4" s="1019" customFormat="1" ht="19.5" customHeight="1">
      <c r="A73" s="1491" t="s">
        <v>50</v>
      </c>
      <c r="B73" s="1492">
        <f>B72/B71*100</f>
        <v>55.963485290523785</v>
      </c>
      <c r="C73" s="1492">
        <f>C72/C71*100</f>
        <v>50.886216657952865</v>
      </c>
      <c r="D73" s="1493"/>
    </row>
    <row r="74" spans="1:4" s="1019" customFormat="1" ht="19.5" customHeight="1">
      <c r="A74" s="1491" t="s">
        <v>45</v>
      </c>
      <c r="B74" s="1492">
        <f>B11+B19+B27+B35+B43+B51+B59+B67</f>
        <v>18293.1</v>
      </c>
      <c r="C74" s="1492">
        <f>C11+C19+C27+C35+C43+C51+C59+C67</f>
        <v>20101.1</v>
      </c>
      <c r="D74" s="1493">
        <f>C74/B74*100</f>
        <v>109.88350798935119</v>
      </c>
    </row>
    <row r="75" spans="1:4" s="1019" customFormat="1" ht="19.5" customHeight="1">
      <c r="A75" s="1491" t="s">
        <v>46</v>
      </c>
      <c r="B75" s="1492">
        <f>B12+B20+B28+B36+B44+B52+B60+B68</f>
        <v>1737.5</v>
      </c>
      <c r="C75" s="1492">
        <f>C12+C20+C28+C36+C44+C52+C60+C68</f>
        <v>2634.7</v>
      </c>
      <c r="D75" s="1493">
        <f>C75/B75*100</f>
        <v>151.6374100719424</v>
      </c>
    </row>
    <row r="76" spans="1:4" s="1019" customFormat="1" ht="19.5" customHeight="1" thickBot="1">
      <c r="A76" s="1494" t="s">
        <v>47</v>
      </c>
      <c r="B76" s="1495">
        <f>B75/B74*100</f>
        <v>9.498116776270834</v>
      </c>
      <c r="C76" s="1495">
        <f>C75/C74*100</f>
        <v>13.107242887205178</v>
      </c>
      <c r="D76" s="1496"/>
    </row>
    <row r="77" ht="12.75">
      <c r="D77" s="1497"/>
    </row>
    <row r="78" ht="12.75">
      <c r="D78" s="1497"/>
    </row>
    <row r="79" ht="12.75">
      <c r="D79" s="1497"/>
    </row>
    <row r="80" ht="12.75">
      <c r="D80" s="1497"/>
    </row>
    <row r="81" ht="12.75">
      <c r="D81" s="1497"/>
    </row>
    <row r="82" ht="12.75">
      <c r="D82" s="1497"/>
    </row>
    <row r="83" ht="12.75">
      <c r="D83" s="1497"/>
    </row>
    <row r="84" ht="12.75">
      <c r="D84" s="1497"/>
    </row>
    <row r="85" ht="12.75">
      <c r="D85" s="1497"/>
    </row>
    <row r="86" ht="12.75">
      <c r="D86" s="1497"/>
    </row>
    <row r="87" ht="12.75">
      <c r="D87" s="1497"/>
    </row>
    <row r="88" ht="12.75">
      <c r="D88" s="1497"/>
    </row>
    <row r="89" ht="12.75">
      <c r="D89" s="1497"/>
    </row>
    <row r="90" ht="12.75">
      <c r="D90" s="1497"/>
    </row>
    <row r="91" ht="12.75">
      <c r="D91" s="1497"/>
    </row>
    <row r="92" ht="12.75">
      <c r="D92" s="1497"/>
    </row>
    <row r="93" ht="12.75">
      <c r="D93" s="1497"/>
    </row>
    <row r="94" ht="12.75">
      <c r="D94" s="1497"/>
    </row>
    <row r="95" ht="12.75">
      <c r="D95" s="1497"/>
    </row>
    <row r="96" ht="12.75">
      <c r="D96" s="1497"/>
    </row>
    <row r="97" ht="12.75">
      <c r="D97" s="1497"/>
    </row>
    <row r="98" ht="12.75">
      <c r="D98" s="1497"/>
    </row>
    <row r="99" ht="12.75">
      <c r="D99" s="1497"/>
    </row>
    <row r="100" ht="12.75">
      <c r="D100" s="1497"/>
    </row>
    <row r="101" ht="12.75">
      <c r="D101" s="1497"/>
    </row>
    <row r="102" ht="12.75">
      <c r="D102" s="1497"/>
    </row>
    <row r="103" ht="12.75">
      <c r="D103" s="1497"/>
    </row>
    <row r="104" ht="12.75">
      <c r="D104" s="1497"/>
    </row>
    <row r="105" ht="12.75">
      <c r="D105" s="1497"/>
    </row>
    <row r="106" ht="12.75">
      <c r="D106" s="1497"/>
    </row>
    <row r="107" ht="12.75">
      <c r="D107" s="1497"/>
    </row>
    <row r="108" ht="12.75">
      <c r="D108" s="1497"/>
    </row>
    <row r="109" ht="12.75">
      <c r="D109" s="1497"/>
    </row>
    <row r="110" ht="12.75">
      <c r="D110" s="1497"/>
    </row>
    <row r="111" ht="12.75">
      <c r="D111" s="1497"/>
    </row>
    <row r="112" ht="12.75">
      <c r="D112" s="1497"/>
    </row>
    <row r="113" ht="12.75">
      <c r="D113" s="1497"/>
    </row>
    <row r="114" ht="12.75">
      <c r="D114" s="1497"/>
    </row>
    <row r="115" ht="12.75">
      <c r="D115" s="1497"/>
    </row>
    <row r="116" ht="12.75">
      <c r="D116" s="1497"/>
    </row>
    <row r="117" ht="12.75">
      <c r="D117" s="1497"/>
    </row>
    <row r="118" ht="12.75">
      <c r="D118" s="1497"/>
    </row>
    <row r="119" ht="12.75">
      <c r="D119" s="1497"/>
    </row>
    <row r="120" ht="12.75">
      <c r="D120" s="1497"/>
    </row>
    <row r="121" ht="12.75">
      <c r="D121" s="1497"/>
    </row>
    <row r="122" ht="12.75">
      <c r="D122" s="1497"/>
    </row>
    <row r="123" ht="12.75">
      <c r="D123" s="1497"/>
    </row>
    <row r="124" ht="12.75">
      <c r="D124" s="1497"/>
    </row>
    <row r="125" ht="12.75">
      <c r="D125" s="1497"/>
    </row>
    <row r="126" ht="12.75">
      <c r="D126" s="1497"/>
    </row>
    <row r="127" ht="12.75">
      <c r="D127" s="1497"/>
    </row>
    <row r="128" ht="12.75">
      <c r="D128" s="1497"/>
    </row>
    <row r="129" ht="12.75">
      <c r="D129" s="1497"/>
    </row>
    <row r="130" ht="12.75">
      <c r="D130" s="1497"/>
    </row>
    <row r="131" ht="12.75">
      <c r="D131" s="1497"/>
    </row>
    <row r="132" ht="12.75">
      <c r="D132" s="1497"/>
    </row>
    <row r="133" ht="12.75">
      <c r="D133" s="1497"/>
    </row>
    <row r="134" ht="12.75">
      <c r="D134" s="1497"/>
    </row>
    <row r="135" ht="12.75">
      <c r="D135" s="1497"/>
    </row>
    <row r="136" ht="12.75">
      <c r="D136" s="1497"/>
    </row>
    <row r="137" ht="12.75">
      <c r="D137" s="1497"/>
    </row>
    <row r="138" ht="12.75">
      <c r="D138" s="1497"/>
    </row>
    <row r="139" ht="12.75">
      <c r="D139" s="1497"/>
    </row>
    <row r="140" ht="12.75">
      <c r="D140" s="1497"/>
    </row>
    <row r="141" ht="12.75">
      <c r="D141" s="1497"/>
    </row>
    <row r="142" ht="12.75">
      <c r="D142" s="1497"/>
    </row>
    <row r="143" ht="12.75">
      <c r="D143" s="1497"/>
    </row>
    <row r="144" ht="12.75">
      <c r="D144" s="1497"/>
    </row>
    <row r="145" ht="12.75">
      <c r="D145" s="1497"/>
    </row>
    <row r="146" ht="12.75">
      <c r="D146" s="1497"/>
    </row>
    <row r="147" ht="12.75">
      <c r="D147" s="1497"/>
    </row>
    <row r="148" ht="12.75">
      <c r="D148" s="1497"/>
    </row>
    <row r="149" ht="12.75">
      <c r="D149" s="1497"/>
    </row>
    <row r="150" ht="12.75">
      <c r="D150" s="1497"/>
    </row>
    <row r="151" ht="12.75">
      <c r="D151" s="1497"/>
    </row>
    <row r="152" ht="12.75">
      <c r="D152" s="1497"/>
    </row>
    <row r="153" ht="12.75">
      <c r="D153" s="1497"/>
    </row>
    <row r="154" ht="12.75">
      <c r="D154" s="1497"/>
    </row>
    <row r="155" ht="12.75">
      <c r="D155" s="1497"/>
    </row>
    <row r="156" ht="12.75">
      <c r="D156" s="1497"/>
    </row>
    <row r="157" ht="12.75">
      <c r="D157" s="1497"/>
    </row>
    <row r="158" ht="12.75">
      <c r="D158" s="1497"/>
    </row>
    <row r="159" ht="12.75">
      <c r="D159" s="1497"/>
    </row>
    <row r="160" ht="12.75">
      <c r="D160" s="1497"/>
    </row>
    <row r="161" ht="12.75">
      <c r="D161" s="1497"/>
    </row>
    <row r="162" ht="12.75">
      <c r="D162" s="1497"/>
    </row>
    <row r="163" ht="12.75">
      <c r="D163" s="1497"/>
    </row>
    <row r="164" ht="12.75">
      <c r="D164" s="1497"/>
    </row>
    <row r="165" ht="12.75">
      <c r="D165" s="1497"/>
    </row>
    <row r="166" ht="12.75">
      <c r="D166" s="1497"/>
    </row>
    <row r="167" ht="12.75">
      <c r="D167" s="1497"/>
    </row>
    <row r="168" ht="12.75">
      <c r="D168" s="1497"/>
    </row>
    <row r="169" ht="12.75">
      <c r="D169" s="1497"/>
    </row>
    <row r="170" ht="12.75">
      <c r="D170" s="1497"/>
    </row>
    <row r="171" ht="12.75">
      <c r="D171" s="1497"/>
    </row>
    <row r="172" ht="12.75">
      <c r="D172" s="1497"/>
    </row>
    <row r="173" ht="12.75">
      <c r="D173" s="1497"/>
    </row>
    <row r="174" ht="12.75">
      <c r="D174" s="1497"/>
    </row>
    <row r="175" ht="12.75">
      <c r="D175" s="1497"/>
    </row>
    <row r="176" ht="12.75">
      <c r="D176" s="1497"/>
    </row>
    <row r="177" ht="12.75">
      <c r="D177" s="1497"/>
    </row>
    <row r="178" ht="12.75">
      <c r="D178" s="1497"/>
    </row>
    <row r="179" ht="12.75">
      <c r="D179" s="1497"/>
    </row>
    <row r="180" ht="12.75">
      <c r="D180" s="1497"/>
    </row>
    <row r="181" ht="12.75">
      <c r="D181" s="1497"/>
    </row>
    <row r="182" ht="12.75">
      <c r="D182" s="1497"/>
    </row>
    <row r="183" ht="12.75">
      <c r="D183" s="1497"/>
    </row>
    <row r="184" ht="12.75">
      <c r="D184" s="1497"/>
    </row>
    <row r="185" ht="12.75">
      <c r="D185" s="1497"/>
    </row>
    <row r="186" ht="12.75">
      <c r="D186" s="1497"/>
    </row>
    <row r="187" ht="12.75">
      <c r="D187" s="1497"/>
    </row>
    <row r="188" ht="12.75">
      <c r="D188" s="1497"/>
    </row>
    <row r="189" ht="12.75">
      <c r="D189" s="1497"/>
    </row>
    <row r="190" ht="12.75">
      <c r="D190" s="1497"/>
    </row>
    <row r="191" ht="12.75">
      <c r="D191" s="1497"/>
    </row>
    <row r="192" ht="12.75">
      <c r="D192" s="1497"/>
    </row>
    <row r="193" ht="12.75">
      <c r="D193" s="1497"/>
    </row>
    <row r="194" ht="12.75">
      <c r="D194" s="1497"/>
    </row>
    <row r="195" ht="12.75">
      <c r="D195" s="1497"/>
    </row>
    <row r="196" ht="12.75">
      <c r="D196" s="1497"/>
    </row>
    <row r="197" ht="12.75">
      <c r="D197" s="1497"/>
    </row>
    <row r="198" ht="12.75">
      <c r="D198" s="1497"/>
    </row>
    <row r="199" ht="12.75">
      <c r="D199" s="1497"/>
    </row>
    <row r="200" ht="12.75">
      <c r="D200" s="1497"/>
    </row>
    <row r="201" ht="12.75">
      <c r="D201" s="1497"/>
    </row>
    <row r="202" ht="12.75">
      <c r="D202" s="1497"/>
    </row>
    <row r="203" ht="12.75">
      <c r="D203" s="1497"/>
    </row>
    <row r="204" ht="12.75">
      <c r="D204" s="1497"/>
    </row>
    <row r="205" ht="12.75">
      <c r="D205" s="1497"/>
    </row>
    <row r="206" ht="12.75">
      <c r="D206" s="1497"/>
    </row>
    <row r="207" ht="12.75">
      <c r="D207" s="1497"/>
    </row>
    <row r="208" ht="12.75">
      <c r="D208" s="1497"/>
    </row>
    <row r="209" ht="12.75">
      <c r="D209" s="1497"/>
    </row>
    <row r="210" ht="12.75">
      <c r="D210" s="1497"/>
    </row>
    <row r="211" ht="12.75">
      <c r="D211" s="1497"/>
    </row>
    <row r="212" ht="12.75">
      <c r="D212" s="1497"/>
    </row>
    <row r="213" ht="12.75">
      <c r="D213" s="1497"/>
    </row>
    <row r="214" ht="12.75">
      <c r="D214" s="1497"/>
    </row>
    <row r="215" ht="12.75">
      <c r="D215" s="1497"/>
    </row>
    <row r="216" ht="12.75">
      <c r="D216" s="1497"/>
    </row>
    <row r="217" ht="12.75">
      <c r="D217" s="1497"/>
    </row>
    <row r="218" ht="12.75">
      <c r="D218" s="1497"/>
    </row>
    <row r="219" ht="12.75">
      <c r="D219" s="1497"/>
    </row>
    <row r="220" ht="12.75">
      <c r="D220" s="1497"/>
    </row>
    <row r="221" ht="12.75">
      <c r="D221" s="1497"/>
    </row>
    <row r="222" ht="12.75">
      <c r="D222" s="1497"/>
    </row>
    <row r="223" ht="12.75">
      <c r="D223" s="1497"/>
    </row>
    <row r="224" ht="12.75">
      <c r="D224" s="1497"/>
    </row>
    <row r="225" ht="12.75">
      <c r="D225" s="1497"/>
    </row>
  </sheetData>
  <mergeCells count="3">
    <mergeCell ref="A2:D2"/>
    <mergeCell ref="A3:C3"/>
    <mergeCell ref="B4:C4"/>
  </mergeCells>
  <printOptions horizontalCentered="1"/>
  <pageMargins left="0" right="0" top="0.984251968503937" bottom="0.7874015748031497" header="0.5118110236220472" footer="0.5118110236220472"/>
  <pageSetup firstPageNumber="83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G7">
      <selection activeCell="N17" sqref="N17"/>
    </sheetView>
  </sheetViews>
  <sheetFormatPr defaultColWidth="9.00390625" defaultRowHeight="12.75"/>
  <cols>
    <col min="1" max="1" width="4.00390625" style="1502" customWidth="1"/>
    <col min="2" max="2" width="27.125" style="1507" customWidth="1"/>
    <col min="3" max="3" width="7.875" style="1502" customWidth="1"/>
    <col min="4" max="4" width="6.00390625" style="1502" customWidth="1"/>
    <col min="5" max="5" width="7.00390625" style="1502" customWidth="1"/>
    <col min="6" max="6" width="13.75390625" style="1502" customWidth="1"/>
    <col min="7" max="7" width="5.25390625" style="1502" customWidth="1"/>
    <col min="8" max="8" width="14.75390625" style="1502" customWidth="1"/>
    <col min="9" max="9" width="4.375" style="1502" customWidth="1"/>
    <col min="10" max="10" width="14.875" style="1502" customWidth="1"/>
    <col min="11" max="11" width="0" style="1502" hidden="1" customWidth="1"/>
    <col min="12" max="12" width="6.375" style="1502" customWidth="1"/>
    <col min="13" max="13" width="17.875" style="1502" customWidth="1"/>
    <col min="14" max="14" width="9.875" style="1502" customWidth="1"/>
    <col min="15" max="15" width="5.00390625" style="1502" customWidth="1"/>
    <col min="16" max="16384" width="10.00390625" style="1502" customWidth="1"/>
  </cols>
  <sheetData>
    <row r="1" spans="1:14" ht="31.5" customHeight="1">
      <c r="A1" s="1498"/>
      <c r="B1" s="1499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500" t="s">
        <v>729</v>
      </c>
      <c r="N1" s="1501"/>
    </row>
    <row r="2" spans="1:14" s="1506" customFormat="1" ht="33.75" customHeight="1">
      <c r="A2" s="1503" t="s">
        <v>65</v>
      </c>
      <c r="B2" s="1504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</row>
    <row r="3" spans="1:14" s="1506" customFormat="1" ht="13.5" customHeight="1">
      <c r="A3" s="1505"/>
      <c r="B3" s="1504"/>
      <c r="C3" s="1505"/>
      <c r="D3" s="1505"/>
      <c r="E3" s="1505"/>
      <c r="F3" s="1505"/>
      <c r="G3" s="1505"/>
      <c r="H3" s="1505"/>
      <c r="I3" s="1505"/>
      <c r="J3" s="1505"/>
      <c r="K3" s="1505"/>
      <c r="L3" s="1505"/>
      <c r="N3" s="1505"/>
    </row>
    <row r="4" ht="24" customHeight="1" thickBot="1">
      <c r="M4" s="1508" t="s">
        <v>541</v>
      </c>
    </row>
    <row r="5" spans="1:14" ht="26.25" customHeight="1" thickTop="1">
      <c r="A5" s="1509" t="s">
        <v>66</v>
      </c>
      <c r="B5" s="1510" t="s">
        <v>67</v>
      </c>
      <c r="C5" s="1511" t="s">
        <v>68</v>
      </c>
      <c r="D5" s="1511"/>
      <c r="E5" s="1512" t="s">
        <v>69</v>
      </c>
      <c r="F5" s="1513"/>
      <c r="G5" s="1511" t="s">
        <v>70</v>
      </c>
      <c r="H5" s="1511"/>
      <c r="I5" s="1512" t="s">
        <v>71</v>
      </c>
      <c r="J5" s="1513"/>
      <c r="K5" s="1514"/>
      <c r="L5" s="1511" t="s">
        <v>72</v>
      </c>
      <c r="M5" s="1515"/>
      <c r="N5" s="1516" t="s">
        <v>73</v>
      </c>
    </row>
    <row r="6" spans="1:14" s="1525" customFormat="1" ht="41.25" customHeight="1">
      <c r="A6" s="1517"/>
      <c r="B6" s="1518"/>
      <c r="C6" s="1519" t="s">
        <v>74</v>
      </c>
      <c r="D6" s="1520" t="s">
        <v>75</v>
      </c>
      <c r="E6" s="1521" t="s">
        <v>76</v>
      </c>
      <c r="F6" s="1521" t="s">
        <v>77</v>
      </c>
      <c r="G6" s="1521" t="s">
        <v>76</v>
      </c>
      <c r="H6" s="1521" t="s">
        <v>77</v>
      </c>
      <c r="I6" s="1521" t="s">
        <v>76</v>
      </c>
      <c r="J6" s="1521" t="s">
        <v>77</v>
      </c>
      <c r="K6" s="1522"/>
      <c r="L6" s="1521" t="s">
        <v>76</v>
      </c>
      <c r="M6" s="1523" t="s">
        <v>77</v>
      </c>
      <c r="N6" s="1524" t="s">
        <v>78</v>
      </c>
    </row>
    <row r="7" spans="1:14" s="1528" customFormat="1" ht="11.25" customHeight="1">
      <c r="A7" s="699">
        <v>1</v>
      </c>
      <c r="B7" s="700">
        <v>2</v>
      </c>
      <c r="C7" s="1526">
        <v>3</v>
      </c>
      <c r="D7" s="1526">
        <v>4</v>
      </c>
      <c r="E7" s="1526">
        <v>5</v>
      </c>
      <c r="F7" s="1526">
        <v>6</v>
      </c>
      <c r="G7" s="1526">
        <v>7</v>
      </c>
      <c r="H7" s="701">
        <v>8</v>
      </c>
      <c r="I7" s="1526">
        <v>9</v>
      </c>
      <c r="J7" s="1526">
        <v>10</v>
      </c>
      <c r="K7" s="1526"/>
      <c r="L7" s="1526">
        <v>11</v>
      </c>
      <c r="M7" s="1526">
        <v>12</v>
      </c>
      <c r="N7" s="1527">
        <v>13</v>
      </c>
    </row>
    <row r="8" spans="1:15" ht="24" customHeight="1">
      <c r="A8" s="1529">
        <v>1</v>
      </c>
      <c r="B8" s="1530" t="s">
        <v>79</v>
      </c>
      <c r="C8" s="1531">
        <v>7</v>
      </c>
      <c r="D8" s="1532">
        <v>72</v>
      </c>
      <c r="E8" s="1532">
        <v>15</v>
      </c>
      <c r="F8" s="1533">
        <v>920735.63</v>
      </c>
      <c r="G8" s="1532">
        <v>37</v>
      </c>
      <c r="H8" s="1533">
        <v>2652781.94</v>
      </c>
      <c r="I8" s="1532">
        <f>'[1]BI'!I7+'[1]GK'!I7+'[1]E'!I7+'[1]BZP'!I7+'[1]PA'!I7+'[1]KS'!I7+'[1]IK-in'!I7+'[1]KM'!I7+'[1]IK - kom'!I7+'[1]FK'!I7+'[1]FN'!I7+'[1]N'!I7+'[1]A'!I7+'[1]RWZ'!I7+'[1]PI'!I7+'[1]SO'!I7+'[1]OA'!I7</f>
        <v>27</v>
      </c>
      <c r="J8" s="1533">
        <v>14386554.11</v>
      </c>
      <c r="K8" s="1534"/>
      <c r="L8" s="1534">
        <v>79</v>
      </c>
      <c r="M8" s="1535">
        <f aca="true" t="shared" si="0" ref="M8:M14">F8+H8+J8</f>
        <v>17960071.68</v>
      </c>
      <c r="N8" s="1536">
        <v>78</v>
      </c>
      <c r="O8" s="1537"/>
    </row>
    <row r="9" spans="1:15" ht="23.25" customHeight="1">
      <c r="A9" s="1538">
        <v>2</v>
      </c>
      <c r="B9" s="1539" t="s">
        <v>80</v>
      </c>
      <c r="C9" s="1531">
        <f>'[1]BI'!C8+'[1]GK'!C8+'[1]E'!C8+'[1]BZP'!C8+'[1]PA'!C8+'[1]KS'!C8+'[1]IK-in'!C8+'[1]KM'!C8+'[1]IK - kom'!C8+'[1]FK'!C8+'[1]FN'!C8+'[1]N'!C8+'[1]A'!C8+'[1]RWZ'!C8+'[1]PI'!C8+'[1]SO'!C8+'[1]OA'!C8</f>
        <v>0</v>
      </c>
      <c r="D9" s="1532">
        <f>'[1]BI'!D8+'[1]GK'!D8+'[1]E'!D8+'[1]BZP'!D8+'[1]PA'!D8+'[1]KS'!D8+'[1]IK-in'!D8+'[1]KM'!D8+'[1]IK - kom'!D8+'[1]FK'!D8+'[1]FN'!D8+'[1]N'!D8+'[1]A'!D8+'[1]RWZ'!D8+'[1]PI'!D8+'[1]SO'!D8+'[1]OA'!D8</f>
        <v>0</v>
      </c>
      <c r="E9" s="1532">
        <f>'[1]BI'!E8+'[1]GK'!E8+'[1]E'!E8+'[1]BZP'!E8+'[1]PA'!E8+'[1]KS'!E8+'[1]IK-in'!E8+'[1]KM'!E8+'[1]IK - kom'!E8+'[1]FK'!E8+'[1]FN'!E8+'[1]N'!E8+'[1]A'!E8+'[1]RWZ'!E8+'[1]PI'!E8+'[1]SO'!E8+'[1]OA'!E8</f>
        <v>0</v>
      </c>
      <c r="F9" s="1540">
        <v>0</v>
      </c>
      <c r="G9" s="1532">
        <f>'[1]BI'!G8+'[1]GK'!G8+'[1]E'!G8+'[1]BZP'!G8+'[1]PA'!G8+'[1]KS'!G8+'[1]IK-in'!G8+'[1]KM'!G8+'[1]IK - kom'!G8+'[1]FK'!G8+'[1]FN'!G8+'[1]N'!G8+'[1]A'!G8+'[1]RWZ'!G8+'[1]PI'!G8+'[1]SO'!G8+'[1]OA'!G8</f>
        <v>0</v>
      </c>
      <c r="H9" s="1541">
        <v>0</v>
      </c>
      <c r="I9" s="1532">
        <f>'[1]BI'!I8+'[1]GK'!I8+'[1]E'!I8+'[1]BZP'!I8+'[1]PA'!I8+'[1]KS'!I8+'[1]IK-in'!I8+'[1]KM'!I8+'[1]IK - kom'!I8+'[1]FK'!I8+'[1]FN'!I8+'[1]N'!I8+'[1]A'!I8+'[1]RWZ'!I8+'[1]PI'!I8+'[1]SO'!I8+'[1]OA'!I8</f>
        <v>0</v>
      </c>
      <c r="J9" s="1541">
        <v>0</v>
      </c>
      <c r="K9" s="1534"/>
      <c r="L9" s="1534">
        <f>I9+G9+E9</f>
        <v>0</v>
      </c>
      <c r="M9" s="1542">
        <f t="shared" si="0"/>
        <v>0</v>
      </c>
      <c r="N9" s="1536">
        <f>'[1]BI'!N8+'[1]GK'!N8+'[1]E'!N8+'[1]BZP'!N8+'[1]PA'!N8+'[1]KS'!N8+'[1]IK-in'!N8+'[1]KM'!N8+'[1]IK - kom'!N8+'[1]FK'!N8+'[1]FN'!N8+'[1]N'!N8+'[1]A'!N8+'[1]RWZ'!N8+'[1]PI'!N8+'[1]SO'!N8+'[1]OA'!N8</f>
        <v>0</v>
      </c>
      <c r="O9" s="1537"/>
    </row>
    <row r="10" spans="1:15" ht="29.25" customHeight="1">
      <c r="A10" s="1538">
        <v>3</v>
      </c>
      <c r="B10" s="1543" t="s">
        <v>81</v>
      </c>
      <c r="C10" s="1531">
        <f>'[1]BI'!C12+'[1]GK'!C12+'[1]E'!C12+'[1]BZP'!C12+'[1]PA'!C12+'[1]KS'!C12+'[1]IK-in'!C12+'[1]KM'!C12+'[1]IK - kom'!C12+'[1]FK'!C12+'[1]FN'!C12+'[1]N'!C12+'[1]A'!C12+'[1]RWZ'!C12+'[1]PI'!C12+'[1]SO'!C12+'[1]OA'!C12</f>
        <v>0</v>
      </c>
      <c r="D10" s="1532">
        <f>'[1]BI'!D12+'[1]GK'!D12+'[1]E'!D12+'[1]BZP'!D12+'[1]PA'!D12+'[1]KS'!D12+'[1]IK-in'!D12+'[1]KM'!D12+'[1]IK - kom'!D12+'[1]FK'!D12+'[1]FN'!D12+'[1]N'!D12+'[1]A'!D12+'[1]RWZ'!D12+'[1]PI'!D12+'[1]SO'!D12+'[1]OA'!D12</f>
        <v>0</v>
      </c>
      <c r="E10" s="1532">
        <f>'[1]BI'!E12+'[1]GK'!E12+'[1]E'!E12+'[1]BZP'!E12+'[1]PA'!E12+'[1]KS'!E12+'[1]IK-in'!E12+'[1]KM'!E12+'[1]IK - kom'!E12+'[1]FK'!E12+'[1]FN'!E12+'[1]N'!E12+'[1]A'!E12+'[1]RWZ'!E12+'[1]PI'!E12+'[1]SO'!E12+'[1]OA'!E12</f>
        <v>0</v>
      </c>
      <c r="F10" s="1540">
        <v>0</v>
      </c>
      <c r="G10" s="1532">
        <f>'[1]BI'!G12+'[1]GK'!G12+'[1]E'!G12+'[1]BZP'!G12+'[1]PA'!G12+'[1]KS'!G12+'[1]IK-in'!G12+'[1]KM'!G12+'[1]IK - kom'!G12+'[1]FK'!G12+'[1]FN'!G12+'[1]N'!G12+'[1]A'!G12+'[1]RWZ'!G12+'[1]PI'!G12+'[1]SO'!G12+'[1]OA'!G12</f>
        <v>0</v>
      </c>
      <c r="H10" s="1541">
        <v>0</v>
      </c>
      <c r="I10" s="1532">
        <f>'[1]BI'!I12+'[1]GK'!I12+'[1]E'!I12+'[1]BZP'!I12+'[1]PA'!I12+'[1]KS'!I12+'[1]IK-in'!I12+'[1]KM'!I12+'[1]IK - kom'!I12+'[1]FK'!I12+'[1]FN'!I12+'[1]N'!I12+'[1]A'!I12+'[1]RWZ'!I12+'[1]PI'!I12+'[1]SO'!I12+'[1]OA'!I12</f>
        <v>0</v>
      </c>
      <c r="J10" s="1541">
        <v>0</v>
      </c>
      <c r="K10" s="1534"/>
      <c r="L10" s="1534">
        <f>I10+E10+G10</f>
        <v>0</v>
      </c>
      <c r="M10" s="1542">
        <f t="shared" si="0"/>
        <v>0</v>
      </c>
      <c r="N10" s="1536">
        <f>'[1]BI'!N12+'[1]GK'!N12+'[1]E'!N12+'[1]BZP'!N12+'[1]PA'!N12+'[1]KS'!N12+'[1]IK-in'!N12+'[1]KM'!N12+'[1]IK - kom'!N12+'[1]FK'!N12+'[1]FN'!N12+'[1]N'!N12+'[1]A'!N12+'[1]RWZ'!N12+'[1]PI'!N12+'[1]SO'!N12+'[1]OA'!N12</f>
        <v>0</v>
      </c>
      <c r="O10" s="1537"/>
    </row>
    <row r="11" spans="1:15" s="1553" customFormat="1" ht="23.25" customHeight="1">
      <c r="A11" s="1544" t="s">
        <v>933</v>
      </c>
      <c r="B11" s="1545" t="s">
        <v>82</v>
      </c>
      <c r="C11" s="1546">
        <f>'[1]BI'!C13+'[1]GK'!C13+'[1]E'!C13+'[1]BZP'!C13+'[1]PA'!C13+'[1]KS'!C13+'[1]IK-in'!C13+'[1]KM'!C13+'[1]IK - kom'!C13+'[1]FK'!C13+'[1]FN'!C13+'[1]N'!C13+'[1]A'!C13+'[1]RWZ'!C13+'[1]PI'!C13+'[1]SO'!C13+'[1]OA'!C13</f>
        <v>0</v>
      </c>
      <c r="D11" s="1547">
        <f>'[1]BI'!D13+'[1]GK'!D13+'[1]E'!D13+'[1]BZP'!D13+'[1]PA'!D13+'[1]KS'!D13+'[1]IK-in'!D13+'[1]KM'!D13+'[1]IK - kom'!D13+'[1]FK'!D13+'[1]FN'!D13+'[1]N'!D13+'[1]A'!D13+'[1]RWZ'!D13+'[1]PI'!D13+'[1]SO'!D13+'[1]OA'!D13</f>
        <v>0</v>
      </c>
      <c r="E11" s="1547">
        <f>'[1]BI'!E13+'[1]GK'!E13+'[1]E'!E13+'[1]BZP'!E13+'[1]PA'!E13+'[1]KS'!E13+'[1]IK-in'!E13+'[1]KM'!E13+'[1]IK - kom'!E13+'[1]FK'!E13+'[1]FN'!E13+'[1]N'!E13+'[1]A'!E13+'[1]RWZ'!E13+'[1]PI'!E13+'[1]SO'!E13+'[1]OA'!E13</f>
        <v>0</v>
      </c>
      <c r="F11" s="1548">
        <v>0</v>
      </c>
      <c r="G11" s="1547">
        <f>'[1]BI'!G13+'[1]GK'!G13+'[1]E'!G13+'[1]BZP'!G13+'[1]PA'!G13+'[1]KS'!G13+'[1]IK-in'!G13+'[1]KM'!G13+'[1]IK - kom'!G13+'[1]FK'!G13+'[1]FN'!G13+'[1]N'!G13+'[1]A'!G13+'[1]RWZ'!G13+'[1]PI'!G13+'[1]SO'!G13+'[1]OA'!G13</f>
        <v>0</v>
      </c>
      <c r="H11" s="1549">
        <v>0</v>
      </c>
      <c r="I11" s="1547">
        <f>'[1]BI'!I13+'[1]GK'!I13+'[1]E'!I13+'[1]BZP'!I13+'[1]PA'!I13+'[1]KS'!I13+'[1]IK-in'!I13+'[1]KM'!I13+'[1]IK - kom'!I13+'[1]FK'!I13+'[1]FN'!I13+'[1]N'!I13+'[1]A'!I13+'[1]RWZ'!I13+'[1]PI'!I13+'[1]SO'!I13+'[1]OA'!I13</f>
        <v>0</v>
      </c>
      <c r="J11" s="1549">
        <v>0</v>
      </c>
      <c r="K11" s="1550"/>
      <c r="L11" s="1550">
        <v>0</v>
      </c>
      <c r="M11" s="1542">
        <f t="shared" si="0"/>
        <v>0</v>
      </c>
      <c r="N11" s="1551">
        <f>'[1]BI'!N13+'[1]GK'!N13+'[1]E'!N13+'[1]BZP'!N13+'[1]PA'!N13+'[1]KS'!N13+'[1]IK-in'!N13+'[1]KM'!N13+'[1]IK - kom'!N13+'[1]FK'!N13+'[1]FN'!N13+'[1]N'!N13+'[1]A'!N13+'[1]RWZ'!N13+'[1]PI'!N13+'[1]SO'!N13+'[1]OA'!N13</f>
        <v>0</v>
      </c>
      <c r="O11" s="1552"/>
    </row>
    <row r="12" spans="1:15" ht="24" customHeight="1">
      <c r="A12" s="1538">
        <v>5</v>
      </c>
      <c r="B12" s="1530" t="s">
        <v>83</v>
      </c>
      <c r="C12" s="1531">
        <v>0</v>
      </c>
      <c r="D12" s="1532">
        <v>6</v>
      </c>
      <c r="E12" s="1532">
        <v>3</v>
      </c>
      <c r="F12" s="1533">
        <v>176516</v>
      </c>
      <c r="G12" s="1532">
        <v>3</v>
      </c>
      <c r="H12" s="1533">
        <v>118848</v>
      </c>
      <c r="I12" s="1532">
        <f>'[1]BI'!I14+'[1]GK'!I14+'[1]E'!I14+'[1]BZP'!I14+'[1]PA'!I14+'[1]KS'!I14+'[1]IK-in'!I14+'[1]KM'!I14+'[1]IK - kom'!I14+'[1]FK'!I14+'[1]FN'!I14+'[1]N'!I14+'[1]A'!I14+'[1]RWZ'!I14+'[1]PI'!I14+'[1]SO'!I14+'[1]OA'!I14</f>
        <v>0</v>
      </c>
      <c r="J12" s="1541">
        <f>'[1]BI'!J14+'[1]GK'!J14+'[1]E'!J14+'[1]BZP'!J14+'[1]PA'!J14+'[1]KS'!J14+'[1]IK-in'!J14+'[1]KM'!J14+'[1]IK - kom'!J14+'[1]FK'!J14+'[1]FN'!J14+'[1]N'!J14+'[1]A'!J14+'[1]RWZ'!J14+'[1]PI'!J14+'[1]SO'!J14+'[1]OA'!J14</f>
        <v>0</v>
      </c>
      <c r="K12" s="1534"/>
      <c r="L12" s="1534">
        <f>E12+G12+I12</f>
        <v>6</v>
      </c>
      <c r="M12" s="1554">
        <f t="shared" si="0"/>
        <v>295364</v>
      </c>
      <c r="N12" s="1536">
        <v>6</v>
      </c>
      <c r="O12" s="1537"/>
    </row>
    <row r="13" spans="1:15" ht="23.25" customHeight="1">
      <c r="A13" s="1538">
        <v>6</v>
      </c>
      <c r="B13" s="1530" t="s">
        <v>84</v>
      </c>
      <c r="C13" s="1531">
        <f>'[1]BI'!C16+'[1]GK'!C16+'[1]E'!C16+'[1]BZP'!C16+'[1]PA'!C16+'[1]KS'!C16+'[1]IK-in'!C16+'[1]KM'!C16+'[1]IK - kom'!C16+'[1]FK'!C16+'[1]FN'!C16+'[1]N'!C16+'[1]A'!C16+'[1]RWZ'!C16+'[1]PI'!C16+'[1]SO'!C16+'[1]OA'!C16</f>
        <v>0</v>
      </c>
      <c r="D13" s="1532">
        <v>68</v>
      </c>
      <c r="E13" s="1532">
        <v>44</v>
      </c>
      <c r="F13" s="1533">
        <v>2011204</v>
      </c>
      <c r="G13" s="1532">
        <v>20</v>
      </c>
      <c r="H13" s="1533">
        <v>872626.15</v>
      </c>
      <c r="I13" s="1532">
        <v>4</v>
      </c>
      <c r="J13" s="1533">
        <v>282181.69</v>
      </c>
      <c r="K13" s="1534"/>
      <c r="L13" s="1555">
        <f>I13+G13+E13</f>
        <v>68</v>
      </c>
      <c r="M13" s="1554">
        <f t="shared" si="0"/>
        <v>3166011.84</v>
      </c>
      <c r="N13" s="1536">
        <v>63</v>
      </c>
      <c r="O13" s="1537"/>
    </row>
    <row r="14" spans="1:15" s="965" customFormat="1" ht="23.25" customHeight="1" thickBot="1">
      <c r="A14" s="1556">
        <v>7</v>
      </c>
      <c r="B14" s="1557" t="s">
        <v>85</v>
      </c>
      <c r="C14" s="1558">
        <f>'[1]BI'!C17+'[1]GK'!C17+'[1]E'!C17+'[1]BZP'!C17+'[1]PA'!C17+'[1]KS'!C17+'[1]IK-in'!C17+'[1]KM'!C17+'[1]IK - kom'!C17+'[1]FK'!C17+'[1]FN'!C17+'[1]N'!C17+'[1]A'!C17+'[1]RWZ'!C17+'[1]PI'!C17+'[1]SO'!C17+'[1]OA'!C17</f>
        <v>0</v>
      </c>
      <c r="D14" s="1559">
        <v>0</v>
      </c>
      <c r="E14" s="1559">
        <v>0</v>
      </c>
      <c r="F14" s="1560">
        <v>0</v>
      </c>
      <c r="G14" s="1561">
        <v>0</v>
      </c>
      <c r="H14" s="1560">
        <v>0</v>
      </c>
      <c r="I14" s="1561">
        <f>'[1]BI'!I17+'[1]GK'!I17+'[1]E'!I17+'[1]BZP'!I17+'[1]PA'!I17+'[1]KS'!I17+'[1]IK-in'!I17+'[1]KM'!I17+'[1]IK - kom'!I17+'[1]FK'!I17+'[1]FN'!I17+'[1]N'!I17+'[1]A'!I17+'[1]RWZ'!I17+'[1]PI'!I17+'[1]SO'!I17+'[1]OA'!I17</f>
        <v>0</v>
      </c>
      <c r="J14" s="1560">
        <f>'[1]BI'!J17+'[1]GK'!J17+'[1]E'!J17+'[1]BZP'!J17+'[1]PA'!J17+'[1]KS'!J17+'[1]IK-in'!J17+'[1]KM'!J17+'[1]IK - kom'!J17+'[1]FK'!J17+'[1]FN'!J17+'[1]N'!J17+'[1]A'!J17+'[1]RWZ'!J17+'[1]PI'!J17+'[1]SO'!J17+'[1]OA'!J17</f>
        <v>0</v>
      </c>
      <c r="K14" s="1562"/>
      <c r="L14" s="1562">
        <f>I14+G14+E14</f>
        <v>0</v>
      </c>
      <c r="M14" s="1542">
        <f t="shared" si="0"/>
        <v>0</v>
      </c>
      <c r="N14" s="1563">
        <v>0</v>
      </c>
      <c r="O14" s="1564"/>
    </row>
    <row r="15" spans="1:15" ht="24.75" customHeight="1" thickBot="1" thickTop="1">
      <c r="A15" s="1565"/>
      <c r="B15" s="1566" t="s">
        <v>72</v>
      </c>
      <c r="C15" s="1567">
        <f>SUM(C8:C14)</f>
        <v>7</v>
      </c>
      <c r="D15" s="1567">
        <f aca="true" t="shared" si="1" ref="D15:N15">SUM(D8:D14)</f>
        <v>146</v>
      </c>
      <c r="E15" s="1567">
        <f t="shared" si="1"/>
        <v>62</v>
      </c>
      <c r="F15" s="1568">
        <f t="shared" si="1"/>
        <v>3108455.63</v>
      </c>
      <c r="G15" s="1569">
        <f t="shared" si="1"/>
        <v>60</v>
      </c>
      <c r="H15" s="1568">
        <f t="shared" si="1"/>
        <v>3644256.09</v>
      </c>
      <c r="I15" s="1569">
        <f t="shared" si="1"/>
        <v>31</v>
      </c>
      <c r="J15" s="1568">
        <f t="shared" si="1"/>
        <v>14668735.799999999</v>
      </c>
      <c r="K15" s="1570">
        <f t="shared" si="1"/>
        <v>0</v>
      </c>
      <c r="L15" s="1569">
        <f t="shared" si="1"/>
        <v>153</v>
      </c>
      <c r="M15" s="1568">
        <f t="shared" si="1"/>
        <v>21421447.52</v>
      </c>
      <c r="N15" s="1571">
        <f t="shared" si="1"/>
        <v>147</v>
      </c>
      <c r="O15" s="1537"/>
    </row>
    <row r="16" ht="23.25" customHeight="1" thickTop="1"/>
    <row r="17" spans="1:14" ht="14.25" customHeight="1">
      <c r="A17" s="1572"/>
      <c r="N17" s="1573"/>
    </row>
  </sheetData>
  <printOptions horizontalCentered="1"/>
  <pageMargins left="0" right="0" top="0.984251968503937" bottom="0.7874015748031497" header="0.5118110236220472" footer="0.5118110236220472"/>
  <pageSetup firstPageNumber="88" useFirstPageNumber="1" horizontalDpi="600" verticalDpi="600" orientation="landscape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310"/>
  <sheetViews>
    <sheetView tabSelected="1" workbookViewId="0" topLeftCell="A1298">
      <selection activeCell="B1313" sqref="B1313"/>
    </sheetView>
  </sheetViews>
  <sheetFormatPr defaultColWidth="9.00390625" defaultRowHeight="12.75"/>
  <cols>
    <col min="1" max="1" width="5.75390625" style="1574" customWidth="1"/>
    <col min="2" max="2" width="20.125" style="961" customWidth="1"/>
    <col min="3" max="3" width="11.75390625" style="1575" customWidth="1"/>
    <col min="4" max="4" width="11.375" style="1576" customWidth="1"/>
    <col min="5" max="5" width="10.875" style="1575" customWidth="1"/>
    <col min="6" max="6" width="5.00390625" style="1577" customWidth="1"/>
    <col min="7" max="7" width="12.25390625" style="1575" customWidth="1"/>
    <col min="8" max="8" width="11.125" style="1575" customWidth="1"/>
    <col min="9" max="9" width="5.00390625" style="1578" customWidth="1"/>
    <col min="10" max="11" width="9.875" style="1575" customWidth="1"/>
    <col min="12" max="12" width="5.00390625" style="1578" customWidth="1"/>
    <col min="13" max="14" width="12.875" style="1575" customWidth="1"/>
    <col min="15" max="15" width="4.875" style="1580" customWidth="1"/>
    <col min="16" max="16" width="9.00390625" style="1575" customWidth="1"/>
    <col min="17" max="17" width="9.375" style="1575" customWidth="1"/>
    <col min="18" max="18" width="5.00390625" style="1580" customWidth="1"/>
    <col min="19" max="16384" width="9.125" style="830" customWidth="1"/>
  </cols>
  <sheetData>
    <row r="1" spans="13:14" ht="12.75" hidden="1">
      <c r="M1" s="1579"/>
      <c r="N1" s="1579"/>
    </row>
    <row r="2" spans="1:18" ht="15.75">
      <c r="A2" s="1581"/>
      <c r="B2" s="1582"/>
      <c r="C2" s="1583"/>
      <c r="D2" s="1584"/>
      <c r="E2" s="1583"/>
      <c r="F2" s="1585"/>
      <c r="G2" s="1583"/>
      <c r="H2" s="1583"/>
      <c r="I2" s="1586"/>
      <c r="J2" s="1583"/>
      <c r="K2" s="1583"/>
      <c r="L2" s="1586"/>
      <c r="M2" s="1583"/>
      <c r="N2" s="1583"/>
      <c r="O2" s="880"/>
      <c r="P2" s="1587"/>
      <c r="Q2" s="1588"/>
      <c r="R2" s="1589"/>
    </row>
    <row r="3" spans="1:18" s="1599" customFormat="1" ht="29.25" customHeight="1">
      <c r="A3" s="1590" t="s">
        <v>86</v>
      </c>
      <c r="B3" s="1591"/>
      <c r="C3" s="1592"/>
      <c r="D3" s="1593"/>
      <c r="E3" s="1592"/>
      <c r="F3" s="1594"/>
      <c r="G3" s="1592"/>
      <c r="H3" s="1592"/>
      <c r="I3" s="1595"/>
      <c r="J3" s="1592"/>
      <c r="K3" s="1592"/>
      <c r="L3" s="1596"/>
      <c r="M3" s="1593"/>
      <c r="N3" s="1593"/>
      <c r="O3" s="1597"/>
      <c r="P3" s="1598"/>
      <c r="Q3" s="1598"/>
      <c r="R3" s="1597"/>
    </row>
    <row r="4" spans="1:18" ht="12" customHeight="1" thickBot="1">
      <c r="A4" s="1600"/>
      <c r="B4" s="1601"/>
      <c r="C4" s="1602"/>
      <c r="D4" s="1593"/>
      <c r="E4" s="1602"/>
      <c r="F4" s="1594"/>
      <c r="G4" s="1602"/>
      <c r="H4" s="1602"/>
      <c r="I4" s="1595"/>
      <c r="J4" s="1602"/>
      <c r="K4" s="1602"/>
      <c r="L4" s="1595"/>
      <c r="M4" s="1603"/>
      <c r="N4" s="1603"/>
      <c r="O4" s="1604"/>
      <c r="P4" s="1605" t="s">
        <v>541</v>
      </c>
      <c r="Q4" s="1598"/>
      <c r="R4" s="1597"/>
    </row>
    <row r="5" spans="1:18" s="857" customFormat="1" ht="18" customHeight="1" thickTop="1">
      <c r="A5" s="846" t="s">
        <v>815</v>
      </c>
      <c r="B5" s="1606"/>
      <c r="C5" s="1607" t="s">
        <v>568</v>
      </c>
      <c r="D5" s="1608"/>
      <c r="E5" s="1609"/>
      <c r="F5" s="1610"/>
      <c r="G5" s="1611" t="s">
        <v>87</v>
      </c>
      <c r="H5" s="849"/>
      <c r="I5" s="1612"/>
      <c r="J5" s="1613" t="s">
        <v>88</v>
      </c>
      <c r="K5" s="1614"/>
      <c r="L5" s="1615"/>
      <c r="M5" s="1616" t="s">
        <v>89</v>
      </c>
      <c r="N5" s="1617"/>
      <c r="O5" s="1618"/>
      <c r="P5" s="1617" t="s">
        <v>90</v>
      </c>
      <c r="Q5" s="1617"/>
      <c r="R5" s="1619"/>
    </row>
    <row r="6" spans="1:18" s="865" customFormat="1" ht="36" customHeight="1" thickBot="1">
      <c r="A6" s="858" t="s">
        <v>817</v>
      </c>
      <c r="B6" s="1620" t="s">
        <v>818</v>
      </c>
      <c r="C6" s="1621" t="s">
        <v>546</v>
      </c>
      <c r="D6" s="1622" t="s">
        <v>91</v>
      </c>
      <c r="E6" s="1622" t="s">
        <v>734</v>
      </c>
      <c r="F6" s="1623" t="s">
        <v>820</v>
      </c>
      <c r="G6" s="1624" t="s">
        <v>547</v>
      </c>
      <c r="H6" s="1625" t="s">
        <v>734</v>
      </c>
      <c r="I6" s="1626" t="s">
        <v>821</v>
      </c>
      <c r="J6" s="1624" t="s">
        <v>547</v>
      </c>
      <c r="K6" s="861" t="s">
        <v>734</v>
      </c>
      <c r="L6" s="1627" t="s">
        <v>822</v>
      </c>
      <c r="M6" s="1624" t="s">
        <v>547</v>
      </c>
      <c r="N6" s="1628" t="s">
        <v>734</v>
      </c>
      <c r="O6" s="1629" t="s">
        <v>822</v>
      </c>
      <c r="P6" s="1624" t="s">
        <v>547</v>
      </c>
      <c r="Q6" s="1630" t="s">
        <v>734</v>
      </c>
      <c r="R6" s="1629" t="s">
        <v>821</v>
      </c>
    </row>
    <row r="7" spans="1:18" s="1638" customFormat="1" ht="15" customHeight="1" thickBot="1" thickTop="1">
      <c r="A7" s="1631">
        <v>1</v>
      </c>
      <c r="B7" s="1632">
        <v>2</v>
      </c>
      <c r="C7" s="1633">
        <v>3</v>
      </c>
      <c r="D7" s="1634">
        <v>4</v>
      </c>
      <c r="E7" s="1634">
        <v>5</v>
      </c>
      <c r="F7" s="1635">
        <v>6</v>
      </c>
      <c r="G7" s="1634">
        <v>7</v>
      </c>
      <c r="H7" s="1636">
        <v>8</v>
      </c>
      <c r="I7" s="1637">
        <v>9</v>
      </c>
      <c r="J7" s="1636">
        <v>10</v>
      </c>
      <c r="K7" s="1634">
        <v>11</v>
      </c>
      <c r="L7" s="1637">
        <v>12</v>
      </c>
      <c r="M7" s="1636">
        <v>13</v>
      </c>
      <c r="N7" s="1634">
        <v>14</v>
      </c>
      <c r="O7" s="1637">
        <v>15</v>
      </c>
      <c r="P7" s="1636">
        <v>16</v>
      </c>
      <c r="Q7" s="1636">
        <v>17</v>
      </c>
      <c r="R7" s="1637">
        <v>18</v>
      </c>
    </row>
    <row r="8" spans="1:18" s="1650" customFormat="1" ht="26.25" customHeight="1" thickBot="1" thickTop="1">
      <c r="A8" s="1639" t="s">
        <v>595</v>
      </c>
      <c r="B8" s="1640" t="s">
        <v>92</v>
      </c>
      <c r="C8" s="1641">
        <f>C11+C29</f>
        <v>1600</v>
      </c>
      <c r="D8" s="876">
        <f aca="true" t="shared" si="0" ref="D8:E41">G8+J8+P8+M8</f>
        <v>1600</v>
      </c>
      <c r="E8" s="876">
        <f t="shared" si="0"/>
        <v>478</v>
      </c>
      <c r="F8" s="1642">
        <f>E8/D8*100</f>
        <v>29.875</v>
      </c>
      <c r="G8" s="1643">
        <f>G29</f>
        <v>1600</v>
      </c>
      <c r="H8" s="1643">
        <f>H29</f>
        <v>478</v>
      </c>
      <c r="I8" s="1644">
        <f>H8/G8*100</f>
        <v>29.875</v>
      </c>
      <c r="J8" s="1645"/>
      <c r="K8" s="1646"/>
      <c r="L8" s="1647"/>
      <c r="M8" s="1646"/>
      <c r="N8" s="1646"/>
      <c r="O8" s="1648"/>
      <c r="P8" s="1643"/>
      <c r="Q8" s="1643"/>
      <c r="R8" s="1649"/>
    </row>
    <row r="9" spans="1:18" s="1650" customFormat="1" ht="26.25" customHeight="1" hidden="1">
      <c r="A9" s="1651" t="s">
        <v>93</v>
      </c>
      <c r="B9" s="1652" t="s">
        <v>94</v>
      </c>
      <c r="C9" s="1653"/>
      <c r="D9" s="906">
        <f t="shared" si="0"/>
        <v>0</v>
      </c>
      <c r="E9" s="906">
        <f t="shared" si="0"/>
        <v>0</v>
      </c>
      <c r="F9" s="1654" t="e">
        <f>E9/D9*100</f>
        <v>#DIV/0!</v>
      </c>
      <c r="G9" s="1655"/>
      <c r="H9" s="1656"/>
      <c r="I9" s="1657"/>
      <c r="J9" s="1658"/>
      <c r="K9" s="1659"/>
      <c r="L9" s="1660"/>
      <c r="M9" s="1659"/>
      <c r="N9" s="1659"/>
      <c r="O9" s="1661"/>
      <c r="P9" s="1655">
        <f>SUM(P10)</f>
        <v>0</v>
      </c>
      <c r="Q9" s="1655">
        <f>SUM(Q10)</f>
        <v>0</v>
      </c>
      <c r="R9" s="1662" t="e">
        <f>Q9/P9*100</f>
        <v>#DIV/0!</v>
      </c>
    </row>
    <row r="10" spans="1:18" s="1675" customFormat="1" ht="15.75" customHeight="1" hidden="1">
      <c r="A10" s="1663" t="s">
        <v>95</v>
      </c>
      <c r="B10" s="1664" t="s">
        <v>96</v>
      </c>
      <c r="C10" s="1665"/>
      <c r="D10" s="893">
        <f t="shared" si="0"/>
        <v>0</v>
      </c>
      <c r="E10" s="893">
        <f t="shared" si="0"/>
        <v>0</v>
      </c>
      <c r="F10" s="1666" t="e">
        <f>E10/D10*100</f>
        <v>#DIV/0!</v>
      </c>
      <c r="G10" s="1667"/>
      <c r="H10" s="1668"/>
      <c r="I10" s="1669"/>
      <c r="J10" s="1670"/>
      <c r="K10" s="1671"/>
      <c r="L10" s="1672"/>
      <c r="M10" s="1671"/>
      <c r="N10" s="1671"/>
      <c r="O10" s="1673"/>
      <c r="P10" s="1667"/>
      <c r="Q10" s="1667"/>
      <c r="R10" s="1674" t="e">
        <f>Q10/P10*100</f>
        <v>#DIV/0!</v>
      </c>
    </row>
    <row r="11" spans="1:18" s="1650" customFormat="1" ht="15" customHeight="1" hidden="1">
      <c r="A11" s="1676" t="s">
        <v>97</v>
      </c>
      <c r="B11" s="1677" t="s">
        <v>98</v>
      </c>
      <c r="C11" s="1678">
        <f>SUM(C12:C28)</f>
        <v>0</v>
      </c>
      <c r="D11" s="1679">
        <f>SUM(D12:D28)</f>
        <v>0</v>
      </c>
      <c r="E11" s="1680">
        <f aca="true" t="shared" si="1" ref="E11:E28">SUM(H11+K11+N11+Q11)</f>
        <v>0</v>
      </c>
      <c r="F11" s="1681" t="e">
        <f>E11/D11*100</f>
        <v>#DIV/0!</v>
      </c>
      <c r="G11" s="1682"/>
      <c r="H11" s="1683"/>
      <c r="I11" s="1684"/>
      <c r="J11" s="1683"/>
      <c r="K11" s="1682"/>
      <c r="L11" s="1685"/>
      <c r="M11" s="1682"/>
      <c r="N11" s="1682"/>
      <c r="O11" s="1686"/>
      <c r="P11" s="1687">
        <f>SUM(P12:P28)</f>
        <v>0</v>
      </c>
      <c r="Q11" s="1687">
        <f>SUM(Q12:Q28)</f>
        <v>0</v>
      </c>
      <c r="R11" s="1688" t="e">
        <f>Q11/P11*100</f>
        <v>#DIV/0!</v>
      </c>
    </row>
    <row r="12" spans="1:18" s="1675" customFormat="1" ht="24.75" hidden="1" thickTop="1">
      <c r="A12" s="1663" t="s">
        <v>99</v>
      </c>
      <c r="B12" s="1664" t="s">
        <v>100</v>
      </c>
      <c r="C12" s="1689"/>
      <c r="D12" s="893">
        <f t="shared" si="0"/>
        <v>0</v>
      </c>
      <c r="E12" s="1690">
        <f t="shared" si="1"/>
        <v>0</v>
      </c>
      <c r="F12" s="1691" t="e">
        <f>E12/D12*100</f>
        <v>#DIV/0!</v>
      </c>
      <c r="G12" s="1671"/>
      <c r="H12" s="1670"/>
      <c r="I12" s="1672"/>
      <c r="J12" s="1670"/>
      <c r="K12" s="1671"/>
      <c r="L12" s="1672"/>
      <c r="M12" s="1671"/>
      <c r="N12" s="1671"/>
      <c r="O12" s="1692"/>
      <c r="P12" s="1693"/>
      <c r="Q12" s="1694"/>
      <c r="R12" s="1695" t="e">
        <f>Q12/P12*100</f>
        <v>#DIV/0!</v>
      </c>
    </row>
    <row r="13" spans="1:18" s="1675" customFormat="1" ht="24.75" hidden="1" thickTop="1">
      <c r="A13" s="1663" t="s">
        <v>101</v>
      </c>
      <c r="B13" s="1664" t="s">
        <v>102</v>
      </c>
      <c r="C13" s="1689"/>
      <c r="D13" s="893">
        <f t="shared" si="0"/>
        <v>0</v>
      </c>
      <c r="E13" s="1690">
        <f t="shared" si="1"/>
        <v>0</v>
      </c>
      <c r="F13" s="1666" t="e">
        <f aca="true" t="shared" si="2" ref="F13:F69">E13/D13*100</f>
        <v>#DIV/0!</v>
      </c>
      <c r="G13" s="1671"/>
      <c r="H13" s="1670"/>
      <c r="I13" s="1672"/>
      <c r="J13" s="1670"/>
      <c r="K13" s="1671"/>
      <c r="L13" s="1672"/>
      <c r="M13" s="1671"/>
      <c r="N13" s="1671"/>
      <c r="O13" s="1692"/>
      <c r="P13" s="1689"/>
      <c r="Q13" s="1667"/>
      <c r="R13" s="1695" t="e">
        <f aca="true" t="shared" si="3" ref="R13:R28">Q13/P13*100</f>
        <v>#DIV/0!</v>
      </c>
    </row>
    <row r="14" spans="1:18" s="1675" customFormat="1" ht="24.75" customHeight="1" hidden="1">
      <c r="A14" s="1663" t="s">
        <v>103</v>
      </c>
      <c r="B14" s="1664" t="s">
        <v>104</v>
      </c>
      <c r="C14" s="1689"/>
      <c r="D14" s="893">
        <f t="shared" si="0"/>
        <v>0</v>
      </c>
      <c r="E14" s="1690">
        <f t="shared" si="1"/>
        <v>0</v>
      </c>
      <c r="F14" s="1666" t="e">
        <f t="shared" si="2"/>
        <v>#DIV/0!</v>
      </c>
      <c r="G14" s="1671"/>
      <c r="H14" s="1670"/>
      <c r="I14" s="1672"/>
      <c r="J14" s="1670"/>
      <c r="K14" s="1671"/>
      <c r="L14" s="1672"/>
      <c r="M14" s="1671"/>
      <c r="N14" s="1671"/>
      <c r="O14" s="1692"/>
      <c r="P14" s="1689"/>
      <c r="Q14" s="1667"/>
      <c r="R14" s="1695" t="e">
        <f t="shared" si="3"/>
        <v>#DIV/0!</v>
      </c>
    </row>
    <row r="15" spans="1:18" s="1675" customFormat="1" ht="36.75" hidden="1" thickTop="1">
      <c r="A15" s="1663" t="s">
        <v>105</v>
      </c>
      <c r="B15" s="1664" t="s">
        <v>106</v>
      </c>
      <c r="C15" s="1689"/>
      <c r="D15" s="893">
        <f t="shared" si="0"/>
        <v>0</v>
      </c>
      <c r="E15" s="1690">
        <f t="shared" si="1"/>
        <v>0</v>
      </c>
      <c r="F15" s="1666" t="e">
        <f t="shared" si="2"/>
        <v>#DIV/0!</v>
      </c>
      <c r="G15" s="1671"/>
      <c r="H15" s="1670"/>
      <c r="I15" s="1672"/>
      <c r="J15" s="1670"/>
      <c r="K15" s="1671"/>
      <c r="L15" s="1672"/>
      <c r="M15" s="1671"/>
      <c r="N15" s="1671"/>
      <c r="O15" s="1692"/>
      <c r="P15" s="1689"/>
      <c r="Q15" s="1667"/>
      <c r="R15" s="1695" t="e">
        <f t="shared" si="3"/>
        <v>#DIV/0!</v>
      </c>
    </row>
    <row r="16" spans="1:18" s="1675" customFormat="1" ht="24.75" hidden="1" thickTop="1">
      <c r="A16" s="1663" t="s">
        <v>107</v>
      </c>
      <c r="B16" s="1664" t="s">
        <v>108</v>
      </c>
      <c r="C16" s="1689"/>
      <c r="D16" s="893">
        <f t="shared" si="0"/>
        <v>0</v>
      </c>
      <c r="E16" s="1690">
        <f t="shared" si="1"/>
        <v>0</v>
      </c>
      <c r="F16" s="1666" t="e">
        <f t="shared" si="2"/>
        <v>#DIV/0!</v>
      </c>
      <c r="G16" s="1671"/>
      <c r="H16" s="1670"/>
      <c r="I16" s="1672"/>
      <c r="J16" s="1670"/>
      <c r="K16" s="1671"/>
      <c r="L16" s="1672"/>
      <c r="M16" s="1671"/>
      <c r="N16" s="1671"/>
      <c r="O16" s="1692"/>
      <c r="P16" s="1689"/>
      <c r="Q16" s="1667"/>
      <c r="R16" s="1695" t="e">
        <f t="shared" si="3"/>
        <v>#DIV/0!</v>
      </c>
    </row>
    <row r="17" spans="1:18" s="1675" customFormat="1" ht="24.75" hidden="1" thickTop="1">
      <c r="A17" s="1663" t="s">
        <v>109</v>
      </c>
      <c r="B17" s="1664" t="s">
        <v>110</v>
      </c>
      <c r="C17" s="1689"/>
      <c r="D17" s="893">
        <f t="shared" si="0"/>
        <v>0</v>
      </c>
      <c r="E17" s="1690">
        <f t="shared" si="1"/>
        <v>0</v>
      </c>
      <c r="F17" s="1666" t="e">
        <f t="shared" si="2"/>
        <v>#DIV/0!</v>
      </c>
      <c r="G17" s="1671"/>
      <c r="H17" s="1670"/>
      <c r="I17" s="1672"/>
      <c r="J17" s="1670"/>
      <c r="K17" s="1671"/>
      <c r="L17" s="1672"/>
      <c r="M17" s="1671"/>
      <c r="N17" s="1671"/>
      <c r="O17" s="1692"/>
      <c r="P17" s="1689"/>
      <c r="Q17" s="1667"/>
      <c r="R17" s="1695" t="e">
        <f t="shared" si="3"/>
        <v>#DIV/0!</v>
      </c>
    </row>
    <row r="18" spans="1:18" s="1675" customFormat="1" ht="13.5" hidden="1" thickTop="1">
      <c r="A18" s="1663" t="s">
        <v>111</v>
      </c>
      <c r="B18" s="1664" t="s">
        <v>112</v>
      </c>
      <c r="C18" s="1689"/>
      <c r="D18" s="893">
        <f t="shared" si="0"/>
        <v>0</v>
      </c>
      <c r="E18" s="1690">
        <f t="shared" si="1"/>
        <v>0</v>
      </c>
      <c r="F18" s="1666" t="e">
        <f t="shared" si="2"/>
        <v>#DIV/0!</v>
      </c>
      <c r="G18" s="1671"/>
      <c r="H18" s="1670"/>
      <c r="I18" s="1672"/>
      <c r="J18" s="1670"/>
      <c r="K18" s="1671"/>
      <c r="L18" s="1672"/>
      <c r="M18" s="1671"/>
      <c r="N18" s="1671"/>
      <c r="O18" s="1692"/>
      <c r="P18" s="1689"/>
      <c r="Q18" s="1667"/>
      <c r="R18" s="1695" t="e">
        <f t="shared" si="3"/>
        <v>#DIV/0!</v>
      </c>
    </row>
    <row r="19" spans="1:18" s="1675" customFormat="1" ht="24.75" hidden="1" thickTop="1">
      <c r="A19" s="1663" t="s">
        <v>113</v>
      </c>
      <c r="B19" s="1664" t="s">
        <v>114</v>
      </c>
      <c r="C19" s="1689"/>
      <c r="D19" s="893">
        <f t="shared" si="0"/>
        <v>0</v>
      </c>
      <c r="E19" s="1690">
        <f t="shared" si="1"/>
        <v>0</v>
      </c>
      <c r="F19" s="1666" t="e">
        <f t="shared" si="2"/>
        <v>#DIV/0!</v>
      </c>
      <c r="G19" s="1671"/>
      <c r="H19" s="1670"/>
      <c r="I19" s="1672"/>
      <c r="J19" s="1670"/>
      <c r="K19" s="1671"/>
      <c r="L19" s="1672"/>
      <c r="M19" s="1671"/>
      <c r="N19" s="1671"/>
      <c r="O19" s="1692"/>
      <c r="P19" s="1689"/>
      <c r="Q19" s="1667"/>
      <c r="R19" s="1695" t="e">
        <f t="shared" si="3"/>
        <v>#DIV/0!</v>
      </c>
    </row>
    <row r="20" spans="1:18" s="1675" customFormat="1" ht="24.75" hidden="1" thickTop="1">
      <c r="A20" s="1663" t="s">
        <v>115</v>
      </c>
      <c r="B20" s="1664" t="s">
        <v>116</v>
      </c>
      <c r="C20" s="1689"/>
      <c r="D20" s="893">
        <f t="shared" si="0"/>
        <v>0</v>
      </c>
      <c r="E20" s="1690">
        <f t="shared" si="1"/>
        <v>0</v>
      </c>
      <c r="F20" s="1666" t="e">
        <f t="shared" si="2"/>
        <v>#DIV/0!</v>
      </c>
      <c r="G20" s="1671"/>
      <c r="H20" s="1670"/>
      <c r="I20" s="1672"/>
      <c r="J20" s="1670"/>
      <c r="K20" s="1671"/>
      <c r="L20" s="1672"/>
      <c r="M20" s="1671"/>
      <c r="N20" s="1671"/>
      <c r="O20" s="1692"/>
      <c r="P20" s="1689"/>
      <c r="Q20" s="1667"/>
      <c r="R20" s="1695" t="e">
        <f t="shared" si="3"/>
        <v>#DIV/0!</v>
      </c>
    </row>
    <row r="21" spans="1:18" s="1675" customFormat="1" ht="13.5" hidden="1" thickTop="1">
      <c r="A21" s="1663" t="s">
        <v>117</v>
      </c>
      <c r="B21" s="1664" t="s">
        <v>118</v>
      </c>
      <c r="C21" s="1689"/>
      <c r="D21" s="893">
        <f t="shared" si="0"/>
        <v>0</v>
      </c>
      <c r="E21" s="1690">
        <f t="shared" si="1"/>
        <v>0</v>
      </c>
      <c r="F21" s="1666" t="e">
        <f t="shared" si="2"/>
        <v>#DIV/0!</v>
      </c>
      <c r="G21" s="1671"/>
      <c r="H21" s="1670"/>
      <c r="I21" s="1672"/>
      <c r="J21" s="1670"/>
      <c r="K21" s="1671"/>
      <c r="L21" s="1672"/>
      <c r="M21" s="1671"/>
      <c r="N21" s="1671"/>
      <c r="O21" s="1692"/>
      <c r="P21" s="1689"/>
      <c r="Q21" s="1667"/>
      <c r="R21" s="1695" t="e">
        <f t="shared" si="3"/>
        <v>#DIV/0!</v>
      </c>
    </row>
    <row r="22" spans="1:18" s="1675" customFormat="1" ht="13.5" hidden="1" thickTop="1">
      <c r="A22" s="1663" t="s">
        <v>119</v>
      </c>
      <c r="B22" s="1664" t="s">
        <v>120</v>
      </c>
      <c r="C22" s="1689"/>
      <c r="D22" s="893">
        <f t="shared" si="0"/>
        <v>0</v>
      </c>
      <c r="E22" s="1690">
        <f t="shared" si="1"/>
        <v>0</v>
      </c>
      <c r="F22" s="1666" t="e">
        <f t="shared" si="2"/>
        <v>#DIV/0!</v>
      </c>
      <c r="G22" s="1671"/>
      <c r="H22" s="1670"/>
      <c r="I22" s="1672"/>
      <c r="J22" s="1670"/>
      <c r="K22" s="1671"/>
      <c r="L22" s="1672"/>
      <c r="M22" s="1671"/>
      <c r="N22" s="1671"/>
      <c r="O22" s="1692"/>
      <c r="P22" s="1689"/>
      <c r="Q22" s="1667"/>
      <c r="R22" s="1695" t="e">
        <f t="shared" si="3"/>
        <v>#DIV/0!</v>
      </c>
    </row>
    <row r="23" spans="1:18" s="1675" customFormat="1" ht="13.5" hidden="1" thickTop="1">
      <c r="A23" s="1663" t="s">
        <v>121</v>
      </c>
      <c r="B23" s="1664" t="s">
        <v>122</v>
      </c>
      <c r="C23" s="1689"/>
      <c r="D23" s="893">
        <f t="shared" si="0"/>
        <v>0</v>
      </c>
      <c r="E23" s="1690">
        <f t="shared" si="1"/>
        <v>0</v>
      </c>
      <c r="F23" s="1666" t="e">
        <f t="shared" si="2"/>
        <v>#DIV/0!</v>
      </c>
      <c r="G23" s="1671"/>
      <c r="H23" s="1670"/>
      <c r="I23" s="1672"/>
      <c r="J23" s="1670"/>
      <c r="K23" s="1671"/>
      <c r="L23" s="1672"/>
      <c r="M23" s="1671"/>
      <c r="N23" s="1671"/>
      <c r="O23" s="1692"/>
      <c r="P23" s="1689"/>
      <c r="Q23" s="1667"/>
      <c r="R23" s="1695" t="e">
        <f t="shared" si="3"/>
        <v>#DIV/0!</v>
      </c>
    </row>
    <row r="24" spans="1:18" s="1675" customFormat="1" ht="13.5" hidden="1" thickTop="1">
      <c r="A24" s="1663" t="s">
        <v>95</v>
      </c>
      <c r="B24" s="1664" t="s">
        <v>96</v>
      </c>
      <c r="C24" s="1689"/>
      <c r="D24" s="893">
        <f t="shared" si="0"/>
        <v>0</v>
      </c>
      <c r="E24" s="1690">
        <f t="shared" si="1"/>
        <v>0</v>
      </c>
      <c r="F24" s="1666" t="e">
        <f t="shared" si="2"/>
        <v>#DIV/0!</v>
      </c>
      <c r="G24" s="1671"/>
      <c r="H24" s="1670"/>
      <c r="I24" s="1672"/>
      <c r="J24" s="1670"/>
      <c r="K24" s="1671"/>
      <c r="L24" s="1672"/>
      <c r="M24" s="1671"/>
      <c r="N24" s="1671"/>
      <c r="O24" s="1692"/>
      <c r="P24" s="1689"/>
      <c r="Q24" s="1667"/>
      <c r="R24" s="1695" t="e">
        <f t="shared" si="3"/>
        <v>#DIV/0!</v>
      </c>
    </row>
    <row r="25" spans="1:18" s="1675" customFormat="1" ht="13.5" hidden="1" thickTop="1">
      <c r="A25" s="1663" t="s">
        <v>123</v>
      </c>
      <c r="B25" s="1664" t="s">
        <v>124</v>
      </c>
      <c r="C25" s="1689"/>
      <c r="D25" s="893">
        <f t="shared" si="0"/>
        <v>0</v>
      </c>
      <c r="E25" s="1690">
        <f t="shared" si="1"/>
        <v>0</v>
      </c>
      <c r="F25" s="1666" t="e">
        <f t="shared" si="2"/>
        <v>#DIV/0!</v>
      </c>
      <c r="G25" s="1671"/>
      <c r="H25" s="1670"/>
      <c r="I25" s="1672"/>
      <c r="J25" s="1670"/>
      <c r="K25" s="1671"/>
      <c r="L25" s="1672"/>
      <c r="M25" s="1671"/>
      <c r="N25" s="1671"/>
      <c r="O25" s="1692"/>
      <c r="P25" s="1689"/>
      <c r="Q25" s="1667"/>
      <c r="R25" s="1695" t="e">
        <f t="shared" si="3"/>
        <v>#DIV/0!</v>
      </c>
    </row>
    <row r="26" spans="1:18" s="1675" customFormat="1" ht="13.5" hidden="1" thickTop="1">
      <c r="A26" s="1663" t="s">
        <v>125</v>
      </c>
      <c r="B26" s="1664" t="s">
        <v>126</v>
      </c>
      <c r="C26" s="1689"/>
      <c r="D26" s="893">
        <f t="shared" si="0"/>
        <v>0</v>
      </c>
      <c r="E26" s="1690">
        <f t="shared" si="1"/>
        <v>0</v>
      </c>
      <c r="F26" s="1666" t="e">
        <f t="shared" si="2"/>
        <v>#DIV/0!</v>
      </c>
      <c r="G26" s="1671"/>
      <c r="H26" s="1670"/>
      <c r="I26" s="1672"/>
      <c r="J26" s="1670"/>
      <c r="K26" s="1671"/>
      <c r="L26" s="1672"/>
      <c r="M26" s="1671"/>
      <c r="N26" s="1671"/>
      <c r="O26" s="1692"/>
      <c r="P26" s="1689"/>
      <c r="Q26" s="1667"/>
      <c r="R26" s="1695" t="e">
        <f t="shared" si="3"/>
        <v>#DIV/0!</v>
      </c>
    </row>
    <row r="27" spans="1:18" s="1675" customFormat="1" ht="13.5" hidden="1" thickTop="1">
      <c r="A27" s="1663" t="s">
        <v>127</v>
      </c>
      <c r="B27" s="1664" t="s">
        <v>688</v>
      </c>
      <c r="C27" s="1689"/>
      <c r="D27" s="893">
        <f t="shared" si="0"/>
        <v>0</v>
      </c>
      <c r="E27" s="1690">
        <f t="shared" si="1"/>
        <v>0</v>
      </c>
      <c r="F27" s="1666" t="e">
        <f t="shared" si="2"/>
        <v>#DIV/0!</v>
      </c>
      <c r="G27" s="1671"/>
      <c r="H27" s="1670"/>
      <c r="I27" s="1672"/>
      <c r="J27" s="1670"/>
      <c r="K27" s="1671"/>
      <c r="L27" s="1672"/>
      <c r="M27" s="1671"/>
      <c r="N27" s="1671"/>
      <c r="O27" s="1692"/>
      <c r="P27" s="1689"/>
      <c r="Q27" s="1667"/>
      <c r="R27" s="1695" t="e">
        <f t="shared" si="3"/>
        <v>#DIV/0!</v>
      </c>
    </row>
    <row r="28" spans="1:18" s="1675" customFormat="1" ht="24.75" hidden="1" thickTop="1">
      <c r="A28" s="1663" t="s">
        <v>128</v>
      </c>
      <c r="B28" s="1664" t="s">
        <v>129</v>
      </c>
      <c r="C28" s="1689"/>
      <c r="D28" s="893">
        <f t="shared" si="0"/>
        <v>0</v>
      </c>
      <c r="E28" s="1690">
        <f t="shared" si="1"/>
        <v>0</v>
      </c>
      <c r="F28" s="1666" t="e">
        <f t="shared" si="2"/>
        <v>#DIV/0!</v>
      </c>
      <c r="G28" s="1671"/>
      <c r="H28" s="1670"/>
      <c r="I28" s="1672"/>
      <c r="J28" s="1670"/>
      <c r="K28" s="1671"/>
      <c r="L28" s="1672"/>
      <c r="M28" s="1671"/>
      <c r="N28" s="1671"/>
      <c r="O28" s="1692"/>
      <c r="P28" s="1689"/>
      <c r="Q28" s="1667"/>
      <c r="R28" s="1695" t="e">
        <f t="shared" si="3"/>
        <v>#DIV/0!</v>
      </c>
    </row>
    <row r="29" spans="1:18" s="1704" customFormat="1" ht="16.5" customHeight="1" thickTop="1">
      <c r="A29" s="1696" t="s">
        <v>130</v>
      </c>
      <c r="B29" s="1697" t="s">
        <v>131</v>
      </c>
      <c r="C29" s="886">
        <f>SUM(C30:C30)</f>
        <v>1600</v>
      </c>
      <c r="D29" s="908">
        <f t="shared" si="0"/>
        <v>1600</v>
      </c>
      <c r="E29" s="908">
        <f t="shared" si="0"/>
        <v>478</v>
      </c>
      <c r="F29" s="1698">
        <f t="shared" si="2"/>
        <v>29.875</v>
      </c>
      <c r="G29" s="1699">
        <f>SUM(G30:G30)</f>
        <v>1600</v>
      </c>
      <c r="H29" s="908">
        <f>SUM(H30:H30)</f>
        <v>478</v>
      </c>
      <c r="I29" s="1700">
        <f>H29/G29*100</f>
        <v>29.875</v>
      </c>
      <c r="J29" s="1701"/>
      <c r="K29" s="1702"/>
      <c r="L29" s="1685"/>
      <c r="M29" s="1702"/>
      <c r="N29" s="1702"/>
      <c r="O29" s="1703"/>
      <c r="P29" s="939"/>
      <c r="Q29" s="1679"/>
      <c r="R29" s="909"/>
    </row>
    <row r="30" spans="1:18" s="1675" customFormat="1" ht="54.75" customHeight="1" thickBot="1">
      <c r="A30" s="1705" t="s">
        <v>132</v>
      </c>
      <c r="B30" s="1706" t="s">
        <v>133</v>
      </c>
      <c r="C30" s="927">
        <v>1600</v>
      </c>
      <c r="D30" s="932">
        <f t="shared" si="0"/>
        <v>1600</v>
      </c>
      <c r="E30" s="1707">
        <f>SUM(H30+K30+N30+Q30)</f>
        <v>478</v>
      </c>
      <c r="F30" s="1708">
        <f t="shared" si="2"/>
        <v>29.875</v>
      </c>
      <c r="G30" s="1709">
        <v>1600</v>
      </c>
      <c r="H30" s="932">
        <v>478</v>
      </c>
      <c r="I30" s="1710">
        <f>H30/G30*100</f>
        <v>29.875</v>
      </c>
      <c r="J30" s="1711"/>
      <c r="K30" s="1712"/>
      <c r="L30" s="1713"/>
      <c r="M30" s="1712"/>
      <c r="N30" s="1712"/>
      <c r="O30" s="1714"/>
      <c r="P30" s="1715"/>
      <c r="Q30" s="1694"/>
      <c r="R30" s="933"/>
    </row>
    <row r="31" spans="1:18" s="1650" customFormat="1" ht="18.75" customHeight="1" hidden="1">
      <c r="A31" s="1639" t="s">
        <v>599</v>
      </c>
      <c r="B31" s="1640" t="s">
        <v>600</v>
      </c>
      <c r="C31" s="1641">
        <f>C32</f>
        <v>0</v>
      </c>
      <c r="D31" s="876">
        <f t="shared" si="0"/>
        <v>0</v>
      </c>
      <c r="E31" s="1716">
        <f>H31+K31+Q31+N31</f>
        <v>0</v>
      </c>
      <c r="F31" s="1642" t="e">
        <f t="shared" si="2"/>
        <v>#DIV/0!</v>
      </c>
      <c r="G31" s="1646"/>
      <c r="H31" s="1645"/>
      <c r="I31" s="1717"/>
      <c r="J31" s="1645"/>
      <c r="K31" s="1646"/>
      <c r="L31" s="1647"/>
      <c r="M31" s="1643">
        <f>M32</f>
        <v>0</v>
      </c>
      <c r="N31" s="1643">
        <f>N32</f>
        <v>0</v>
      </c>
      <c r="O31" s="1649" t="e">
        <f>N31/M31*100</f>
        <v>#DIV/0!</v>
      </c>
      <c r="P31" s="1641"/>
      <c r="Q31" s="1643"/>
      <c r="R31" s="1718"/>
    </row>
    <row r="32" spans="1:18" s="1650" customFormat="1" ht="25.5" hidden="1" thickBot="1" thickTop="1">
      <c r="A32" s="1676" t="s">
        <v>134</v>
      </c>
      <c r="B32" s="1677" t="s">
        <v>135</v>
      </c>
      <c r="C32" s="1678">
        <f>C33</f>
        <v>0</v>
      </c>
      <c r="D32" s="906">
        <f t="shared" si="0"/>
        <v>0</v>
      </c>
      <c r="E32" s="1687">
        <f>E33</f>
        <v>0</v>
      </c>
      <c r="F32" s="1719" t="e">
        <f t="shared" si="2"/>
        <v>#DIV/0!</v>
      </c>
      <c r="G32" s="1682"/>
      <c r="H32" s="1683"/>
      <c r="I32" s="1684"/>
      <c r="J32" s="1683"/>
      <c r="K32" s="1682"/>
      <c r="L32" s="1685"/>
      <c r="M32" s="1687">
        <f>M33</f>
        <v>0</v>
      </c>
      <c r="N32" s="1687">
        <f>N33</f>
        <v>0</v>
      </c>
      <c r="O32" s="1720" t="e">
        <f>N32/M32*100</f>
        <v>#DIV/0!</v>
      </c>
      <c r="P32" s="1678"/>
      <c r="Q32" s="1687"/>
      <c r="R32" s="1721"/>
    </row>
    <row r="33" spans="1:18" s="872" customFormat="1" ht="13.5" hidden="1" thickBot="1">
      <c r="A33" s="1722">
        <v>4300</v>
      </c>
      <c r="B33" s="1723" t="s">
        <v>136</v>
      </c>
      <c r="C33" s="1693"/>
      <c r="D33" s="932">
        <f t="shared" si="0"/>
        <v>0</v>
      </c>
      <c r="E33" s="1707">
        <f>SUM(H33+K33+N33+Q33)</f>
        <v>0</v>
      </c>
      <c r="F33" s="1691" t="e">
        <f t="shared" si="2"/>
        <v>#DIV/0!</v>
      </c>
      <c r="G33" s="1724"/>
      <c r="H33" s="1725"/>
      <c r="I33" s="1713"/>
      <c r="J33" s="1725"/>
      <c r="K33" s="1724"/>
      <c r="L33" s="1713"/>
      <c r="M33" s="1726"/>
      <c r="N33" s="1726">
        <v>0</v>
      </c>
      <c r="O33" s="1674" t="e">
        <f>N33/M33*100</f>
        <v>#DIV/0!</v>
      </c>
      <c r="P33" s="1727"/>
      <c r="Q33" s="1726"/>
      <c r="R33" s="1728"/>
    </row>
    <row r="34" spans="1:18" s="1735" customFormat="1" ht="15.75" customHeight="1" thickBot="1" thickTop="1">
      <c r="A34" s="1729">
        <v>500</v>
      </c>
      <c r="B34" s="1730" t="s">
        <v>665</v>
      </c>
      <c r="C34" s="1731">
        <f>C35</f>
        <v>134000</v>
      </c>
      <c r="D34" s="876">
        <f t="shared" si="0"/>
        <v>294000</v>
      </c>
      <c r="E34" s="1716">
        <f>H34+K34+Q34+N34</f>
        <v>224690</v>
      </c>
      <c r="F34" s="1642">
        <f t="shared" si="2"/>
        <v>76.42517006802721</v>
      </c>
      <c r="G34" s="876">
        <f>G35</f>
        <v>294000</v>
      </c>
      <c r="H34" s="876">
        <f>H35</f>
        <v>224690</v>
      </c>
      <c r="I34" s="1644">
        <f aca="true" t="shared" si="4" ref="I34:I40">H34/G34*100</f>
        <v>76.42517006802721</v>
      </c>
      <c r="J34" s="1732"/>
      <c r="K34" s="1716"/>
      <c r="L34" s="1733"/>
      <c r="M34" s="1716"/>
      <c r="N34" s="1716"/>
      <c r="O34" s="1734"/>
      <c r="P34" s="1641"/>
      <c r="Q34" s="1643"/>
      <c r="R34" s="1718"/>
    </row>
    <row r="35" spans="1:18" s="1735" customFormat="1" ht="18" customHeight="1" thickTop="1">
      <c r="A35" s="1736">
        <v>50095</v>
      </c>
      <c r="B35" s="1737" t="s">
        <v>829</v>
      </c>
      <c r="C35" s="1738">
        <f>SUM(C36:C39)</f>
        <v>134000</v>
      </c>
      <c r="D35" s="884">
        <f t="shared" si="0"/>
        <v>294000</v>
      </c>
      <c r="E35" s="1680">
        <f>SUM(E36:E39)</f>
        <v>224690</v>
      </c>
      <c r="F35" s="1719">
        <f t="shared" si="2"/>
        <v>76.42517006802721</v>
      </c>
      <c r="G35" s="908">
        <f>SUM(G36:G39)</f>
        <v>294000</v>
      </c>
      <c r="H35" s="908">
        <f>SUM(H36:H39)</f>
        <v>224690</v>
      </c>
      <c r="I35" s="1739">
        <f t="shared" si="4"/>
        <v>76.42517006802721</v>
      </c>
      <c r="J35" s="1740"/>
      <c r="K35" s="1680"/>
      <c r="L35" s="1741"/>
      <c r="M35" s="1680"/>
      <c r="N35" s="1680"/>
      <c r="O35" s="1742"/>
      <c r="P35" s="1678"/>
      <c r="Q35" s="1687"/>
      <c r="R35" s="1721"/>
    </row>
    <row r="36" spans="1:18" s="857" customFormat="1" ht="24">
      <c r="A36" s="1743">
        <v>4210</v>
      </c>
      <c r="B36" s="1744" t="s">
        <v>114</v>
      </c>
      <c r="C36" s="1689">
        <v>2000</v>
      </c>
      <c r="D36" s="893">
        <f t="shared" si="0"/>
        <v>2000</v>
      </c>
      <c r="E36" s="1690">
        <f>SUM(H36+K36+N36+Q36)</f>
        <v>643</v>
      </c>
      <c r="F36" s="1666">
        <f t="shared" si="2"/>
        <v>32.15</v>
      </c>
      <c r="G36" s="1693">
        <v>2000</v>
      </c>
      <c r="H36" s="932">
        <v>643</v>
      </c>
      <c r="I36" s="1669">
        <f t="shared" si="4"/>
        <v>32.15</v>
      </c>
      <c r="J36" s="1745"/>
      <c r="K36" s="1690"/>
      <c r="L36" s="1746"/>
      <c r="M36" s="1690"/>
      <c r="N36" s="1690"/>
      <c r="O36" s="1747"/>
      <c r="P36" s="1748"/>
      <c r="Q36" s="1749"/>
      <c r="R36" s="1750"/>
    </row>
    <row r="37" spans="1:18" s="857" customFormat="1" ht="14.25" customHeight="1">
      <c r="A37" s="1743">
        <v>4260</v>
      </c>
      <c r="B37" s="1744" t="s">
        <v>118</v>
      </c>
      <c r="C37" s="1689">
        <v>2000</v>
      </c>
      <c r="D37" s="893">
        <f t="shared" si="0"/>
        <v>2000</v>
      </c>
      <c r="E37" s="1690">
        <f>SUM(H37+K37+N37+Q37)</f>
        <v>408</v>
      </c>
      <c r="F37" s="1666">
        <f t="shared" si="2"/>
        <v>20.4</v>
      </c>
      <c r="G37" s="1689">
        <v>2000</v>
      </c>
      <c r="H37" s="893">
        <v>408</v>
      </c>
      <c r="I37" s="1669">
        <f t="shared" si="4"/>
        <v>20.4</v>
      </c>
      <c r="J37" s="1745"/>
      <c r="K37" s="1690"/>
      <c r="L37" s="1746"/>
      <c r="M37" s="1690"/>
      <c r="N37" s="1690"/>
      <c r="O37" s="1747"/>
      <c r="P37" s="1748"/>
      <c r="Q37" s="1749"/>
      <c r="R37" s="1750"/>
    </row>
    <row r="38" spans="1:18" s="857" customFormat="1" ht="14.25" customHeight="1">
      <c r="A38" s="1743">
        <v>4270</v>
      </c>
      <c r="B38" s="1744" t="s">
        <v>120</v>
      </c>
      <c r="C38" s="1689"/>
      <c r="D38" s="893">
        <f t="shared" si="0"/>
        <v>30000</v>
      </c>
      <c r="E38" s="1690">
        <f>SUM(H38+K38+N38+Q38)</f>
        <v>0</v>
      </c>
      <c r="F38" s="1666">
        <f t="shared" si="2"/>
        <v>0</v>
      </c>
      <c r="G38" s="1689">
        <v>30000</v>
      </c>
      <c r="H38" s="893"/>
      <c r="I38" s="1669">
        <f t="shared" si="4"/>
        <v>0</v>
      </c>
      <c r="J38" s="1745"/>
      <c r="K38" s="1690"/>
      <c r="L38" s="1746"/>
      <c r="M38" s="1690"/>
      <c r="N38" s="1690"/>
      <c r="O38" s="1747"/>
      <c r="P38" s="1748"/>
      <c r="Q38" s="1749"/>
      <c r="R38" s="1750"/>
    </row>
    <row r="39" spans="1:18" s="857" customFormat="1" ht="18" customHeight="1" thickBot="1">
      <c r="A39" s="1743">
        <v>4300</v>
      </c>
      <c r="B39" s="1751" t="s">
        <v>122</v>
      </c>
      <c r="C39" s="1689">
        <v>130000</v>
      </c>
      <c r="D39" s="893">
        <f t="shared" si="0"/>
        <v>260000</v>
      </c>
      <c r="E39" s="1690">
        <f>SUM(H39+K39+N39+Q39)</f>
        <v>223639</v>
      </c>
      <c r="F39" s="1666">
        <f t="shared" si="2"/>
        <v>86.015</v>
      </c>
      <c r="G39" s="1752">
        <f>130000+100000+30000</f>
        <v>260000</v>
      </c>
      <c r="H39" s="1753">
        <v>223639</v>
      </c>
      <c r="I39" s="1669">
        <f t="shared" si="4"/>
        <v>86.015</v>
      </c>
      <c r="J39" s="1745"/>
      <c r="K39" s="1690"/>
      <c r="L39" s="1746"/>
      <c r="M39" s="1690"/>
      <c r="N39" s="1690"/>
      <c r="O39" s="1747"/>
      <c r="P39" s="1689"/>
      <c r="Q39" s="1690"/>
      <c r="R39" s="1754"/>
    </row>
    <row r="40" spans="1:18" s="1735" customFormat="1" ht="28.5" customHeight="1" thickBot="1" thickTop="1">
      <c r="A40" s="1755">
        <v>600</v>
      </c>
      <c r="B40" s="1756" t="s">
        <v>604</v>
      </c>
      <c r="C40" s="875">
        <f>SUM(C41+C43+C56+C78+C83)</f>
        <v>48314170</v>
      </c>
      <c r="D40" s="876">
        <f t="shared" si="0"/>
        <v>50930470</v>
      </c>
      <c r="E40" s="876">
        <f>H40+K40+Q40+N40</f>
        <v>6393049</v>
      </c>
      <c r="F40" s="1757">
        <f t="shared" si="2"/>
        <v>12.55250344243829</v>
      </c>
      <c r="G40" s="876">
        <f>SUM(G56+G83+G43)+G41+G78</f>
        <v>12247640</v>
      </c>
      <c r="H40" s="876">
        <f>SUM(H56+H83+H43)+H41+H78</f>
        <v>3609365</v>
      </c>
      <c r="I40" s="1758">
        <f t="shared" si="4"/>
        <v>29.469881544526128</v>
      </c>
      <c r="J40" s="1759"/>
      <c r="K40" s="876"/>
      <c r="L40" s="1733"/>
      <c r="M40" s="876">
        <f>SUM(M56+M83+M43)</f>
        <v>38682830</v>
      </c>
      <c r="N40" s="876">
        <f>SUM(N56+N83+N43)</f>
        <v>2783684</v>
      </c>
      <c r="O40" s="1760">
        <f>N40/M40*100</f>
        <v>7.196174633551888</v>
      </c>
      <c r="P40" s="875"/>
      <c r="Q40" s="876"/>
      <c r="R40" s="879"/>
    </row>
    <row r="41" spans="1:18" s="1771" customFormat="1" ht="27" customHeight="1" thickTop="1">
      <c r="A41" s="1761">
        <v>60004</v>
      </c>
      <c r="B41" s="1762" t="s">
        <v>137</v>
      </c>
      <c r="C41" s="1763">
        <f>SUM(C42)</f>
        <v>4000000</v>
      </c>
      <c r="D41" s="1764">
        <f t="shared" si="0"/>
        <v>4000000</v>
      </c>
      <c r="E41" s="1764">
        <f t="shared" si="0"/>
        <v>1600000</v>
      </c>
      <c r="F41" s="1698">
        <f>E41/D41*100</f>
        <v>40</v>
      </c>
      <c r="G41" s="1765">
        <f>SUM(G42:G42)</f>
        <v>4000000</v>
      </c>
      <c r="H41" s="1765">
        <f>SUM(H42)</f>
        <v>1600000</v>
      </c>
      <c r="I41" s="1700">
        <f>H41/G41*100</f>
        <v>40</v>
      </c>
      <c r="J41" s="1766"/>
      <c r="K41" s="1767"/>
      <c r="L41" s="1768"/>
      <c r="M41" s="1769"/>
      <c r="N41" s="1764"/>
      <c r="O41" s="1770"/>
      <c r="P41" s="1763"/>
      <c r="Q41" s="1765"/>
      <c r="R41" s="944"/>
    </row>
    <row r="42" spans="1:18" ht="27.75" customHeight="1">
      <c r="A42" s="1772">
        <v>4150</v>
      </c>
      <c r="B42" s="1773" t="s">
        <v>138</v>
      </c>
      <c r="C42" s="1774">
        <v>4000000</v>
      </c>
      <c r="D42" s="919">
        <f aca="true" t="shared" si="5" ref="D42:E69">G42+J42+P42+M42</f>
        <v>4000000</v>
      </c>
      <c r="E42" s="919">
        <f t="shared" si="5"/>
        <v>1600000</v>
      </c>
      <c r="F42" s="1681">
        <f>E42/D42*100</f>
        <v>40</v>
      </c>
      <c r="G42" s="919">
        <v>4000000</v>
      </c>
      <c r="H42" s="1775">
        <v>1600000</v>
      </c>
      <c r="I42" s="1776">
        <f>H42/G42*100</f>
        <v>40</v>
      </c>
      <c r="J42" s="1777"/>
      <c r="K42" s="1778"/>
      <c r="L42" s="1779"/>
      <c r="M42" s="1780"/>
      <c r="N42" s="1781"/>
      <c r="O42" s="1742"/>
      <c r="P42" s="1774"/>
      <c r="Q42" s="1781"/>
      <c r="R42" s="1782"/>
    </row>
    <row r="43" spans="1:18" s="1735" customFormat="1" ht="39" customHeight="1">
      <c r="A43" s="1783">
        <v>60015</v>
      </c>
      <c r="B43" s="1784" t="s">
        <v>139</v>
      </c>
      <c r="C43" s="939">
        <f>SUM(C44:C55)</f>
        <v>39027980</v>
      </c>
      <c r="D43" s="908">
        <f t="shared" si="5"/>
        <v>38682830</v>
      </c>
      <c r="E43" s="908">
        <f t="shared" si="5"/>
        <v>2783684</v>
      </c>
      <c r="F43" s="1698">
        <f t="shared" si="2"/>
        <v>7.196174633551888</v>
      </c>
      <c r="G43" s="1679"/>
      <c r="H43" s="1785"/>
      <c r="I43" s="1786"/>
      <c r="J43" s="1785"/>
      <c r="K43" s="1679"/>
      <c r="L43" s="1786"/>
      <c r="M43" s="1699">
        <f>SUM(M44:M55)</f>
        <v>38682830</v>
      </c>
      <c r="N43" s="1679">
        <f>SUM(N44:N55)</f>
        <v>2783684</v>
      </c>
      <c r="O43" s="1787">
        <f aca="true" t="shared" si="6" ref="O43:O55">N43/M43*100</f>
        <v>7.196174633551888</v>
      </c>
      <c r="P43" s="939"/>
      <c r="Q43" s="1679"/>
      <c r="R43" s="941"/>
    </row>
    <row r="44" spans="1:18" ht="24">
      <c r="A44" s="1743">
        <v>4210</v>
      </c>
      <c r="B44" s="1744" t="s">
        <v>114</v>
      </c>
      <c r="C44" s="1689">
        <v>45000</v>
      </c>
      <c r="D44" s="893">
        <f t="shared" si="5"/>
        <v>45000</v>
      </c>
      <c r="E44" s="1690">
        <f>SUM(H44+K44+N44+Q44)</f>
        <v>14985</v>
      </c>
      <c r="F44" s="1666">
        <f t="shared" si="2"/>
        <v>33.300000000000004</v>
      </c>
      <c r="G44" s="1749"/>
      <c r="H44" s="1788"/>
      <c r="I44" s="1789"/>
      <c r="J44" s="1788"/>
      <c r="K44" s="1749"/>
      <c r="L44" s="1789"/>
      <c r="M44" s="1790">
        <f>45000</f>
        <v>45000</v>
      </c>
      <c r="N44" s="1749">
        <v>14985</v>
      </c>
      <c r="O44" s="1695">
        <f t="shared" si="6"/>
        <v>33.300000000000004</v>
      </c>
      <c r="P44" s="1748"/>
      <c r="Q44" s="1749"/>
      <c r="R44" s="1750"/>
    </row>
    <row r="45" spans="1:18" ht="15.75" customHeight="1">
      <c r="A45" s="1743">
        <v>4260</v>
      </c>
      <c r="B45" s="1744" t="s">
        <v>118</v>
      </c>
      <c r="C45" s="1689">
        <v>50000</v>
      </c>
      <c r="D45" s="893">
        <f t="shared" si="5"/>
        <v>50000</v>
      </c>
      <c r="E45" s="1690">
        <f>SUM(H45+K45+N45+Q45)</f>
        <v>33028</v>
      </c>
      <c r="F45" s="1666">
        <f t="shared" si="2"/>
        <v>66.056</v>
      </c>
      <c r="G45" s="1749"/>
      <c r="H45" s="1788"/>
      <c r="I45" s="1789"/>
      <c r="J45" s="1788"/>
      <c r="K45" s="1749"/>
      <c r="L45" s="1789"/>
      <c r="M45" s="1790">
        <v>50000</v>
      </c>
      <c r="N45" s="1749">
        <v>33028</v>
      </c>
      <c r="O45" s="1695">
        <f t="shared" si="6"/>
        <v>66.056</v>
      </c>
      <c r="P45" s="1748"/>
      <c r="Q45" s="1749"/>
      <c r="R45" s="1750"/>
    </row>
    <row r="46" spans="1:18" ht="15.75" customHeight="1">
      <c r="A46" s="1743">
        <v>4270</v>
      </c>
      <c r="B46" s="1751" t="s">
        <v>120</v>
      </c>
      <c r="C46" s="1689">
        <v>3000000</v>
      </c>
      <c r="D46" s="893">
        <f t="shared" si="5"/>
        <v>3300000</v>
      </c>
      <c r="E46" s="1690">
        <f>SUM(H46+K46+N46+Q46)</f>
        <v>799067</v>
      </c>
      <c r="F46" s="1666">
        <f t="shared" si="2"/>
        <v>24.214151515151517</v>
      </c>
      <c r="G46" s="1690"/>
      <c r="H46" s="1745"/>
      <c r="I46" s="1746"/>
      <c r="J46" s="1745"/>
      <c r="K46" s="1690"/>
      <c r="L46" s="1746"/>
      <c r="M46" s="1790">
        <f>2900000+400000</f>
        <v>3300000</v>
      </c>
      <c r="N46" s="1690">
        <v>799067</v>
      </c>
      <c r="O46" s="1695">
        <f t="shared" si="6"/>
        <v>24.214151515151517</v>
      </c>
      <c r="P46" s="1689"/>
      <c r="Q46" s="1690"/>
      <c r="R46" s="1750"/>
    </row>
    <row r="47" spans="1:18" ht="15.75" customHeight="1">
      <c r="A47" s="1743">
        <v>4300</v>
      </c>
      <c r="B47" s="1751" t="s">
        <v>122</v>
      </c>
      <c r="C47" s="1689">
        <v>200000</v>
      </c>
      <c r="D47" s="893">
        <f t="shared" si="5"/>
        <v>200000</v>
      </c>
      <c r="E47" s="1690">
        <f aca="true" t="shared" si="7" ref="E47:E73">SUM(H47+K47+N47+Q47)</f>
        <v>73074</v>
      </c>
      <c r="F47" s="1666">
        <f t="shared" si="2"/>
        <v>36.537</v>
      </c>
      <c r="G47" s="1690"/>
      <c r="H47" s="1745"/>
      <c r="I47" s="1746"/>
      <c r="J47" s="1745"/>
      <c r="K47" s="1690"/>
      <c r="L47" s="1746"/>
      <c r="M47" s="1790">
        <f>200000</f>
        <v>200000</v>
      </c>
      <c r="N47" s="1690">
        <v>73074</v>
      </c>
      <c r="O47" s="1695">
        <f t="shared" si="6"/>
        <v>36.537</v>
      </c>
      <c r="P47" s="1689"/>
      <c r="Q47" s="1690"/>
      <c r="R47" s="1750"/>
    </row>
    <row r="48" spans="1:18" ht="36">
      <c r="A48" s="1743">
        <v>6050</v>
      </c>
      <c r="B48" s="1751" t="s">
        <v>140</v>
      </c>
      <c r="C48" s="1689"/>
      <c r="D48" s="893">
        <f t="shared" si="5"/>
        <v>50000</v>
      </c>
      <c r="E48" s="1690">
        <f t="shared" si="7"/>
        <v>4296</v>
      </c>
      <c r="F48" s="1666">
        <f t="shared" si="2"/>
        <v>8.591999999999999</v>
      </c>
      <c r="G48" s="1690"/>
      <c r="H48" s="1745"/>
      <c r="I48" s="1746"/>
      <c r="J48" s="1745"/>
      <c r="K48" s="1690"/>
      <c r="L48" s="1746"/>
      <c r="M48" s="1790">
        <v>50000</v>
      </c>
      <c r="N48" s="1690">
        <v>4296</v>
      </c>
      <c r="O48" s="1695">
        <f t="shared" si="6"/>
        <v>8.591999999999999</v>
      </c>
      <c r="P48" s="1689"/>
      <c r="Q48" s="1690"/>
      <c r="R48" s="1750"/>
    </row>
    <row r="49" spans="1:18" ht="48">
      <c r="A49" s="1743">
        <v>6050</v>
      </c>
      <c r="B49" s="1751" t="s">
        <v>141</v>
      </c>
      <c r="C49" s="1689"/>
      <c r="D49" s="893">
        <f t="shared" si="5"/>
        <v>50000</v>
      </c>
      <c r="E49" s="1690">
        <f t="shared" si="7"/>
        <v>5677</v>
      </c>
      <c r="F49" s="1666">
        <f t="shared" si="2"/>
        <v>11.354000000000001</v>
      </c>
      <c r="G49" s="1690"/>
      <c r="H49" s="1745"/>
      <c r="I49" s="1746"/>
      <c r="J49" s="1745"/>
      <c r="K49" s="1690"/>
      <c r="L49" s="1746"/>
      <c r="M49" s="1790">
        <v>50000</v>
      </c>
      <c r="N49" s="1690">
        <v>5677</v>
      </c>
      <c r="O49" s="1695">
        <f t="shared" si="6"/>
        <v>11.354000000000001</v>
      </c>
      <c r="P49" s="1689"/>
      <c r="Q49" s="1690"/>
      <c r="R49" s="1750"/>
    </row>
    <row r="50" spans="1:18" ht="36">
      <c r="A50" s="1743">
        <v>6051</v>
      </c>
      <c r="B50" s="1751" t="s">
        <v>140</v>
      </c>
      <c r="C50" s="1689">
        <v>3460296</v>
      </c>
      <c r="D50" s="893">
        <f t="shared" si="5"/>
        <v>3460296</v>
      </c>
      <c r="E50" s="1690">
        <f t="shared" si="7"/>
        <v>0</v>
      </c>
      <c r="F50" s="1666">
        <f t="shared" si="2"/>
        <v>0</v>
      </c>
      <c r="G50" s="1690"/>
      <c r="H50" s="1745"/>
      <c r="I50" s="1746"/>
      <c r="J50" s="1745"/>
      <c r="K50" s="1690"/>
      <c r="L50" s="1746"/>
      <c r="M50" s="1790">
        <v>3460296</v>
      </c>
      <c r="N50" s="1690"/>
      <c r="O50" s="1695">
        <f t="shared" si="6"/>
        <v>0</v>
      </c>
      <c r="P50" s="1689"/>
      <c r="Q50" s="1690"/>
      <c r="R50" s="1750"/>
    </row>
    <row r="51" spans="1:18" ht="36">
      <c r="A51" s="1743">
        <v>6052</v>
      </c>
      <c r="B51" s="1751" t="s">
        <v>140</v>
      </c>
      <c r="C51" s="1689">
        <v>1153432</v>
      </c>
      <c r="D51" s="893">
        <f t="shared" si="5"/>
        <v>1153432</v>
      </c>
      <c r="E51" s="1690">
        <f t="shared" si="7"/>
        <v>0</v>
      </c>
      <c r="F51" s="1666">
        <f t="shared" si="2"/>
        <v>0</v>
      </c>
      <c r="G51" s="1690"/>
      <c r="H51" s="1745"/>
      <c r="I51" s="1746"/>
      <c r="J51" s="1745"/>
      <c r="K51" s="1690"/>
      <c r="L51" s="1746"/>
      <c r="M51" s="1790">
        <v>1153432</v>
      </c>
      <c r="N51" s="1690"/>
      <c r="O51" s="1695">
        <f t="shared" si="6"/>
        <v>0</v>
      </c>
      <c r="P51" s="1689"/>
      <c r="Q51" s="1690"/>
      <c r="R51" s="1750"/>
    </row>
    <row r="52" spans="1:18" ht="48">
      <c r="A52" s="1743">
        <v>6051</v>
      </c>
      <c r="B52" s="1751" t="s">
        <v>141</v>
      </c>
      <c r="C52" s="1689">
        <v>3089439</v>
      </c>
      <c r="D52" s="893">
        <f t="shared" si="5"/>
        <v>3089439</v>
      </c>
      <c r="E52" s="1690">
        <f t="shared" si="7"/>
        <v>0</v>
      </c>
      <c r="F52" s="1666">
        <f t="shared" si="2"/>
        <v>0</v>
      </c>
      <c r="G52" s="1690"/>
      <c r="H52" s="1745"/>
      <c r="I52" s="1746"/>
      <c r="J52" s="1745"/>
      <c r="K52" s="1690"/>
      <c r="L52" s="1746"/>
      <c r="M52" s="1790">
        <v>3089439</v>
      </c>
      <c r="N52" s="1690"/>
      <c r="O52" s="1695">
        <f t="shared" si="6"/>
        <v>0</v>
      </c>
      <c r="P52" s="1689"/>
      <c r="Q52" s="1690"/>
      <c r="R52" s="1750"/>
    </row>
    <row r="53" spans="1:18" ht="48">
      <c r="A53" s="1743">
        <v>6052</v>
      </c>
      <c r="B53" s="1751" t="s">
        <v>141</v>
      </c>
      <c r="C53" s="1689">
        <v>1029813</v>
      </c>
      <c r="D53" s="893">
        <f t="shared" si="5"/>
        <v>1029813</v>
      </c>
      <c r="E53" s="1690">
        <f t="shared" si="7"/>
        <v>0</v>
      </c>
      <c r="F53" s="1666">
        <f t="shared" si="2"/>
        <v>0</v>
      </c>
      <c r="G53" s="1690"/>
      <c r="H53" s="1745"/>
      <c r="I53" s="1746"/>
      <c r="J53" s="1745"/>
      <c r="K53" s="1690"/>
      <c r="L53" s="1746"/>
      <c r="M53" s="1790">
        <v>1029813</v>
      </c>
      <c r="N53" s="1690"/>
      <c r="O53" s="1695">
        <f t="shared" si="6"/>
        <v>0</v>
      </c>
      <c r="P53" s="1689"/>
      <c r="Q53" s="1690"/>
      <c r="R53" s="1750"/>
    </row>
    <row r="54" spans="1:18" ht="48">
      <c r="A54" s="1743">
        <v>6051</v>
      </c>
      <c r="B54" s="1751" t="s">
        <v>142</v>
      </c>
      <c r="C54" s="1689">
        <v>8640000</v>
      </c>
      <c r="D54" s="893">
        <f t="shared" si="5"/>
        <v>13950000</v>
      </c>
      <c r="E54" s="1690">
        <f t="shared" si="7"/>
        <v>0</v>
      </c>
      <c r="F54" s="1666">
        <f t="shared" si="2"/>
        <v>0</v>
      </c>
      <c r="G54" s="1690"/>
      <c r="H54" s="1745"/>
      <c r="I54" s="1746"/>
      <c r="J54" s="1745"/>
      <c r="K54" s="1690"/>
      <c r="L54" s="1746"/>
      <c r="M54" s="1790">
        <f>8640000+5310000</f>
        <v>13950000</v>
      </c>
      <c r="N54" s="1690"/>
      <c r="O54" s="1695">
        <f t="shared" si="6"/>
        <v>0</v>
      </c>
      <c r="P54" s="1689"/>
      <c r="Q54" s="1690"/>
      <c r="R54" s="1750"/>
    </row>
    <row r="55" spans="1:18" ht="48">
      <c r="A55" s="1743">
        <v>6052</v>
      </c>
      <c r="B55" s="1751" t="s">
        <v>142</v>
      </c>
      <c r="C55" s="1689">
        <v>18360000</v>
      </c>
      <c r="D55" s="893">
        <f t="shared" si="5"/>
        <v>12304850</v>
      </c>
      <c r="E55" s="1690">
        <f t="shared" si="7"/>
        <v>1853557</v>
      </c>
      <c r="F55" s="1666">
        <f t="shared" si="2"/>
        <v>15.063629381910385</v>
      </c>
      <c r="G55" s="1690"/>
      <c r="H55" s="1745"/>
      <c r="I55" s="1746"/>
      <c r="J55" s="1745"/>
      <c r="K55" s="1690"/>
      <c r="L55" s="1746"/>
      <c r="M55" s="1790">
        <f>18231864-7181864+1254850</f>
        <v>12304850</v>
      </c>
      <c r="N55" s="1791">
        <v>1853557</v>
      </c>
      <c r="O55" s="1695">
        <f t="shared" si="6"/>
        <v>15.063629381910385</v>
      </c>
      <c r="P55" s="1689"/>
      <c r="Q55" s="1690"/>
      <c r="R55" s="1750"/>
    </row>
    <row r="56" spans="1:18" s="1735" customFormat="1" ht="15.75" customHeight="1">
      <c r="A56" s="1736">
        <v>60016</v>
      </c>
      <c r="B56" s="1737" t="s">
        <v>143</v>
      </c>
      <c r="C56" s="1678">
        <f>SUM(C57:C61)</f>
        <v>3060000</v>
      </c>
      <c r="D56" s="908">
        <f t="shared" si="5"/>
        <v>4629000</v>
      </c>
      <c r="E56" s="1680">
        <f t="shared" si="5"/>
        <v>893820</v>
      </c>
      <c r="F56" s="1681">
        <f t="shared" si="2"/>
        <v>19.309138042773817</v>
      </c>
      <c r="G56" s="1687">
        <f>SUM(G57:G61)</f>
        <v>4629000</v>
      </c>
      <c r="H56" s="1687">
        <f>SUM(H57:H61)</f>
        <v>893820</v>
      </c>
      <c r="I56" s="1776">
        <f aca="true" t="shared" si="8" ref="I56:I61">H56/G56*100</f>
        <v>19.309138042773817</v>
      </c>
      <c r="J56" s="1792"/>
      <c r="K56" s="1687"/>
      <c r="L56" s="1786"/>
      <c r="M56" s="1687"/>
      <c r="N56" s="1687"/>
      <c r="O56" s="1793"/>
      <c r="P56" s="1678"/>
      <c r="Q56" s="1687"/>
      <c r="R56" s="1721"/>
    </row>
    <row r="57" spans="1:18" ht="24">
      <c r="A57" s="1722">
        <v>4210</v>
      </c>
      <c r="B57" s="1794" t="s">
        <v>114</v>
      </c>
      <c r="C57" s="1693">
        <v>10000</v>
      </c>
      <c r="D57" s="932">
        <f t="shared" si="5"/>
        <v>10000</v>
      </c>
      <c r="E57" s="1707">
        <f t="shared" si="7"/>
        <v>3168</v>
      </c>
      <c r="F57" s="1691">
        <f t="shared" si="2"/>
        <v>31.680000000000003</v>
      </c>
      <c r="G57" s="1693">
        <v>10000</v>
      </c>
      <c r="H57" s="1726">
        <v>3168</v>
      </c>
      <c r="I57" s="1710">
        <f t="shared" si="8"/>
        <v>31.680000000000003</v>
      </c>
      <c r="J57" s="1795"/>
      <c r="K57" s="1726"/>
      <c r="L57" s="1796"/>
      <c r="M57" s="1726"/>
      <c r="N57" s="1726"/>
      <c r="O57" s="1797"/>
      <c r="P57" s="1727"/>
      <c r="Q57" s="1726"/>
      <c r="R57" s="1728"/>
    </row>
    <row r="58" spans="1:18" ht="16.5" customHeight="1">
      <c r="A58" s="1743">
        <v>4270</v>
      </c>
      <c r="B58" s="1751" t="s">
        <v>120</v>
      </c>
      <c r="C58" s="1689">
        <v>2000000</v>
      </c>
      <c r="D58" s="893">
        <f t="shared" si="5"/>
        <v>1306380</v>
      </c>
      <c r="E58" s="1690">
        <f t="shared" si="7"/>
        <v>644925</v>
      </c>
      <c r="F58" s="1666">
        <f t="shared" si="2"/>
        <v>49.36733569099343</v>
      </c>
      <c r="G58" s="1689">
        <f>1922380+1230000-1846000</f>
        <v>1306380</v>
      </c>
      <c r="H58" s="1690">
        <v>644925</v>
      </c>
      <c r="I58" s="1669">
        <f t="shared" si="8"/>
        <v>49.36733569099343</v>
      </c>
      <c r="J58" s="1745"/>
      <c r="K58" s="1749"/>
      <c r="L58" s="1789"/>
      <c r="M58" s="1690"/>
      <c r="N58" s="1690"/>
      <c r="O58" s="1747"/>
      <c r="P58" s="1689"/>
      <c r="Q58" s="1690"/>
      <c r="R58" s="1754"/>
    </row>
    <row r="59" spans="1:18" ht="14.25" customHeight="1">
      <c r="A59" s="1743">
        <v>4300</v>
      </c>
      <c r="B59" s="1751" t="s">
        <v>122</v>
      </c>
      <c r="C59" s="1689">
        <v>100000</v>
      </c>
      <c r="D59" s="893">
        <f t="shared" si="5"/>
        <v>100000</v>
      </c>
      <c r="E59" s="1690">
        <f t="shared" si="7"/>
        <v>24275</v>
      </c>
      <c r="F59" s="1666">
        <f t="shared" si="2"/>
        <v>24.275</v>
      </c>
      <c r="G59" s="1689">
        <v>100000</v>
      </c>
      <c r="H59" s="1690">
        <v>24275</v>
      </c>
      <c r="I59" s="1669">
        <f t="shared" si="8"/>
        <v>24.275</v>
      </c>
      <c r="J59" s="1745"/>
      <c r="K59" s="1749"/>
      <c r="L59" s="1789"/>
      <c r="M59" s="1690"/>
      <c r="N59" s="1690"/>
      <c r="O59" s="1747"/>
      <c r="P59" s="1689"/>
      <c r="Q59" s="1690"/>
      <c r="R59" s="1754"/>
    </row>
    <row r="60" spans="1:18" ht="14.25" customHeight="1">
      <c r="A60" s="1743">
        <v>4430</v>
      </c>
      <c r="B60" s="1751" t="s">
        <v>124</v>
      </c>
      <c r="C60" s="1689"/>
      <c r="D60" s="893">
        <f t="shared" si="5"/>
        <v>2620</v>
      </c>
      <c r="E60" s="1690">
        <f t="shared" si="7"/>
        <v>2611</v>
      </c>
      <c r="F60" s="1666">
        <f t="shared" si="2"/>
        <v>99.65648854961832</v>
      </c>
      <c r="G60" s="1689">
        <v>2620</v>
      </c>
      <c r="H60" s="1690">
        <v>2611</v>
      </c>
      <c r="I60" s="1669">
        <f t="shared" si="8"/>
        <v>99.65648854961832</v>
      </c>
      <c r="J60" s="1745"/>
      <c r="K60" s="1749"/>
      <c r="L60" s="1789"/>
      <c r="M60" s="1690"/>
      <c r="N60" s="1690"/>
      <c r="O60" s="1747"/>
      <c r="P60" s="1689"/>
      <c r="Q60" s="1690"/>
      <c r="R60" s="1754"/>
    </row>
    <row r="61" spans="1:18" ht="24">
      <c r="A61" s="1798">
        <v>6050</v>
      </c>
      <c r="B61" s="1799" t="s">
        <v>144</v>
      </c>
      <c r="C61" s="1800">
        <v>950000</v>
      </c>
      <c r="D61" s="925">
        <f t="shared" si="5"/>
        <v>3210000</v>
      </c>
      <c r="E61" s="1791">
        <f t="shared" si="7"/>
        <v>218841</v>
      </c>
      <c r="F61" s="1719">
        <f t="shared" si="2"/>
        <v>6.817476635514019</v>
      </c>
      <c r="G61" s="1800">
        <f>970000+400000+1840000</f>
        <v>3210000</v>
      </c>
      <c r="H61" s="1791">
        <v>218841</v>
      </c>
      <c r="I61" s="1739">
        <f t="shared" si="8"/>
        <v>6.817476635514019</v>
      </c>
      <c r="J61" s="1801"/>
      <c r="K61" s="1802"/>
      <c r="L61" s="1803"/>
      <c r="M61" s="1791"/>
      <c r="N61" s="1791"/>
      <c r="O61" s="1804"/>
      <c r="P61" s="1800"/>
      <c r="Q61" s="1791"/>
      <c r="R61" s="1804"/>
    </row>
    <row r="62" spans="1:18" s="1585" customFormat="1" ht="25.5" customHeight="1" hidden="1">
      <c r="A62" s="1805"/>
      <c r="B62" s="1806" t="s">
        <v>145</v>
      </c>
      <c r="C62" s="1807">
        <v>500000</v>
      </c>
      <c r="D62" s="1808">
        <f t="shared" si="5"/>
        <v>250000</v>
      </c>
      <c r="E62" s="1808">
        <f t="shared" si="7"/>
        <v>0</v>
      </c>
      <c r="F62" s="1666">
        <f t="shared" si="2"/>
        <v>0</v>
      </c>
      <c r="G62" s="1807">
        <f>500000-250000</f>
        <v>250000</v>
      </c>
      <c r="H62" s="1808"/>
      <c r="I62" s="1809"/>
      <c r="J62" s="1810"/>
      <c r="K62" s="1811"/>
      <c r="L62" s="1669"/>
      <c r="M62" s="1808"/>
      <c r="N62" s="1808"/>
      <c r="O62" s="1812"/>
      <c r="P62" s="1807"/>
      <c r="Q62" s="1808"/>
      <c r="R62" s="1813"/>
    </row>
    <row r="63" spans="1:18" s="1585" customFormat="1" ht="21.75" customHeight="1" hidden="1">
      <c r="A63" s="1805"/>
      <c r="B63" s="1806" t="s">
        <v>146</v>
      </c>
      <c r="C63" s="1807">
        <v>200000</v>
      </c>
      <c r="D63" s="1808">
        <f t="shared" si="5"/>
        <v>200000</v>
      </c>
      <c r="E63" s="1808">
        <f t="shared" si="7"/>
        <v>0</v>
      </c>
      <c r="F63" s="1666">
        <f t="shared" si="2"/>
        <v>0</v>
      </c>
      <c r="G63" s="1807">
        <v>200000</v>
      </c>
      <c r="H63" s="1808"/>
      <c r="I63" s="1809"/>
      <c r="J63" s="1810"/>
      <c r="K63" s="1811"/>
      <c r="L63" s="1669"/>
      <c r="M63" s="1808"/>
      <c r="N63" s="1808"/>
      <c r="O63" s="1812"/>
      <c r="P63" s="1807"/>
      <c r="Q63" s="1808"/>
      <c r="R63" s="1813"/>
    </row>
    <row r="64" spans="1:18" s="1585" customFormat="1" ht="25.5" customHeight="1" hidden="1">
      <c r="A64" s="1805"/>
      <c r="B64" s="1806" t="s">
        <v>147</v>
      </c>
      <c r="C64" s="1807">
        <v>300000</v>
      </c>
      <c r="D64" s="1808">
        <f t="shared" si="5"/>
        <v>300000</v>
      </c>
      <c r="E64" s="1808">
        <f t="shared" si="7"/>
        <v>0</v>
      </c>
      <c r="F64" s="1666">
        <f t="shared" si="2"/>
        <v>0</v>
      </c>
      <c r="G64" s="1807">
        <v>300000</v>
      </c>
      <c r="H64" s="1808"/>
      <c r="I64" s="1809"/>
      <c r="J64" s="1810"/>
      <c r="K64" s="1811"/>
      <c r="L64" s="1669"/>
      <c r="M64" s="1808"/>
      <c r="N64" s="1808"/>
      <c r="O64" s="1812"/>
      <c r="P64" s="1807"/>
      <c r="Q64" s="1808"/>
      <c r="R64" s="1813"/>
    </row>
    <row r="65" spans="1:18" s="1585" customFormat="1" ht="18.75" customHeight="1" hidden="1">
      <c r="A65" s="1805"/>
      <c r="B65" s="1806" t="s">
        <v>148</v>
      </c>
      <c r="C65" s="1807">
        <v>50000</v>
      </c>
      <c r="D65" s="1808">
        <f t="shared" si="5"/>
        <v>50000</v>
      </c>
      <c r="E65" s="1808">
        <f t="shared" si="7"/>
        <v>0</v>
      </c>
      <c r="F65" s="1666">
        <f t="shared" si="2"/>
        <v>0</v>
      </c>
      <c r="G65" s="1807">
        <v>50000</v>
      </c>
      <c r="H65" s="1808"/>
      <c r="I65" s="1809"/>
      <c r="J65" s="1810"/>
      <c r="K65" s="1811"/>
      <c r="L65" s="1669"/>
      <c r="M65" s="1808"/>
      <c r="N65" s="1808"/>
      <c r="O65" s="1812"/>
      <c r="P65" s="1807"/>
      <c r="Q65" s="1808"/>
      <c r="R65" s="1813"/>
    </row>
    <row r="66" spans="1:18" s="1585" customFormat="1" ht="11.25" customHeight="1" hidden="1" thickBot="1">
      <c r="A66" s="1805"/>
      <c r="B66" s="1806" t="s">
        <v>149</v>
      </c>
      <c r="C66" s="1807">
        <v>400000</v>
      </c>
      <c r="D66" s="1808">
        <f t="shared" si="5"/>
        <v>400000</v>
      </c>
      <c r="E66" s="1808">
        <f t="shared" si="7"/>
        <v>0</v>
      </c>
      <c r="F66" s="1666">
        <f t="shared" si="2"/>
        <v>0</v>
      </c>
      <c r="G66" s="1807">
        <v>400000</v>
      </c>
      <c r="H66" s="1808"/>
      <c r="I66" s="1809"/>
      <c r="J66" s="1810"/>
      <c r="K66" s="1811"/>
      <c r="L66" s="1669"/>
      <c r="M66" s="1808"/>
      <c r="N66" s="1808"/>
      <c r="O66" s="1812"/>
      <c r="P66" s="1807"/>
      <c r="Q66" s="1808"/>
      <c r="R66" s="1813"/>
    </row>
    <row r="67" spans="1:18" s="1585" customFormat="1" ht="23.25" customHeight="1" hidden="1" thickBot="1" thickTop="1">
      <c r="A67" s="1805"/>
      <c r="B67" s="1806" t="s">
        <v>150</v>
      </c>
      <c r="C67" s="1807">
        <v>300000</v>
      </c>
      <c r="D67" s="1808">
        <f t="shared" si="5"/>
        <v>300000</v>
      </c>
      <c r="E67" s="1808">
        <f t="shared" si="7"/>
        <v>0</v>
      </c>
      <c r="F67" s="1666">
        <f t="shared" si="2"/>
        <v>0</v>
      </c>
      <c r="G67" s="1807">
        <v>300000</v>
      </c>
      <c r="H67" s="1808"/>
      <c r="I67" s="1809"/>
      <c r="J67" s="1810"/>
      <c r="K67" s="1811"/>
      <c r="L67" s="1669"/>
      <c r="M67" s="1808"/>
      <c r="N67" s="1808"/>
      <c r="O67" s="1812"/>
      <c r="P67" s="1807"/>
      <c r="Q67" s="1808"/>
      <c r="R67" s="1813"/>
    </row>
    <row r="68" spans="1:18" s="1585" customFormat="1" ht="15.75" customHeight="1" hidden="1" thickBot="1" thickTop="1">
      <c r="A68" s="1805"/>
      <c r="B68" s="1806" t="s">
        <v>151</v>
      </c>
      <c r="C68" s="1807">
        <v>200000</v>
      </c>
      <c r="D68" s="1808">
        <f t="shared" si="5"/>
        <v>200000</v>
      </c>
      <c r="E68" s="1808">
        <f t="shared" si="7"/>
        <v>0</v>
      </c>
      <c r="F68" s="1666">
        <f t="shared" si="2"/>
        <v>0</v>
      </c>
      <c r="G68" s="1807">
        <v>200000</v>
      </c>
      <c r="H68" s="1808"/>
      <c r="I68" s="1809"/>
      <c r="J68" s="1810"/>
      <c r="K68" s="1811"/>
      <c r="L68" s="1669"/>
      <c r="M68" s="1808"/>
      <c r="N68" s="1808"/>
      <c r="O68" s="1812"/>
      <c r="P68" s="1807"/>
      <c r="Q68" s="1808"/>
      <c r="R68" s="1813"/>
    </row>
    <row r="69" spans="1:18" s="1585" customFormat="1" ht="15" customHeight="1" hidden="1" thickBot="1" thickTop="1">
      <c r="A69" s="1805"/>
      <c r="B69" s="1806" t="s">
        <v>152</v>
      </c>
      <c r="C69" s="1807">
        <v>400000</v>
      </c>
      <c r="D69" s="1808">
        <f t="shared" si="5"/>
        <v>400000</v>
      </c>
      <c r="E69" s="1808">
        <f t="shared" si="7"/>
        <v>0</v>
      </c>
      <c r="F69" s="1666">
        <f t="shared" si="2"/>
        <v>0</v>
      </c>
      <c r="G69" s="1807">
        <v>400000</v>
      </c>
      <c r="H69" s="1808"/>
      <c r="I69" s="1809"/>
      <c r="J69" s="1810"/>
      <c r="K69" s="1811"/>
      <c r="L69" s="1669"/>
      <c r="M69" s="1808"/>
      <c r="N69" s="1808"/>
      <c r="O69" s="1812"/>
      <c r="P69" s="1807"/>
      <c r="Q69" s="1808"/>
      <c r="R69" s="1813"/>
    </row>
    <row r="70" spans="1:18" s="1585" customFormat="1" ht="15" customHeight="1" hidden="1" thickBot="1" thickTop="1">
      <c r="A70" s="1805"/>
      <c r="B70" s="1806" t="s">
        <v>153</v>
      </c>
      <c r="C70" s="1807">
        <v>300000</v>
      </c>
      <c r="D70" s="1808">
        <f aca="true" t="shared" si="9" ref="D70:D133">G70+J70+P70+M70</f>
        <v>300000</v>
      </c>
      <c r="E70" s="1808">
        <f>SUM(H70+K70+N70+Q70)</f>
        <v>0</v>
      </c>
      <c r="F70" s="1666">
        <f>E70/D70*100</f>
        <v>0</v>
      </c>
      <c r="G70" s="1807">
        <v>300000</v>
      </c>
      <c r="H70" s="1808"/>
      <c r="I70" s="1809"/>
      <c r="J70" s="1810"/>
      <c r="K70" s="1811"/>
      <c r="L70" s="1669"/>
      <c r="M70" s="1808"/>
      <c r="N70" s="1808"/>
      <c r="O70" s="1812"/>
      <c r="P70" s="1807"/>
      <c r="Q70" s="1808"/>
      <c r="R70" s="1813"/>
    </row>
    <row r="71" spans="1:18" s="1585" customFormat="1" ht="18" customHeight="1" hidden="1" thickBot="1" thickTop="1">
      <c r="A71" s="1805"/>
      <c r="B71" s="1806" t="s">
        <v>154</v>
      </c>
      <c r="C71" s="1807">
        <v>100000</v>
      </c>
      <c r="D71" s="1808">
        <f t="shared" si="9"/>
        <v>100000</v>
      </c>
      <c r="E71" s="1808">
        <f t="shared" si="7"/>
        <v>0</v>
      </c>
      <c r="F71" s="1666">
        <f aca="true" t="shared" si="10" ref="F71:F134">E71/D71*100</f>
        <v>0</v>
      </c>
      <c r="G71" s="1807">
        <v>100000</v>
      </c>
      <c r="H71" s="1808"/>
      <c r="I71" s="1809"/>
      <c r="J71" s="1810"/>
      <c r="K71" s="1811"/>
      <c r="L71" s="1669"/>
      <c r="M71" s="1808"/>
      <c r="N71" s="1808"/>
      <c r="O71" s="1812"/>
      <c r="P71" s="1807"/>
      <c r="Q71" s="1808"/>
      <c r="R71" s="1813"/>
    </row>
    <row r="72" spans="1:18" s="1585" customFormat="1" ht="16.5" customHeight="1" hidden="1" thickTop="1">
      <c r="A72" s="1805"/>
      <c r="B72" s="1806" t="s">
        <v>155</v>
      </c>
      <c r="C72" s="1807">
        <v>400000</v>
      </c>
      <c r="D72" s="1808">
        <f t="shared" si="9"/>
        <v>400000</v>
      </c>
      <c r="E72" s="1808">
        <f t="shared" si="7"/>
        <v>0</v>
      </c>
      <c r="F72" s="1666">
        <f t="shared" si="10"/>
        <v>0</v>
      </c>
      <c r="G72" s="1807">
        <v>400000</v>
      </c>
      <c r="H72" s="1808"/>
      <c r="I72" s="1809"/>
      <c r="J72" s="1810"/>
      <c r="K72" s="1811"/>
      <c r="L72" s="1669"/>
      <c r="M72" s="1808"/>
      <c r="N72" s="1808"/>
      <c r="O72" s="1812"/>
      <c r="P72" s="1807"/>
      <c r="Q72" s="1808"/>
      <c r="R72" s="1813"/>
    </row>
    <row r="73" spans="1:18" s="1585" customFormat="1" ht="17.25" customHeight="1" hidden="1">
      <c r="A73" s="1805"/>
      <c r="B73" s="1814" t="s">
        <v>156</v>
      </c>
      <c r="C73" s="1807">
        <v>100000</v>
      </c>
      <c r="D73" s="1808">
        <f t="shared" si="9"/>
        <v>170000</v>
      </c>
      <c r="E73" s="1808">
        <f t="shared" si="7"/>
        <v>0</v>
      </c>
      <c r="F73" s="1666">
        <f t="shared" si="10"/>
        <v>0</v>
      </c>
      <c r="G73" s="1807">
        <f>100000+70000</f>
        <v>170000</v>
      </c>
      <c r="H73" s="1808"/>
      <c r="I73" s="1809"/>
      <c r="J73" s="1810"/>
      <c r="K73" s="1811"/>
      <c r="L73" s="1669"/>
      <c r="M73" s="1808"/>
      <c r="N73" s="1808"/>
      <c r="O73" s="1812"/>
      <c r="P73" s="1807"/>
      <c r="Q73" s="1808"/>
      <c r="R73" s="1813"/>
    </row>
    <row r="74" spans="1:18" s="1585" customFormat="1" ht="17.25" customHeight="1" hidden="1">
      <c r="A74" s="1805"/>
      <c r="B74" s="1814" t="s">
        <v>157</v>
      </c>
      <c r="C74" s="1807">
        <v>100000</v>
      </c>
      <c r="D74" s="1808">
        <f t="shared" si="9"/>
        <v>160000</v>
      </c>
      <c r="E74" s="1808">
        <f>SUM(H74+K74+N74+Q74)</f>
        <v>0</v>
      </c>
      <c r="F74" s="1666">
        <f>E74/D74*100</f>
        <v>0</v>
      </c>
      <c r="G74" s="1807">
        <f>100000+60000</f>
        <v>160000</v>
      </c>
      <c r="H74" s="1808"/>
      <c r="I74" s="1809"/>
      <c r="J74" s="1810"/>
      <c r="K74" s="1811"/>
      <c r="L74" s="1669"/>
      <c r="M74" s="1808"/>
      <c r="N74" s="1808"/>
      <c r="O74" s="1812"/>
      <c r="P74" s="1807"/>
      <c r="Q74" s="1808"/>
      <c r="R74" s="1813"/>
    </row>
    <row r="75" spans="1:18" s="1585" customFormat="1" ht="17.25" customHeight="1" hidden="1">
      <c r="A75" s="1805"/>
      <c r="B75" s="1814" t="s">
        <v>158</v>
      </c>
      <c r="C75" s="1807">
        <v>100000</v>
      </c>
      <c r="D75" s="1808">
        <f t="shared" si="9"/>
        <v>100000</v>
      </c>
      <c r="E75" s="1808">
        <f>SUM(H75+K75+N75+Q75)</f>
        <v>0</v>
      </c>
      <c r="F75" s="1666">
        <f>E75/D75*100</f>
        <v>0</v>
      </c>
      <c r="G75" s="1807">
        <v>100000</v>
      </c>
      <c r="H75" s="1808"/>
      <c r="I75" s="1809"/>
      <c r="J75" s="1810"/>
      <c r="K75" s="1811"/>
      <c r="L75" s="1669"/>
      <c r="M75" s="1808"/>
      <c r="N75" s="1808"/>
      <c r="O75" s="1812"/>
      <c r="P75" s="1807"/>
      <c r="Q75" s="1808"/>
      <c r="R75" s="1813"/>
    </row>
    <row r="76" spans="1:18" s="1585" customFormat="1" ht="17.25" customHeight="1" hidden="1">
      <c r="A76" s="1805"/>
      <c r="B76" s="1814" t="s">
        <v>159</v>
      </c>
      <c r="C76" s="1807">
        <v>300000</v>
      </c>
      <c r="D76" s="1808">
        <f t="shared" si="9"/>
        <v>300000</v>
      </c>
      <c r="E76" s="1808">
        <f>SUM(H76+K76+N76+Q76)</f>
        <v>0</v>
      </c>
      <c r="F76" s="1666">
        <f>E76/D76*100</f>
        <v>0</v>
      </c>
      <c r="G76" s="1807">
        <v>300000</v>
      </c>
      <c r="H76" s="1808"/>
      <c r="I76" s="1809"/>
      <c r="J76" s="1810"/>
      <c r="K76" s="1811"/>
      <c r="L76" s="1669"/>
      <c r="M76" s="1808"/>
      <c r="N76" s="1808"/>
      <c r="O76" s="1812"/>
      <c r="P76" s="1807"/>
      <c r="Q76" s="1808"/>
      <c r="R76" s="1813"/>
    </row>
    <row r="77" spans="1:18" s="1585" customFormat="1" ht="31.5" customHeight="1" hidden="1">
      <c r="A77" s="1805"/>
      <c r="B77" s="1814" t="s">
        <v>160</v>
      </c>
      <c r="C77" s="1807">
        <v>200000</v>
      </c>
      <c r="D77" s="1808">
        <f t="shared" si="9"/>
        <v>200000</v>
      </c>
      <c r="E77" s="1808">
        <f>SUM(H77+K77+N77+Q77)</f>
        <v>0</v>
      </c>
      <c r="F77" s="1666">
        <f>E77/D77*100</f>
        <v>0</v>
      </c>
      <c r="G77" s="1807">
        <v>200000</v>
      </c>
      <c r="H77" s="1808"/>
      <c r="I77" s="1809"/>
      <c r="J77" s="1810"/>
      <c r="K77" s="1811"/>
      <c r="L77" s="1669"/>
      <c r="M77" s="1808"/>
      <c r="N77" s="1808"/>
      <c r="O77" s="1812"/>
      <c r="P77" s="1807"/>
      <c r="Q77" s="1808"/>
      <c r="R77" s="1813"/>
    </row>
    <row r="78" spans="1:18" s="1771" customFormat="1" ht="14.25" customHeight="1">
      <c r="A78" s="1783">
        <v>60017</v>
      </c>
      <c r="B78" s="1815" t="s">
        <v>161</v>
      </c>
      <c r="C78" s="886">
        <f>SUM(C79:C82)</f>
        <v>334600</v>
      </c>
      <c r="D78" s="908">
        <f t="shared" si="9"/>
        <v>1402050</v>
      </c>
      <c r="E78" s="1680">
        <f>H78+K78+Q78+N78</f>
        <v>146927</v>
      </c>
      <c r="F78" s="1681">
        <f t="shared" si="10"/>
        <v>10.479440818801042</v>
      </c>
      <c r="G78" s="886">
        <f>SUM(G79:G82)</f>
        <v>1402050</v>
      </c>
      <c r="H78" s="908">
        <f>SUM(H79:H82)</f>
        <v>146927</v>
      </c>
      <c r="I78" s="1776">
        <f>H78/G78*100</f>
        <v>10.479440818801042</v>
      </c>
      <c r="J78" s="1816"/>
      <c r="K78" s="1679"/>
      <c r="L78" s="1786"/>
      <c r="M78" s="908"/>
      <c r="N78" s="908"/>
      <c r="O78" s="1817"/>
      <c r="P78" s="886"/>
      <c r="Q78" s="908"/>
      <c r="R78" s="889"/>
    </row>
    <row r="79" spans="1:18" s="1586" customFormat="1" ht="14.25" customHeight="1">
      <c r="A79" s="1818">
        <v>4270</v>
      </c>
      <c r="B79" s="1819" t="s">
        <v>120</v>
      </c>
      <c r="C79" s="895">
        <v>327600</v>
      </c>
      <c r="D79" s="893">
        <f t="shared" si="9"/>
        <v>909050</v>
      </c>
      <c r="E79" s="1690">
        <f>SUM(H79+K79+N79+Q79)</f>
        <v>145115</v>
      </c>
      <c r="F79" s="1666">
        <f t="shared" si="10"/>
        <v>15.963368351575822</v>
      </c>
      <c r="G79" s="895">
        <f>393620+559780+6000-52350+2000</f>
        <v>909050</v>
      </c>
      <c r="H79" s="893">
        <v>145115</v>
      </c>
      <c r="I79" s="1669">
        <f>H79/G79*100</f>
        <v>15.963368351575822</v>
      </c>
      <c r="J79" s="1820"/>
      <c r="K79" s="1667"/>
      <c r="L79" s="1789"/>
      <c r="M79" s="893"/>
      <c r="N79" s="893"/>
      <c r="O79" s="1821"/>
      <c r="P79" s="895"/>
      <c r="Q79" s="893"/>
      <c r="R79" s="897"/>
    </row>
    <row r="80" spans="1:18" s="1586" customFormat="1" ht="15.75" customHeight="1">
      <c r="A80" s="1818">
        <v>4300</v>
      </c>
      <c r="B80" s="1819" t="s">
        <v>122</v>
      </c>
      <c r="C80" s="895">
        <v>5000</v>
      </c>
      <c r="D80" s="893">
        <f t="shared" si="9"/>
        <v>5000</v>
      </c>
      <c r="E80" s="1690">
        <f>SUM(H80+K80+N80+Q80)</f>
        <v>1012</v>
      </c>
      <c r="F80" s="1666">
        <f t="shared" si="10"/>
        <v>20.24</v>
      </c>
      <c r="G80" s="895">
        <v>5000</v>
      </c>
      <c r="H80" s="893">
        <v>1012</v>
      </c>
      <c r="I80" s="1669">
        <f>H80/G80*100</f>
        <v>20.24</v>
      </c>
      <c r="J80" s="1820"/>
      <c r="K80" s="1667"/>
      <c r="L80" s="1789"/>
      <c r="M80" s="893"/>
      <c r="N80" s="893"/>
      <c r="O80" s="1821"/>
      <c r="P80" s="895"/>
      <c r="Q80" s="893"/>
      <c r="R80" s="897"/>
    </row>
    <row r="81" spans="1:18" s="1586" customFormat="1" ht="14.25" customHeight="1">
      <c r="A81" s="1818">
        <v>4430</v>
      </c>
      <c r="B81" s="1819" t="s">
        <v>124</v>
      </c>
      <c r="C81" s="895">
        <v>2000</v>
      </c>
      <c r="D81" s="893">
        <f t="shared" si="9"/>
        <v>2000</v>
      </c>
      <c r="E81" s="1690">
        <f>SUM(H81+K81+N81+Q81)</f>
        <v>800</v>
      </c>
      <c r="F81" s="1666">
        <f t="shared" si="10"/>
        <v>40</v>
      </c>
      <c r="G81" s="895">
        <v>2000</v>
      </c>
      <c r="H81" s="893">
        <v>800</v>
      </c>
      <c r="I81" s="1669">
        <f>H81/G81*100</f>
        <v>40</v>
      </c>
      <c r="J81" s="1820"/>
      <c r="K81" s="1667"/>
      <c r="L81" s="1789"/>
      <c r="M81" s="893"/>
      <c r="N81" s="893"/>
      <c r="O81" s="1821"/>
      <c r="P81" s="895"/>
      <c r="Q81" s="893"/>
      <c r="R81" s="897"/>
    </row>
    <row r="82" spans="1:18" s="1586" customFormat="1" ht="24">
      <c r="A82" s="1798">
        <v>6050</v>
      </c>
      <c r="B82" s="1799" t="s">
        <v>144</v>
      </c>
      <c r="C82" s="924"/>
      <c r="D82" s="925">
        <f t="shared" si="9"/>
        <v>486000</v>
      </c>
      <c r="E82" s="1791">
        <f>SUM(H82+K82+N82+Q82)</f>
        <v>0</v>
      </c>
      <c r="F82" s="1719">
        <f t="shared" si="10"/>
        <v>0</v>
      </c>
      <c r="G82" s="924">
        <v>486000</v>
      </c>
      <c r="H82" s="925"/>
      <c r="I82" s="1739">
        <f>H82/G82*100</f>
        <v>0</v>
      </c>
      <c r="J82" s="1822"/>
      <c r="K82" s="1823"/>
      <c r="L82" s="1803"/>
      <c r="M82" s="925"/>
      <c r="N82" s="925"/>
      <c r="O82" s="1824"/>
      <c r="P82" s="924"/>
      <c r="Q82" s="925"/>
      <c r="R82" s="1825"/>
    </row>
    <row r="83" spans="1:18" ht="12.75">
      <c r="A83" s="1736">
        <v>60095</v>
      </c>
      <c r="B83" s="1826" t="s">
        <v>829</v>
      </c>
      <c r="C83" s="1738">
        <f>C85</f>
        <v>1891590</v>
      </c>
      <c r="D83" s="908">
        <f t="shared" si="9"/>
        <v>2216590</v>
      </c>
      <c r="E83" s="1680">
        <f>H83+K83+Q83+N83</f>
        <v>968618</v>
      </c>
      <c r="F83" s="1681">
        <f t="shared" si="10"/>
        <v>43.698564010484574</v>
      </c>
      <c r="G83" s="1738">
        <f>G85+G105+G106+G107+G84</f>
        <v>2216590</v>
      </c>
      <c r="H83" s="1680">
        <f>H85+H105+H106+H107+H84</f>
        <v>968618</v>
      </c>
      <c r="I83" s="1776">
        <f aca="true" t="shared" si="11" ref="I83:I145">H83/G83*100</f>
        <v>43.698564010484574</v>
      </c>
      <c r="J83" s="1740"/>
      <c r="K83" s="1680"/>
      <c r="L83" s="1741"/>
      <c r="M83" s="1680"/>
      <c r="N83" s="1680"/>
      <c r="O83" s="1742"/>
      <c r="P83" s="1738"/>
      <c r="Q83" s="1680"/>
      <c r="R83" s="1782"/>
    </row>
    <row r="84" spans="1:18" s="1586" customFormat="1" ht="24">
      <c r="A84" s="1818">
        <v>4300</v>
      </c>
      <c r="B84" s="1819" t="s">
        <v>162</v>
      </c>
      <c r="C84" s="895"/>
      <c r="D84" s="893">
        <f t="shared" si="9"/>
        <v>250000</v>
      </c>
      <c r="E84" s="893">
        <f>H84+K84+Q84+N84</f>
        <v>0</v>
      </c>
      <c r="F84" s="1666">
        <f t="shared" si="10"/>
        <v>0</v>
      </c>
      <c r="G84" s="927">
        <v>250000</v>
      </c>
      <c r="H84" s="932"/>
      <c r="I84" s="1669">
        <f t="shared" si="11"/>
        <v>0</v>
      </c>
      <c r="J84" s="1820"/>
      <c r="K84" s="893"/>
      <c r="L84" s="1746"/>
      <c r="M84" s="893"/>
      <c r="N84" s="893"/>
      <c r="O84" s="1821"/>
      <c r="P84" s="895"/>
      <c r="Q84" s="893"/>
      <c r="R84" s="897"/>
    </row>
    <row r="85" spans="1:18" s="1735" customFormat="1" ht="12.75">
      <c r="A85" s="1827"/>
      <c r="B85" s="1828" t="s">
        <v>163</v>
      </c>
      <c r="C85" s="1829">
        <f>SUM(C86:C110)</f>
        <v>1891590</v>
      </c>
      <c r="D85" s="1765">
        <f t="shared" si="9"/>
        <v>1966590</v>
      </c>
      <c r="E85" s="1830">
        <f>H85+K85+Q85+N85</f>
        <v>968618</v>
      </c>
      <c r="F85" s="1666">
        <f t="shared" si="10"/>
        <v>49.25368277068428</v>
      </c>
      <c r="G85" s="1829">
        <f>SUM(G86:G110)-G105-G106-G107</f>
        <v>1966590</v>
      </c>
      <c r="H85" s="1830">
        <f>SUM(H86:H110)-H105-H106-H107</f>
        <v>968618</v>
      </c>
      <c r="I85" s="1669">
        <f t="shared" si="11"/>
        <v>49.25368277068428</v>
      </c>
      <c r="J85" s="1831"/>
      <c r="K85" s="1830"/>
      <c r="L85" s="1832"/>
      <c r="M85" s="1830"/>
      <c r="N85" s="1830"/>
      <c r="O85" s="1747"/>
      <c r="P85" s="1829"/>
      <c r="Q85" s="1830"/>
      <c r="R85" s="1754"/>
    </row>
    <row r="86" spans="1:18" ht="36">
      <c r="A86" s="1743">
        <v>3020</v>
      </c>
      <c r="B86" s="1751" t="s">
        <v>164</v>
      </c>
      <c r="C86" s="1689">
        <v>2500</v>
      </c>
      <c r="D86" s="893">
        <f t="shared" si="9"/>
        <v>2500</v>
      </c>
      <c r="E86" s="1690">
        <f>SUM(H86+K86+N86+Q86)</f>
        <v>339</v>
      </c>
      <c r="F86" s="1666">
        <f t="shared" si="10"/>
        <v>13.56</v>
      </c>
      <c r="G86" s="1689">
        <v>2500</v>
      </c>
      <c r="H86" s="1690">
        <v>339</v>
      </c>
      <c r="I86" s="1669">
        <f t="shared" si="11"/>
        <v>13.56</v>
      </c>
      <c r="J86" s="1745"/>
      <c r="K86" s="1690"/>
      <c r="L86" s="1746"/>
      <c r="M86" s="1690"/>
      <c r="N86" s="1690"/>
      <c r="O86" s="1747"/>
      <c r="P86" s="1689"/>
      <c r="Q86" s="1690"/>
      <c r="R86" s="1754"/>
    </row>
    <row r="87" spans="1:18" ht="24">
      <c r="A87" s="1743">
        <v>4010</v>
      </c>
      <c r="B87" s="1751" t="s">
        <v>104</v>
      </c>
      <c r="C87" s="1689">
        <v>966860</v>
      </c>
      <c r="D87" s="893">
        <f t="shared" si="9"/>
        <v>966860</v>
      </c>
      <c r="E87" s="1690">
        <f>SUM(H87+K87+N87+Q87)</f>
        <v>469873</v>
      </c>
      <c r="F87" s="1666">
        <f t="shared" si="10"/>
        <v>48.59783215770639</v>
      </c>
      <c r="G87" s="1689">
        <v>966860</v>
      </c>
      <c r="H87" s="1690">
        <v>469873</v>
      </c>
      <c r="I87" s="1669">
        <f t="shared" si="11"/>
        <v>48.59783215770639</v>
      </c>
      <c r="J87" s="1745"/>
      <c r="K87" s="1690"/>
      <c r="L87" s="1746"/>
      <c r="M87" s="1690"/>
      <c r="N87" s="1690"/>
      <c r="O87" s="1747"/>
      <c r="P87" s="1689"/>
      <c r="Q87" s="1690"/>
      <c r="R87" s="1754"/>
    </row>
    <row r="88" spans="1:18" ht="24">
      <c r="A88" s="1833">
        <v>4040</v>
      </c>
      <c r="B88" s="1751" t="s">
        <v>165</v>
      </c>
      <c r="C88" s="1689">
        <v>78500</v>
      </c>
      <c r="D88" s="893">
        <f t="shared" si="9"/>
        <v>78500</v>
      </c>
      <c r="E88" s="1690">
        <f>SUM(H88+K88+N88+Q88)</f>
        <v>74767</v>
      </c>
      <c r="F88" s="1666">
        <f t="shared" si="10"/>
        <v>95.24458598726115</v>
      </c>
      <c r="G88" s="1689">
        <v>78500</v>
      </c>
      <c r="H88" s="1690">
        <v>74767</v>
      </c>
      <c r="I88" s="1669">
        <f t="shared" si="11"/>
        <v>95.24458598726115</v>
      </c>
      <c r="J88" s="1745"/>
      <c r="K88" s="1690"/>
      <c r="L88" s="1746"/>
      <c r="M88" s="1690"/>
      <c r="N88" s="1690"/>
      <c r="O88" s="1747"/>
      <c r="P88" s="1689"/>
      <c r="Q88" s="1690"/>
      <c r="R88" s="1754"/>
    </row>
    <row r="89" spans="1:18" ht="24">
      <c r="A89" s="1743">
        <v>4110</v>
      </c>
      <c r="B89" s="1751" t="s">
        <v>166</v>
      </c>
      <c r="C89" s="1689">
        <v>180000</v>
      </c>
      <c r="D89" s="893">
        <f t="shared" si="9"/>
        <v>180000</v>
      </c>
      <c r="E89" s="1690">
        <f aca="true" t="shared" si="12" ref="E89:E110">SUM(H89+K89+N89+Q89)</f>
        <v>90114</v>
      </c>
      <c r="F89" s="1666">
        <f t="shared" si="10"/>
        <v>50.06333333333334</v>
      </c>
      <c r="G89" s="1689">
        <v>180000</v>
      </c>
      <c r="H89" s="1690">
        <v>90114</v>
      </c>
      <c r="I89" s="1669">
        <f t="shared" si="11"/>
        <v>50.06333333333334</v>
      </c>
      <c r="J89" s="1745"/>
      <c r="K89" s="1690"/>
      <c r="L89" s="1746"/>
      <c r="M89" s="1690"/>
      <c r="N89" s="1690"/>
      <c r="O89" s="1747"/>
      <c r="P89" s="1689"/>
      <c r="Q89" s="1690"/>
      <c r="R89" s="1754"/>
    </row>
    <row r="90" spans="1:18" ht="12.75">
      <c r="A90" s="1743">
        <v>4120</v>
      </c>
      <c r="B90" s="1751" t="s">
        <v>167</v>
      </c>
      <c r="C90" s="1689">
        <v>24500</v>
      </c>
      <c r="D90" s="893">
        <f t="shared" si="9"/>
        <v>24500</v>
      </c>
      <c r="E90" s="1690">
        <f t="shared" si="12"/>
        <v>12748</v>
      </c>
      <c r="F90" s="1666">
        <f t="shared" si="10"/>
        <v>52.03265306122449</v>
      </c>
      <c r="G90" s="1689">
        <v>24500</v>
      </c>
      <c r="H90" s="1690">
        <v>12748</v>
      </c>
      <c r="I90" s="1669">
        <f t="shared" si="11"/>
        <v>52.03265306122449</v>
      </c>
      <c r="J90" s="1745"/>
      <c r="K90" s="1690"/>
      <c r="L90" s="1746"/>
      <c r="M90" s="1690"/>
      <c r="N90" s="1690"/>
      <c r="O90" s="1747"/>
      <c r="P90" s="1689"/>
      <c r="Q90" s="1690"/>
      <c r="R90" s="1754"/>
    </row>
    <row r="91" spans="1:18" ht="12.75">
      <c r="A91" s="1743">
        <v>4140</v>
      </c>
      <c r="B91" s="1751" t="s">
        <v>168</v>
      </c>
      <c r="C91" s="1689">
        <v>6930</v>
      </c>
      <c r="D91" s="893">
        <f t="shared" si="9"/>
        <v>6930</v>
      </c>
      <c r="E91" s="1690">
        <f t="shared" si="12"/>
        <v>4158</v>
      </c>
      <c r="F91" s="1666">
        <f t="shared" si="10"/>
        <v>60</v>
      </c>
      <c r="G91" s="1689">
        <v>6930</v>
      </c>
      <c r="H91" s="1690">
        <v>4158</v>
      </c>
      <c r="I91" s="1669">
        <f t="shared" si="11"/>
        <v>60</v>
      </c>
      <c r="J91" s="1745"/>
      <c r="K91" s="1690"/>
      <c r="L91" s="1746"/>
      <c r="M91" s="1690"/>
      <c r="N91" s="1690"/>
      <c r="O91" s="1747"/>
      <c r="P91" s="1689"/>
      <c r="Q91" s="1690"/>
      <c r="R91" s="1754"/>
    </row>
    <row r="92" spans="1:18" ht="24">
      <c r="A92" s="1743">
        <v>4170</v>
      </c>
      <c r="B92" s="1751" t="s">
        <v>169</v>
      </c>
      <c r="C92" s="1689"/>
      <c r="D92" s="893">
        <f t="shared" si="9"/>
        <v>3560</v>
      </c>
      <c r="E92" s="1690">
        <f t="shared" si="12"/>
        <v>2300</v>
      </c>
      <c r="F92" s="1666">
        <f t="shared" si="10"/>
        <v>64.60674157303372</v>
      </c>
      <c r="G92" s="1689">
        <v>3560</v>
      </c>
      <c r="H92" s="1690">
        <v>2300</v>
      </c>
      <c r="I92" s="1669">
        <f t="shared" si="11"/>
        <v>64.60674157303372</v>
      </c>
      <c r="J92" s="1745"/>
      <c r="K92" s="1690"/>
      <c r="L92" s="1746"/>
      <c r="M92" s="1690"/>
      <c r="N92" s="1690"/>
      <c r="O92" s="1747"/>
      <c r="P92" s="1689"/>
      <c r="Q92" s="1690"/>
      <c r="R92" s="1754"/>
    </row>
    <row r="93" spans="1:18" ht="24">
      <c r="A93" s="1743">
        <v>4210</v>
      </c>
      <c r="B93" s="1744" t="s">
        <v>114</v>
      </c>
      <c r="C93" s="1689">
        <v>62000</v>
      </c>
      <c r="D93" s="893">
        <f t="shared" si="9"/>
        <v>62000</v>
      </c>
      <c r="E93" s="1690">
        <f t="shared" si="12"/>
        <v>39237</v>
      </c>
      <c r="F93" s="1666">
        <f t="shared" si="10"/>
        <v>63.28548387096774</v>
      </c>
      <c r="G93" s="1689">
        <v>62000</v>
      </c>
      <c r="H93" s="1690">
        <v>39237</v>
      </c>
      <c r="I93" s="1669">
        <f t="shared" si="11"/>
        <v>63.28548387096774</v>
      </c>
      <c r="J93" s="1745"/>
      <c r="K93" s="1690"/>
      <c r="L93" s="1746"/>
      <c r="M93" s="1690"/>
      <c r="N93" s="1690"/>
      <c r="O93" s="1747"/>
      <c r="P93" s="1689"/>
      <c r="Q93" s="1690"/>
      <c r="R93" s="1754"/>
    </row>
    <row r="94" spans="1:18" ht="12.75">
      <c r="A94" s="1743">
        <v>4260</v>
      </c>
      <c r="B94" s="1744" t="s">
        <v>118</v>
      </c>
      <c r="C94" s="1689">
        <v>25000</v>
      </c>
      <c r="D94" s="893">
        <f t="shared" si="9"/>
        <v>25000</v>
      </c>
      <c r="E94" s="1690">
        <f t="shared" si="12"/>
        <v>16889</v>
      </c>
      <c r="F94" s="1666">
        <f t="shared" si="10"/>
        <v>67.55600000000001</v>
      </c>
      <c r="G94" s="1689">
        <v>25000</v>
      </c>
      <c r="H94" s="1690">
        <v>16889</v>
      </c>
      <c r="I94" s="1669">
        <f t="shared" si="11"/>
        <v>67.55600000000001</v>
      </c>
      <c r="J94" s="1745"/>
      <c r="K94" s="1690"/>
      <c r="L94" s="1746"/>
      <c r="M94" s="1690"/>
      <c r="N94" s="1690"/>
      <c r="O94" s="1747"/>
      <c r="P94" s="1689"/>
      <c r="Q94" s="1690"/>
      <c r="R94" s="1754"/>
    </row>
    <row r="95" spans="1:18" ht="12.75">
      <c r="A95" s="1743">
        <v>4270</v>
      </c>
      <c r="B95" s="1751" t="s">
        <v>120</v>
      </c>
      <c r="C95" s="1689"/>
      <c r="D95" s="893">
        <f t="shared" si="9"/>
        <v>5000</v>
      </c>
      <c r="E95" s="1690">
        <f t="shared" si="12"/>
        <v>3460</v>
      </c>
      <c r="F95" s="1666">
        <f t="shared" si="10"/>
        <v>69.19999999999999</v>
      </c>
      <c r="G95" s="1689">
        <f>75000-70000</f>
        <v>5000</v>
      </c>
      <c r="H95" s="1690">
        <v>3460</v>
      </c>
      <c r="I95" s="1669">
        <f t="shared" si="11"/>
        <v>69.19999999999999</v>
      </c>
      <c r="J95" s="1745"/>
      <c r="K95" s="1690"/>
      <c r="L95" s="1746"/>
      <c r="M95" s="1690"/>
      <c r="N95" s="1690"/>
      <c r="O95" s="1747"/>
      <c r="P95" s="1689"/>
      <c r="Q95" s="1690"/>
      <c r="R95" s="1754"/>
    </row>
    <row r="96" spans="1:18" ht="12.75">
      <c r="A96" s="1743">
        <v>4280</v>
      </c>
      <c r="B96" s="1751" t="s">
        <v>170</v>
      </c>
      <c r="C96" s="1689">
        <v>2000</v>
      </c>
      <c r="D96" s="893">
        <f t="shared" si="9"/>
        <v>2000</v>
      </c>
      <c r="E96" s="1690">
        <f t="shared" si="12"/>
        <v>520</v>
      </c>
      <c r="F96" s="1666">
        <f t="shared" si="10"/>
        <v>26</v>
      </c>
      <c r="G96" s="1689">
        <v>2000</v>
      </c>
      <c r="H96" s="1690">
        <v>520</v>
      </c>
      <c r="I96" s="1669">
        <f t="shared" si="11"/>
        <v>26</v>
      </c>
      <c r="J96" s="1745"/>
      <c r="K96" s="1690"/>
      <c r="L96" s="1746"/>
      <c r="M96" s="1690"/>
      <c r="N96" s="1690"/>
      <c r="O96" s="1747"/>
      <c r="P96" s="1689"/>
      <c r="Q96" s="1690"/>
      <c r="R96" s="1754"/>
    </row>
    <row r="97" spans="1:18" ht="12.75">
      <c r="A97" s="1743">
        <v>4300</v>
      </c>
      <c r="B97" s="1751" t="s">
        <v>171</v>
      </c>
      <c r="C97" s="1689">
        <v>445000</v>
      </c>
      <c r="D97" s="893">
        <f t="shared" si="9"/>
        <v>437640</v>
      </c>
      <c r="E97" s="1690">
        <f t="shared" si="12"/>
        <v>209626</v>
      </c>
      <c r="F97" s="1666">
        <f t="shared" si="10"/>
        <v>47.899186546019564</v>
      </c>
      <c r="G97" s="1689">
        <v>437640</v>
      </c>
      <c r="H97" s="1690">
        <v>209626</v>
      </c>
      <c r="I97" s="1669">
        <f t="shared" si="11"/>
        <v>47.899186546019564</v>
      </c>
      <c r="J97" s="1745"/>
      <c r="K97" s="1690"/>
      <c r="L97" s="1746"/>
      <c r="M97" s="1690"/>
      <c r="N97" s="1690"/>
      <c r="O97" s="1747"/>
      <c r="P97" s="1689"/>
      <c r="Q97" s="1690"/>
      <c r="R97" s="1754"/>
    </row>
    <row r="98" spans="1:18" ht="24">
      <c r="A98" s="1743">
        <v>4350</v>
      </c>
      <c r="B98" s="1751" t="s">
        <v>172</v>
      </c>
      <c r="C98" s="1689"/>
      <c r="D98" s="893">
        <f t="shared" si="9"/>
        <v>3800</v>
      </c>
      <c r="E98" s="1690">
        <f t="shared" si="12"/>
        <v>1823</v>
      </c>
      <c r="F98" s="1666">
        <f t="shared" si="10"/>
        <v>47.973684210526315</v>
      </c>
      <c r="G98" s="1689">
        <v>3800</v>
      </c>
      <c r="H98" s="1690">
        <v>1823</v>
      </c>
      <c r="I98" s="1669">
        <f t="shared" si="11"/>
        <v>47.973684210526315</v>
      </c>
      <c r="J98" s="1745"/>
      <c r="K98" s="1690"/>
      <c r="L98" s="1746"/>
      <c r="M98" s="1690"/>
      <c r="N98" s="1690"/>
      <c r="O98" s="1747"/>
      <c r="P98" s="1689"/>
      <c r="Q98" s="1690"/>
      <c r="R98" s="1754"/>
    </row>
    <row r="99" spans="1:18" ht="12.75">
      <c r="A99" s="1743">
        <v>4410</v>
      </c>
      <c r="B99" s="1751" t="s">
        <v>96</v>
      </c>
      <c r="C99" s="1689">
        <v>15800</v>
      </c>
      <c r="D99" s="893">
        <f t="shared" si="9"/>
        <v>15800</v>
      </c>
      <c r="E99" s="1690">
        <f t="shared" si="12"/>
        <v>6304</v>
      </c>
      <c r="F99" s="1666">
        <f t="shared" si="10"/>
        <v>39.89873417721519</v>
      </c>
      <c r="G99" s="1689">
        <v>15800</v>
      </c>
      <c r="H99" s="1690">
        <v>6304</v>
      </c>
      <c r="I99" s="1669">
        <f t="shared" si="11"/>
        <v>39.89873417721519</v>
      </c>
      <c r="J99" s="1745"/>
      <c r="K99" s="1690"/>
      <c r="L99" s="1746"/>
      <c r="M99" s="1690"/>
      <c r="N99" s="1690"/>
      <c r="O99" s="1747"/>
      <c r="P99" s="1689"/>
      <c r="Q99" s="1690"/>
      <c r="R99" s="1754"/>
    </row>
    <row r="100" spans="1:18" ht="24">
      <c r="A100" s="1743">
        <v>4420</v>
      </c>
      <c r="B100" s="1751" t="s">
        <v>173</v>
      </c>
      <c r="C100" s="1689">
        <v>1000</v>
      </c>
      <c r="D100" s="893">
        <f t="shared" si="9"/>
        <v>1000</v>
      </c>
      <c r="E100" s="1690">
        <f>SUM(H100+K100+N100+Q100)</f>
        <v>0</v>
      </c>
      <c r="F100" s="1666">
        <f>E100/D100*100</f>
        <v>0</v>
      </c>
      <c r="G100" s="1689">
        <v>1000</v>
      </c>
      <c r="H100" s="1690"/>
      <c r="I100" s="1669">
        <f t="shared" si="11"/>
        <v>0</v>
      </c>
      <c r="J100" s="1745"/>
      <c r="K100" s="1690"/>
      <c r="L100" s="1746"/>
      <c r="M100" s="1690"/>
      <c r="N100" s="1690"/>
      <c r="O100" s="1747"/>
      <c r="P100" s="1689"/>
      <c r="Q100" s="1690"/>
      <c r="R100" s="1754"/>
    </row>
    <row r="101" spans="1:18" ht="12.75">
      <c r="A101" s="1743">
        <v>4430</v>
      </c>
      <c r="B101" s="1751" t="s">
        <v>124</v>
      </c>
      <c r="C101" s="1689">
        <v>9000</v>
      </c>
      <c r="D101" s="893">
        <f t="shared" si="9"/>
        <v>9000</v>
      </c>
      <c r="E101" s="1690">
        <f t="shared" si="12"/>
        <v>5790</v>
      </c>
      <c r="F101" s="1666">
        <f t="shared" si="10"/>
        <v>64.33333333333333</v>
      </c>
      <c r="G101" s="1689">
        <v>9000</v>
      </c>
      <c r="H101" s="1690">
        <v>5790</v>
      </c>
      <c r="I101" s="1669">
        <f t="shared" si="11"/>
        <v>64.33333333333333</v>
      </c>
      <c r="J101" s="1745"/>
      <c r="K101" s="1690"/>
      <c r="L101" s="1746"/>
      <c r="M101" s="1690"/>
      <c r="N101" s="1690"/>
      <c r="O101" s="1747"/>
      <c r="P101" s="1689"/>
      <c r="Q101" s="1690"/>
      <c r="R101" s="1754"/>
    </row>
    <row r="102" spans="1:18" ht="12.75">
      <c r="A102" s="1743">
        <v>4440</v>
      </c>
      <c r="B102" s="1751" t="s">
        <v>126</v>
      </c>
      <c r="C102" s="1689">
        <v>21000</v>
      </c>
      <c r="D102" s="893">
        <f t="shared" si="9"/>
        <v>21000</v>
      </c>
      <c r="E102" s="1690">
        <f t="shared" si="12"/>
        <v>21000</v>
      </c>
      <c r="F102" s="1666">
        <f t="shared" si="10"/>
        <v>100</v>
      </c>
      <c r="G102" s="1689">
        <v>21000</v>
      </c>
      <c r="H102" s="1690">
        <v>21000</v>
      </c>
      <c r="I102" s="1669">
        <f t="shared" si="11"/>
        <v>100</v>
      </c>
      <c r="J102" s="1745"/>
      <c r="K102" s="1690"/>
      <c r="L102" s="1746"/>
      <c r="M102" s="1690"/>
      <c r="N102" s="1690"/>
      <c r="O102" s="1747"/>
      <c r="P102" s="1689"/>
      <c r="Q102" s="1690"/>
      <c r="R102" s="1754"/>
    </row>
    <row r="103" spans="1:18" ht="12.75">
      <c r="A103" s="1743">
        <v>4480</v>
      </c>
      <c r="B103" s="1751" t="s">
        <v>174</v>
      </c>
      <c r="C103" s="1689">
        <v>4000</v>
      </c>
      <c r="D103" s="893">
        <f t="shared" si="9"/>
        <v>4000</v>
      </c>
      <c r="E103" s="1690">
        <f t="shared" si="12"/>
        <v>1958</v>
      </c>
      <c r="F103" s="1666">
        <f t="shared" si="10"/>
        <v>48.949999999999996</v>
      </c>
      <c r="G103" s="1689">
        <v>4000</v>
      </c>
      <c r="H103" s="1690">
        <v>1958</v>
      </c>
      <c r="I103" s="1669">
        <f t="shared" si="11"/>
        <v>48.949999999999996</v>
      </c>
      <c r="J103" s="1745"/>
      <c r="K103" s="1690"/>
      <c r="L103" s="1746"/>
      <c r="M103" s="1690"/>
      <c r="N103" s="1690"/>
      <c r="O103" s="1747"/>
      <c r="P103" s="1689"/>
      <c r="Q103" s="1690"/>
      <c r="R103" s="1754"/>
    </row>
    <row r="104" spans="1:18" ht="72" hidden="1">
      <c r="A104" s="1743">
        <v>4560</v>
      </c>
      <c r="B104" s="1751" t="s">
        <v>175</v>
      </c>
      <c r="C104" s="1689"/>
      <c r="D104" s="893">
        <f t="shared" si="9"/>
        <v>0</v>
      </c>
      <c r="E104" s="1690">
        <f t="shared" si="12"/>
        <v>0</v>
      </c>
      <c r="F104" s="1666" t="e">
        <f t="shared" si="10"/>
        <v>#DIV/0!</v>
      </c>
      <c r="G104" s="1689"/>
      <c r="H104" s="1690">
        <v>0</v>
      </c>
      <c r="I104" s="1669" t="e">
        <f t="shared" si="11"/>
        <v>#DIV/0!</v>
      </c>
      <c r="J104" s="1745"/>
      <c r="K104" s="1690"/>
      <c r="L104" s="1746"/>
      <c r="M104" s="1690"/>
      <c r="N104" s="1690"/>
      <c r="O104" s="1747"/>
      <c r="P104" s="1689"/>
      <c r="Q104" s="1690"/>
      <c r="R104" s="1754"/>
    </row>
    <row r="105" spans="1:18" ht="15" customHeight="1" hidden="1">
      <c r="A105" s="1743">
        <v>4580</v>
      </c>
      <c r="B105" s="1751" t="s">
        <v>176</v>
      </c>
      <c r="C105" s="1689"/>
      <c r="D105" s="893">
        <f t="shared" si="9"/>
        <v>0</v>
      </c>
      <c r="E105" s="1690">
        <f t="shared" si="12"/>
        <v>0</v>
      </c>
      <c r="F105" s="1666" t="e">
        <f t="shared" si="10"/>
        <v>#DIV/0!</v>
      </c>
      <c r="G105" s="1689"/>
      <c r="H105" s="1690">
        <v>0</v>
      </c>
      <c r="I105" s="1669" t="e">
        <f t="shared" si="11"/>
        <v>#DIV/0!</v>
      </c>
      <c r="J105" s="1745"/>
      <c r="K105" s="1690"/>
      <c r="L105" s="1746"/>
      <c r="M105" s="1690"/>
      <c r="N105" s="1690"/>
      <c r="O105" s="1747"/>
      <c r="P105" s="1689"/>
      <c r="Q105" s="1690"/>
      <c r="R105" s="1754"/>
    </row>
    <row r="106" spans="1:18" ht="35.25" customHeight="1" hidden="1">
      <c r="A106" s="1743">
        <v>4600</v>
      </c>
      <c r="B106" s="1751" t="s">
        <v>177</v>
      </c>
      <c r="C106" s="1689"/>
      <c r="D106" s="893">
        <f t="shared" si="9"/>
        <v>0</v>
      </c>
      <c r="E106" s="1690">
        <f t="shared" si="12"/>
        <v>0</v>
      </c>
      <c r="F106" s="1666" t="e">
        <f t="shared" si="10"/>
        <v>#DIV/0!</v>
      </c>
      <c r="G106" s="1689"/>
      <c r="H106" s="1690">
        <v>0</v>
      </c>
      <c r="I106" s="1669" t="e">
        <f t="shared" si="11"/>
        <v>#DIV/0!</v>
      </c>
      <c r="J106" s="1745"/>
      <c r="K106" s="1690"/>
      <c r="L106" s="1746"/>
      <c r="M106" s="1690"/>
      <c r="N106" s="1690"/>
      <c r="O106" s="1747"/>
      <c r="P106" s="1689"/>
      <c r="Q106" s="1690"/>
      <c r="R106" s="1754"/>
    </row>
    <row r="107" spans="1:18" ht="35.25" customHeight="1" hidden="1">
      <c r="A107" s="1743">
        <v>4610</v>
      </c>
      <c r="B107" s="1751" t="s">
        <v>178</v>
      </c>
      <c r="C107" s="1689"/>
      <c r="D107" s="893">
        <f t="shared" si="9"/>
        <v>0</v>
      </c>
      <c r="E107" s="1690">
        <f t="shared" si="12"/>
        <v>0</v>
      </c>
      <c r="F107" s="1666" t="e">
        <f t="shared" si="10"/>
        <v>#DIV/0!</v>
      </c>
      <c r="G107" s="1689"/>
      <c r="H107" s="1690">
        <v>0</v>
      </c>
      <c r="I107" s="1669" t="e">
        <f t="shared" si="11"/>
        <v>#DIV/0!</v>
      </c>
      <c r="J107" s="1745"/>
      <c r="K107" s="1690"/>
      <c r="L107" s="1746"/>
      <c r="M107" s="1690"/>
      <c r="N107" s="1690"/>
      <c r="O107" s="1747"/>
      <c r="P107" s="1689"/>
      <c r="Q107" s="1690"/>
      <c r="R107" s="1754"/>
    </row>
    <row r="108" spans="1:18" ht="24">
      <c r="A108" s="1743">
        <v>6050</v>
      </c>
      <c r="B108" s="1751" t="s">
        <v>144</v>
      </c>
      <c r="C108" s="1689"/>
      <c r="D108" s="893">
        <f t="shared" si="9"/>
        <v>70000</v>
      </c>
      <c r="E108" s="1690">
        <f t="shared" si="12"/>
        <v>0</v>
      </c>
      <c r="F108" s="1666">
        <f t="shared" si="10"/>
        <v>0</v>
      </c>
      <c r="G108" s="1689">
        <v>70000</v>
      </c>
      <c r="H108" s="1690"/>
      <c r="I108" s="1669">
        <f t="shared" si="11"/>
        <v>0</v>
      </c>
      <c r="J108" s="1745"/>
      <c r="K108" s="1690"/>
      <c r="L108" s="1746"/>
      <c r="M108" s="1690"/>
      <c r="N108" s="1690"/>
      <c r="O108" s="1747"/>
      <c r="P108" s="1689"/>
      <c r="Q108" s="1690"/>
      <c r="R108" s="1754"/>
    </row>
    <row r="109" spans="1:18" ht="36.75" thickBot="1">
      <c r="A109" s="1743">
        <v>6060</v>
      </c>
      <c r="B109" s="1751" t="s">
        <v>179</v>
      </c>
      <c r="C109" s="1689">
        <v>47500</v>
      </c>
      <c r="D109" s="893">
        <f t="shared" si="9"/>
        <v>47500</v>
      </c>
      <c r="E109" s="1690">
        <f t="shared" si="12"/>
        <v>7712</v>
      </c>
      <c r="F109" s="1666">
        <f t="shared" si="10"/>
        <v>16.23578947368421</v>
      </c>
      <c r="G109" s="1689">
        <v>47500</v>
      </c>
      <c r="H109" s="1690">
        <v>7712</v>
      </c>
      <c r="I109" s="1666">
        <f t="shared" si="11"/>
        <v>16.23578947368421</v>
      </c>
      <c r="J109" s="1745"/>
      <c r="K109" s="1690"/>
      <c r="L109" s="1746"/>
      <c r="M109" s="1690"/>
      <c r="N109" s="1690"/>
      <c r="O109" s="1747"/>
      <c r="P109" s="1689"/>
      <c r="Q109" s="1690"/>
      <c r="R109" s="1754"/>
    </row>
    <row r="110" spans="1:18" ht="9.75" customHeight="1" hidden="1">
      <c r="A110" s="1743">
        <v>6050</v>
      </c>
      <c r="B110" s="1751" t="s">
        <v>180</v>
      </c>
      <c r="C110" s="1689">
        <v>0</v>
      </c>
      <c r="D110" s="893">
        <f t="shared" si="9"/>
        <v>0</v>
      </c>
      <c r="E110" s="1690">
        <f t="shared" si="12"/>
        <v>0</v>
      </c>
      <c r="F110" s="1666">
        <v>0</v>
      </c>
      <c r="G110" s="1689">
        <v>0</v>
      </c>
      <c r="H110" s="1690">
        <v>0</v>
      </c>
      <c r="I110" s="1666">
        <v>0</v>
      </c>
      <c r="J110" s="1745"/>
      <c r="K110" s="1690"/>
      <c r="L110" s="1746"/>
      <c r="M110" s="1690"/>
      <c r="N110" s="1690"/>
      <c r="O110" s="1747"/>
      <c r="P110" s="1689"/>
      <c r="Q110" s="1690"/>
      <c r="R110" s="1754"/>
    </row>
    <row r="111" spans="1:18" s="1735" customFormat="1" ht="19.5" customHeight="1" thickBot="1" thickTop="1">
      <c r="A111" s="1729">
        <v>630</v>
      </c>
      <c r="B111" s="1730" t="s">
        <v>606</v>
      </c>
      <c r="C111" s="1731">
        <f>C112</f>
        <v>150500</v>
      </c>
      <c r="D111" s="876">
        <f t="shared" si="9"/>
        <v>131500</v>
      </c>
      <c r="E111" s="1716">
        <f>H111+K111+Q111+N111</f>
        <v>57955</v>
      </c>
      <c r="F111" s="1642">
        <f t="shared" si="10"/>
        <v>44.0722433460076</v>
      </c>
      <c r="G111" s="1731">
        <f>SUM(G112)</f>
        <v>131500</v>
      </c>
      <c r="H111" s="1716">
        <f>SUM(H112)</f>
        <v>57955</v>
      </c>
      <c r="I111" s="1642">
        <f t="shared" si="11"/>
        <v>44.0722433460076</v>
      </c>
      <c r="J111" s="1732"/>
      <c r="K111" s="1716"/>
      <c r="L111" s="1733"/>
      <c r="M111" s="1716"/>
      <c r="N111" s="1716"/>
      <c r="O111" s="1734"/>
      <c r="P111" s="1731"/>
      <c r="Q111" s="1716"/>
      <c r="R111" s="1834"/>
    </row>
    <row r="112" spans="1:18" ht="34.5" customHeight="1" thickTop="1">
      <c r="A112" s="1736">
        <v>63003</v>
      </c>
      <c r="B112" s="1835" t="s">
        <v>823</v>
      </c>
      <c r="C112" s="1738">
        <f>SUM(C113:C115)</f>
        <v>150500</v>
      </c>
      <c r="D112" s="884">
        <f t="shared" si="9"/>
        <v>131500</v>
      </c>
      <c r="E112" s="1836">
        <f>H112+K112+Q112+N112</f>
        <v>57955</v>
      </c>
      <c r="F112" s="1719">
        <f t="shared" si="10"/>
        <v>44.0722433460076</v>
      </c>
      <c r="G112" s="1738">
        <f>SUM(G113:G115)</f>
        <v>131500</v>
      </c>
      <c r="H112" s="1680">
        <f>SUM(H113:H115)</f>
        <v>57955</v>
      </c>
      <c r="I112" s="1654">
        <f t="shared" si="11"/>
        <v>44.0722433460076</v>
      </c>
      <c r="J112" s="1740"/>
      <c r="K112" s="1680"/>
      <c r="L112" s="1741"/>
      <c r="M112" s="1680"/>
      <c r="N112" s="1680"/>
      <c r="O112" s="1742"/>
      <c r="P112" s="1738"/>
      <c r="Q112" s="1680"/>
      <c r="R112" s="1782"/>
    </row>
    <row r="113" spans="1:18" ht="47.25" customHeight="1">
      <c r="A113" s="1743">
        <v>2820</v>
      </c>
      <c r="B113" s="1751" t="s">
        <v>181</v>
      </c>
      <c r="C113" s="1689">
        <v>14000</v>
      </c>
      <c r="D113" s="893">
        <f t="shared" si="9"/>
        <v>14000</v>
      </c>
      <c r="E113" s="1690">
        <f>SUM(H113+K113+N113+Q113)</f>
        <v>2500</v>
      </c>
      <c r="F113" s="1666">
        <f t="shared" si="10"/>
        <v>17.857142857142858</v>
      </c>
      <c r="G113" s="1689">
        <v>14000</v>
      </c>
      <c r="H113" s="1690">
        <v>2500</v>
      </c>
      <c r="I113" s="1666">
        <f t="shared" si="11"/>
        <v>17.857142857142858</v>
      </c>
      <c r="J113" s="1690"/>
      <c r="K113" s="1690"/>
      <c r="L113" s="1746"/>
      <c r="M113" s="1690"/>
      <c r="N113" s="1690"/>
      <c r="O113" s="1747"/>
      <c r="P113" s="1689"/>
      <c r="Q113" s="1690"/>
      <c r="R113" s="1754"/>
    </row>
    <row r="114" spans="1:18" ht="25.5" customHeight="1">
      <c r="A114" s="1743">
        <v>4210</v>
      </c>
      <c r="B114" s="1744" t="s">
        <v>114</v>
      </c>
      <c r="C114" s="1689">
        <v>16500</v>
      </c>
      <c r="D114" s="893">
        <f t="shared" si="9"/>
        <v>9000</v>
      </c>
      <c r="E114" s="1690">
        <f>SUM(H114+K114+N114+Q114)</f>
        <v>3043</v>
      </c>
      <c r="F114" s="1666">
        <f>E114/D114*100</f>
        <v>33.81111111111111</v>
      </c>
      <c r="G114" s="1689">
        <f>16500-7500</f>
        <v>9000</v>
      </c>
      <c r="H114" s="1690">
        <v>3043</v>
      </c>
      <c r="I114" s="1666">
        <f t="shared" si="11"/>
        <v>33.81111111111111</v>
      </c>
      <c r="J114" s="1745"/>
      <c r="K114" s="1690"/>
      <c r="L114" s="1746"/>
      <c r="M114" s="1690"/>
      <c r="N114" s="1690"/>
      <c r="O114" s="1747"/>
      <c r="P114" s="1689"/>
      <c r="Q114" s="1690"/>
      <c r="R114" s="1754"/>
    </row>
    <row r="115" spans="1:18" ht="16.5" customHeight="1" thickBot="1">
      <c r="A115" s="1743">
        <v>4300</v>
      </c>
      <c r="B115" s="1751" t="s">
        <v>136</v>
      </c>
      <c r="C115" s="1689">
        <v>120000</v>
      </c>
      <c r="D115" s="893">
        <f t="shared" si="9"/>
        <v>108500</v>
      </c>
      <c r="E115" s="1690">
        <f>SUM(H115+K115+N115+Q115)</f>
        <v>52412</v>
      </c>
      <c r="F115" s="1666">
        <f t="shared" si="10"/>
        <v>48.30599078341014</v>
      </c>
      <c r="G115" s="1689">
        <f>120000+7500-19000</f>
        <v>108500</v>
      </c>
      <c r="H115" s="1690">
        <v>52412</v>
      </c>
      <c r="I115" s="1666">
        <f t="shared" si="11"/>
        <v>48.30599078341014</v>
      </c>
      <c r="J115" s="1745"/>
      <c r="K115" s="1690"/>
      <c r="L115" s="1746"/>
      <c r="M115" s="1690"/>
      <c r="N115" s="1690"/>
      <c r="O115" s="1747"/>
      <c r="P115" s="1689"/>
      <c r="Q115" s="1690"/>
      <c r="R115" s="1754"/>
    </row>
    <row r="116" spans="1:18" ht="24.75" customHeight="1" thickBot="1" thickTop="1">
      <c r="A116" s="1729">
        <v>700</v>
      </c>
      <c r="B116" s="1730" t="s">
        <v>608</v>
      </c>
      <c r="C116" s="1731">
        <f>C117+C120+C137+C135</f>
        <v>9702400</v>
      </c>
      <c r="D116" s="876">
        <f t="shared" si="9"/>
        <v>15690350</v>
      </c>
      <c r="E116" s="1716">
        <f>H116+K116+Q116+N116</f>
        <v>1318537</v>
      </c>
      <c r="F116" s="1642">
        <f t="shared" si="10"/>
        <v>8.40349004324314</v>
      </c>
      <c r="G116" s="1731">
        <f>G117+G120+G137+G135</f>
        <v>15645350</v>
      </c>
      <c r="H116" s="1716">
        <f>H117+H120+H137+H135</f>
        <v>1312302</v>
      </c>
      <c r="I116" s="1644">
        <f t="shared" si="11"/>
        <v>8.387808518185915</v>
      </c>
      <c r="J116" s="1716"/>
      <c r="K116" s="1716"/>
      <c r="L116" s="1733"/>
      <c r="M116" s="1716"/>
      <c r="N116" s="1716"/>
      <c r="O116" s="1734"/>
      <c r="P116" s="1731">
        <f>P117+P120+P137</f>
        <v>45000</v>
      </c>
      <c r="Q116" s="1716">
        <f>Q117+Q120+Q137</f>
        <v>6235</v>
      </c>
      <c r="R116" s="1649">
        <f>Q116/P116*100</f>
        <v>13.855555555555554</v>
      </c>
    </row>
    <row r="117" spans="1:18" s="1735" customFormat="1" ht="24.75" thickTop="1">
      <c r="A117" s="1837">
        <v>70001</v>
      </c>
      <c r="B117" s="1838" t="s">
        <v>825</v>
      </c>
      <c r="C117" s="1839">
        <f>SUM(C118:C119)</f>
        <v>3000000</v>
      </c>
      <c r="D117" s="884">
        <f t="shared" si="9"/>
        <v>5687950</v>
      </c>
      <c r="E117" s="1840">
        <f aca="true" t="shared" si="13" ref="E117:E143">SUM(H117+K117+N117+Q117)</f>
        <v>301294</v>
      </c>
      <c r="F117" s="1719">
        <f t="shared" si="10"/>
        <v>5.2970578152058305</v>
      </c>
      <c r="G117" s="1841">
        <f>SUM(G118:G119)</f>
        <v>5687950</v>
      </c>
      <c r="H117" s="1836">
        <f>SUM(H118:H119)</f>
        <v>301294</v>
      </c>
      <c r="I117" s="1739">
        <f t="shared" si="11"/>
        <v>5.2970578152058305</v>
      </c>
      <c r="J117" s="1842"/>
      <c r="K117" s="1843"/>
      <c r="L117" s="1844"/>
      <c r="M117" s="1842"/>
      <c r="N117" s="1842"/>
      <c r="O117" s="1804"/>
      <c r="P117" s="1839"/>
      <c r="Q117" s="1842"/>
      <c r="R117" s="1845"/>
    </row>
    <row r="118" spans="1:18" s="1586" customFormat="1" ht="36">
      <c r="A118" s="1846">
        <v>2510</v>
      </c>
      <c r="B118" s="1847" t="s">
        <v>826</v>
      </c>
      <c r="C118" s="927">
        <v>3000000</v>
      </c>
      <c r="D118" s="932">
        <f t="shared" si="9"/>
        <v>2100000</v>
      </c>
      <c r="E118" s="1707">
        <f t="shared" si="13"/>
        <v>301294</v>
      </c>
      <c r="F118" s="1691">
        <f t="shared" si="10"/>
        <v>14.347333333333335</v>
      </c>
      <c r="G118" s="927">
        <f>2587950+2600000-3087950</f>
        <v>2100000</v>
      </c>
      <c r="H118" s="932">
        <v>301294</v>
      </c>
      <c r="I118" s="1710">
        <f t="shared" si="11"/>
        <v>14.347333333333335</v>
      </c>
      <c r="J118" s="1848"/>
      <c r="K118" s="1848"/>
      <c r="L118" s="1849"/>
      <c r="M118" s="932"/>
      <c r="N118" s="932"/>
      <c r="O118" s="1850"/>
      <c r="P118" s="927"/>
      <c r="Q118" s="932"/>
      <c r="R118" s="950"/>
    </row>
    <row r="119" spans="1:18" ht="72">
      <c r="A119" s="1851">
        <v>6210</v>
      </c>
      <c r="B119" s="1852" t="s">
        <v>182</v>
      </c>
      <c r="C119" s="1689"/>
      <c r="D119" s="893">
        <f t="shared" si="9"/>
        <v>3587950</v>
      </c>
      <c r="E119" s="1690">
        <f t="shared" si="13"/>
        <v>0</v>
      </c>
      <c r="F119" s="1666">
        <f t="shared" si="10"/>
        <v>0</v>
      </c>
      <c r="G119" s="1689">
        <f>3087950+500000</f>
        <v>3587950</v>
      </c>
      <c r="H119" s="1690"/>
      <c r="I119" s="1669">
        <f t="shared" si="11"/>
        <v>0</v>
      </c>
      <c r="J119" s="1745"/>
      <c r="K119" s="1690"/>
      <c r="L119" s="1746"/>
      <c r="M119" s="1690"/>
      <c r="N119" s="1690"/>
      <c r="O119" s="1747"/>
      <c r="P119" s="1689"/>
      <c r="Q119" s="1690"/>
      <c r="R119" s="1754"/>
    </row>
    <row r="120" spans="1:18" s="1735" customFormat="1" ht="24.75" customHeight="1">
      <c r="A120" s="1736">
        <v>70005</v>
      </c>
      <c r="B120" s="1835" t="s">
        <v>765</v>
      </c>
      <c r="C120" s="1738">
        <f>SUM(C121:C134)</f>
        <v>1430000</v>
      </c>
      <c r="D120" s="908">
        <f t="shared" si="9"/>
        <v>3902480</v>
      </c>
      <c r="E120" s="1680">
        <f>H120+K120+Q120+N120</f>
        <v>244278</v>
      </c>
      <c r="F120" s="1681">
        <f t="shared" si="10"/>
        <v>6.25955802464074</v>
      </c>
      <c r="G120" s="1738">
        <f>SUM(G121:G134)</f>
        <v>3857480</v>
      </c>
      <c r="H120" s="1680">
        <f>SUM(H121:H134)</f>
        <v>238043</v>
      </c>
      <c r="I120" s="1776">
        <f t="shared" si="11"/>
        <v>6.170945798811659</v>
      </c>
      <c r="J120" s="1740"/>
      <c r="K120" s="1680"/>
      <c r="L120" s="1741"/>
      <c r="M120" s="1680"/>
      <c r="N120" s="1680"/>
      <c r="O120" s="1742"/>
      <c r="P120" s="1738">
        <f>SUM(P121:P134)</f>
        <v>45000</v>
      </c>
      <c r="Q120" s="1680">
        <f>SUM(Q121:Q134)</f>
        <v>6235</v>
      </c>
      <c r="R120" s="1688">
        <f>Q120/P120*100</f>
        <v>13.855555555555554</v>
      </c>
    </row>
    <row r="121" spans="1:18" ht="39" customHeight="1">
      <c r="A121" s="1722">
        <v>3020</v>
      </c>
      <c r="B121" s="1853" t="s">
        <v>183</v>
      </c>
      <c r="C121" s="1693">
        <v>5000</v>
      </c>
      <c r="D121" s="932">
        <f t="shared" si="9"/>
        <v>5000</v>
      </c>
      <c r="E121" s="1707">
        <f t="shared" si="13"/>
        <v>0</v>
      </c>
      <c r="F121" s="1691">
        <f t="shared" si="10"/>
        <v>0</v>
      </c>
      <c r="G121" s="1693">
        <v>5000</v>
      </c>
      <c r="H121" s="1707"/>
      <c r="I121" s="1710">
        <f t="shared" si="11"/>
        <v>0</v>
      </c>
      <c r="J121" s="1854"/>
      <c r="K121" s="1707"/>
      <c r="L121" s="1849"/>
      <c r="M121" s="1707"/>
      <c r="N121" s="1707"/>
      <c r="O121" s="1855"/>
      <c r="P121" s="1693"/>
      <c r="Q121" s="1707"/>
      <c r="R121" s="1856"/>
    </row>
    <row r="122" spans="1:18" ht="29.25" customHeight="1">
      <c r="A122" s="1743">
        <v>3030</v>
      </c>
      <c r="B122" s="1751" t="s">
        <v>184</v>
      </c>
      <c r="C122" s="1689">
        <v>170000</v>
      </c>
      <c r="D122" s="893">
        <f t="shared" si="9"/>
        <v>0</v>
      </c>
      <c r="E122" s="1690">
        <f t="shared" si="13"/>
        <v>0</v>
      </c>
      <c r="F122" s="1666"/>
      <c r="G122" s="1689"/>
      <c r="H122" s="1690"/>
      <c r="I122" s="1669"/>
      <c r="J122" s="1745"/>
      <c r="K122" s="1690"/>
      <c r="L122" s="1746"/>
      <c r="M122" s="1690"/>
      <c r="N122" s="1690"/>
      <c r="O122" s="1747"/>
      <c r="P122" s="1689"/>
      <c r="Q122" s="1690"/>
      <c r="R122" s="1754"/>
    </row>
    <row r="123" spans="1:18" ht="24.75" customHeight="1" hidden="1">
      <c r="A123" s="1743">
        <v>4210</v>
      </c>
      <c r="B123" s="1744" t="s">
        <v>114</v>
      </c>
      <c r="C123" s="1689"/>
      <c r="D123" s="893">
        <f t="shared" si="9"/>
        <v>0</v>
      </c>
      <c r="E123" s="1690">
        <f t="shared" si="13"/>
        <v>0</v>
      </c>
      <c r="F123" s="1666" t="e">
        <f>E123/D123*100</f>
        <v>#DIV/0!</v>
      </c>
      <c r="G123" s="1689"/>
      <c r="H123" s="1690"/>
      <c r="I123" s="1669" t="e">
        <f t="shared" si="11"/>
        <v>#DIV/0!</v>
      </c>
      <c r="J123" s="1745"/>
      <c r="K123" s="1690"/>
      <c r="L123" s="1746"/>
      <c r="M123" s="1690"/>
      <c r="N123" s="1690"/>
      <c r="O123" s="1747"/>
      <c r="P123" s="1689"/>
      <c r="Q123" s="1690"/>
      <c r="R123" s="1754"/>
    </row>
    <row r="124" spans="1:18" ht="24.75" customHeight="1">
      <c r="A124" s="1743">
        <v>4170</v>
      </c>
      <c r="B124" s="1744" t="s">
        <v>169</v>
      </c>
      <c r="C124" s="1689"/>
      <c r="D124" s="893">
        <f t="shared" si="9"/>
        <v>3000</v>
      </c>
      <c r="E124" s="1690">
        <f t="shared" si="13"/>
        <v>1358</v>
      </c>
      <c r="F124" s="1666">
        <f t="shared" si="10"/>
        <v>45.266666666666666</v>
      </c>
      <c r="G124" s="1689"/>
      <c r="H124" s="1690"/>
      <c r="I124" s="1669"/>
      <c r="J124" s="1745"/>
      <c r="K124" s="1690"/>
      <c r="L124" s="1746"/>
      <c r="M124" s="1690"/>
      <c r="N124" s="1690"/>
      <c r="O124" s="1747"/>
      <c r="P124" s="1689">
        <v>3000</v>
      </c>
      <c r="Q124" s="1690">
        <v>1358</v>
      </c>
      <c r="R124" s="1695">
        <f>Q124/P124*100</f>
        <v>45.266666666666666</v>
      </c>
    </row>
    <row r="125" spans="1:18" ht="37.5" customHeight="1">
      <c r="A125" s="1743">
        <v>4240</v>
      </c>
      <c r="B125" s="1751" t="s">
        <v>185</v>
      </c>
      <c r="C125" s="1689"/>
      <c r="D125" s="893">
        <f t="shared" si="9"/>
        <v>1000</v>
      </c>
      <c r="E125" s="1690">
        <f t="shared" si="13"/>
        <v>558</v>
      </c>
      <c r="F125" s="1666">
        <f t="shared" si="10"/>
        <v>55.800000000000004</v>
      </c>
      <c r="G125" s="1689"/>
      <c r="H125" s="1690"/>
      <c r="I125" s="1669"/>
      <c r="J125" s="1745"/>
      <c r="K125" s="1690"/>
      <c r="L125" s="1746"/>
      <c r="M125" s="1690"/>
      <c r="N125" s="1690"/>
      <c r="O125" s="1747"/>
      <c r="P125" s="1689">
        <v>1000</v>
      </c>
      <c r="Q125" s="1690">
        <v>558</v>
      </c>
      <c r="R125" s="1695">
        <f>Q125/P125*100</f>
        <v>55.800000000000004</v>
      </c>
    </row>
    <row r="126" spans="1:18" ht="12.75" hidden="1">
      <c r="A126" s="1743">
        <v>4260</v>
      </c>
      <c r="B126" s="1751" t="s">
        <v>118</v>
      </c>
      <c r="C126" s="1689"/>
      <c r="D126" s="893">
        <f t="shared" si="9"/>
        <v>0</v>
      </c>
      <c r="E126" s="1690">
        <f t="shared" si="13"/>
        <v>0</v>
      </c>
      <c r="F126" s="1666" t="e">
        <f t="shared" si="10"/>
        <v>#DIV/0!</v>
      </c>
      <c r="G126" s="1689"/>
      <c r="H126" s="1690"/>
      <c r="I126" s="1669" t="e">
        <f t="shared" si="11"/>
        <v>#DIV/0!</v>
      </c>
      <c r="J126" s="1745"/>
      <c r="K126" s="1690"/>
      <c r="L126" s="1746"/>
      <c r="M126" s="1690"/>
      <c r="N126" s="1690"/>
      <c r="O126" s="1747"/>
      <c r="P126" s="1689"/>
      <c r="Q126" s="1690"/>
      <c r="R126" s="1695"/>
    </row>
    <row r="127" spans="1:18" ht="48" customHeight="1">
      <c r="A127" s="1743">
        <v>4300</v>
      </c>
      <c r="B127" s="1751" t="s">
        <v>186</v>
      </c>
      <c r="C127" s="1689">
        <f>705000+500000</f>
        <v>1205000</v>
      </c>
      <c r="D127" s="893">
        <f t="shared" si="9"/>
        <v>671600</v>
      </c>
      <c r="E127" s="1690">
        <f t="shared" si="13"/>
        <v>166229</v>
      </c>
      <c r="F127" s="1666">
        <f t="shared" si="10"/>
        <v>24.751191185229303</v>
      </c>
      <c r="G127" s="1689">
        <f>660000-1600</f>
        <v>658400</v>
      </c>
      <c r="H127" s="893">
        <v>163130</v>
      </c>
      <c r="I127" s="1669">
        <f t="shared" si="11"/>
        <v>24.77673147023086</v>
      </c>
      <c r="J127" s="1745"/>
      <c r="K127" s="1690"/>
      <c r="L127" s="1746"/>
      <c r="M127" s="1690"/>
      <c r="N127" s="1690"/>
      <c r="O127" s="1747"/>
      <c r="P127" s="1689">
        <f>16200-3000</f>
        <v>13200</v>
      </c>
      <c r="Q127" s="1690">
        <v>3099</v>
      </c>
      <c r="R127" s="1695">
        <f>Q127/P127*100</f>
        <v>23.477272727272727</v>
      </c>
    </row>
    <row r="128" spans="1:18" ht="14.25" customHeight="1">
      <c r="A128" s="1743">
        <v>4430</v>
      </c>
      <c r="B128" s="1751" t="s">
        <v>124</v>
      </c>
      <c r="C128" s="1689">
        <v>50000</v>
      </c>
      <c r="D128" s="893">
        <f t="shared" si="9"/>
        <v>50500</v>
      </c>
      <c r="E128" s="1690">
        <f t="shared" si="13"/>
        <v>6326</v>
      </c>
      <c r="F128" s="1666">
        <f t="shared" si="10"/>
        <v>12.526732673267327</v>
      </c>
      <c r="G128" s="1689">
        <f>50000</f>
        <v>50000</v>
      </c>
      <c r="H128" s="1690">
        <v>6226</v>
      </c>
      <c r="I128" s="1669">
        <f t="shared" si="11"/>
        <v>12.452</v>
      </c>
      <c r="J128" s="1745"/>
      <c r="K128" s="1690"/>
      <c r="L128" s="1746"/>
      <c r="M128" s="1690"/>
      <c r="N128" s="1690"/>
      <c r="O128" s="1747"/>
      <c r="P128" s="1689">
        <v>500</v>
      </c>
      <c r="Q128" s="1690">
        <v>100</v>
      </c>
      <c r="R128" s="1695">
        <f>Q128/P128*100</f>
        <v>20</v>
      </c>
    </row>
    <row r="129" spans="1:18" ht="14.25" customHeight="1">
      <c r="A129" s="1743">
        <v>4480</v>
      </c>
      <c r="B129" s="1751" t="s">
        <v>688</v>
      </c>
      <c r="C129" s="1689"/>
      <c r="D129" s="893">
        <f t="shared" si="9"/>
        <v>5000</v>
      </c>
      <c r="E129" s="1690">
        <f>SUM(H129+K129+N129+Q129)</f>
        <v>0</v>
      </c>
      <c r="F129" s="1666">
        <f>E129/D129*100</f>
        <v>0</v>
      </c>
      <c r="G129" s="1689"/>
      <c r="H129" s="1690"/>
      <c r="I129" s="1669"/>
      <c r="J129" s="1745"/>
      <c r="K129" s="1690"/>
      <c r="L129" s="1746"/>
      <c r="M129" s="1690"/>
      <c r="N129" s="1690"/>
      <c r="O129" s="1747"/>
      <c r="P129" s="1689">
        <v>5000</v>
      </c>
      <c r="Q129" s="1690"/>
      <c r="R129" s="1695">
        <f>Q129/P129*100</f>
        <v>0</v>
      </c>
    </row>
    <row r="130" spans="1:18" ht="12.75" customHeight="1">
      <c r="A130" s="1743">
        <v>4580</v>
      </c>
      <c r="B130" s="1751" t="s">
        <v>176</v>
      </c>
      <c r="C130" s="1689"/>
      <c r="D130" s="893">
        <f t="shared" si="9"/>
        <v>300</v>
      </c>
      <c r="E130" s="1690">
        <f>SUM(H130+K130+N130+Q130)</f>
        <v>0</v>
      </c>
      <c r="F130" s="1666">
        <f>E130/D130*100</f>
        <v>0</v>
      </c>
      <c r="G130" s="1689"/>
      <c r="H130" s="1690"/>
      <c r="I130" s="1669"/>
      <c r="J130" s="1745"/>
      <c r="K130" s="1690"/>
      <c r="L130" s="1746"/>
      <c r="M130" s="1690"/>
      <c r="N130" s="1690"/>
      <c r="O130" s="1747"/>
      <c r="P130" s="1689">
        <v>300</v>
      </c>
      <c r="Q130" s="1690"/>
      <c r="R130" s="1695">
        <f>Q130/P130*100</f>
        <v>0</v>
      </c>
    </row>
    <row r="131" spans="1:18" ht="35.25" customHeight="1">
      <c r="A131" s="1743">
        <v>4590</v>
      </c>
      <c r="B131" s="1751" t="s">
        <v>177</v>
      </c>
      <c r="C131" s="1689"/>
      <c r="D131" s="893">
        <f>G131+J131+P131+M131</f>
        <v>190000</v>
      </c>
      <c r="E131" s="1690">
        <f t="shared" si="13"/>
        <v>5099</v>
      </c>
      <c r="F131" s="1666">
        <f t="shared" si="10"/>
        <v>2.683684210526316</v>
      </c>
      <c r="G131" s="1689">
        <v>170000</v>
      </c>
      <c r="H131" s="1690">
        <v>5099</v>
      </c>
      <c r="I131" s="1669">
        <f t="shared" si="11"/>
        <v>2.9994117647058824</v>
      </c>
      <c r="J131" s="1745"/>
      <c r="K131" s="1690"/>
      <c r="L131" s="1746"/>
      <c r="M131" s="1690"/>
      <c r="N131" s="1690"/>
      <c r="O131" s="1747"/>
      <c r="P131" s="1689">
        <v>20000</v>
      </c>
      <c r="Q131" s="1690"/>
      <c r="R131" s="1695">
        <f>Q131/P131*100</f>
        <v>0</v>
      </c>
    </row>
    <row r="132" spans="1:18" ht="49.5" customHeight="1" hidden="1">
      <c r="A132" s="1743">
        <v>4600</v>
      </c>
      <c r="B132" s="1751" t="s">
        <v>187</v>
      </c>
      <c r="C132" s="1689"/>
      <c r="D132" s="893">
        <f t="shared" si="9"/>
        <v>0</v>
      </c>
      <c r="E132" s="1690">
        <f>SUM(H132+K132+N132+Q132)</f>
        <v>0</v>
      </c>
      <c r="F132" s="1666" t="e">
        <f>E132/D132*100</f>
        <v>#DIV/0!</v>
      </c>
      <c r="G132" s="1689"/>
      <c r="H132" s="1690"/>
      <c r="I132" s="1669" t="e">
        <f t="shared" si="11"/>
        <v>#DIV/0!</v>
      </c>
      <c r="J132" s="1745"/>
      <c r="K132" s="1690"/>
      <c r="L132" s="1746"/>
      <c r="M132" s="1690"/>
      <c r="N132" s="1690"/>
      <c r="O132" s="1747"/>
      <c r="P132" s="1689"/>
      <c r="Q132" s="1690"/>
      <c r="R132" s="1754"/>
    </row>
    <row r="133" spans="1:18" ht="37.5" customHeight="1">
      <c r="A133" s="1743">
        <v>4610</v>
      </c>
      <c r="B133" s="1751" t="s">
        <v>178</v>
      </c>
      <c r="C133" s="1689"/>
      <c r="D133" s="893">
        <f t="shared" si="9"/>
        <v>3600</v>
      </c>
      <c r="E133" s="893">
        <f>H133+K133+Q133+N133</f>
        <v>2706</v>
      </c>
      <c r="F133" s="1666">
        <f t="shared" si="10"/>
        <v>75.16666666666667</v>
      </c>
      <c r="G133" s="1689">
        <v>1600</v>
      </c>
      <c r="H133" s="1690">
        <v>1586</v>
      </c>
      <c r="I133" s="1669">
        <f t="shared" si="11"/>
        <v>99.125</v>
      </c>
      <c r="J133" s="1745"/>
      <c r="K133" s="1690"/>
      <c r="L133" s="1746"/>
      <c r="M133" s="1690"/>
      <c r="N133" s="1690"/>
      <c r="O133" s="1747"/>
      <c r="P133" s="1689">
        <v>2000</v>
      </c>
      <c r="Q133" s="1690">
        <v>1120</v>
      </c>
      <c r="R133" s="1695">
        <f>Q133/P133*100</f>
        <v>56.00000000000001</v>
      </c>
    </row>
    <row r="134" spans="1:18" ht="71.25" customHeight="1">
      <c r="A134" s="1798">
        <v>6060</v>
      </c>
      <c r="B134" s="1799" t="s">
        <v>188</v>
      </c>
      <c r="C134" s="1800"/>
      <c r="D134" s="925">
        <f aca="true" t="shared" si="14" ref="D134:E158">G134+J134+P134+M134</f>
        <v>2972480</v>
      </c>
      <c r="E134" s="1791">
        <f t="shared" si="13"/>
        <v>62002</v>
      </c>
      <c r="F134" s="1719">
        <f t="shared" si="10"/>
        <v>2.08586769297018</v>
      </c>
      <c r="G134" s="1800">
        <f>1100000-227520+2100000</f>
        <v>2972480</v>
      </c>
      <c r="H134" s="1791">
        <v>62002</v>
      </c>
      <c r="I134" s="1739">
        <f t="shared" si="11"/>
        <v>2.08586769297018</v>
      </c>
      <c r="J134" s="1801"/>
      <c r="K134" s="1791"/>
      <c r="L134" s="1857"/>
      <c r="M134" s="1791"/>
      <c r="N134" s="1791"/>
      <c r="O134" s="1804"/>
      <c r="P134" s="1800"/>
      <c r="Q134" s="1791"/>
      <c r="R134" s="1845"/>
    </row>
    <row r="135" spans="1:18" s="1771" customFormat="1" ht="30" customHeight="1">
      <c r="A135" s="1858">
        <v>70021</v>
      </c>
      <c r="B135" s="1859" t="s">
        <v>189</v>
      </c>
      <c r="C135" s="883">
        <f>C136</f>
        <v>3360000</v>
      </c>
      <c r="D135" s="884">
        <f t="shared" si="14"/>
        <v>3360000</v>
      </c>
      <c r="E135" s="884">
        <f t="shared" si="13"/>
        <v>0</v>
      </c>
      <c r="F135" s="1719">
        <f aca="true" t="shared" si="15" ref="F135:F198">E135/D135*100</f>
        <v>0</v>
      </c>
      <c r="G135" s="883">
        <f>G136</f>
        <v>3360000</v>
      </c>
      <c r="H135" s="884">
        <f>H136</f>
        <v>0</v>
      </c>
      <c r="I135" s="1739">
        <f t="shared" si="11"/>
        <v>0</v>
      </c>
      <c r="J135" s="1860"/>
      <c r="K135" s="884"/>
      <c r="L135" s="1844"/>
      <c r="M135" s="884"/>
      <c r="N135" s="884"/>
      <c r="O135" s="1861"/>
      <c r="P135" s="883"/>
      <c r="Q135" s="884"/>
      <c r="R135" s="1862"/>
    </row>
    <row r="136" spans="1:18" ht="48">
      <c r="A136" s="1798">
        <v>6010</v>
      </c>
      <c r="B136" s="1751" t="s">
        <v>190</v>
      </c>
      <c r="C136" s="1800">
        <v>3360000</v>
      </c>
      <c r="D136" s="925">
        <f t="shared" si="14"/>
        <v>3360000</v>
      </c>
      <c r="E136" s="1791">
        <f t="shared" si="13"/>
        <v>0</v>
      </c>
      <c r="F136" s="1719">
        <f t="shared" si="15"/>
        <v>0</v>
      </c>
      <c r="G136" s="1800">
        <v>3360000</v>
      </c>
      <c r="H136" s="1791"/>
      <c r="I136" s="1739">
        <f t="shared" si="11"/>
        <v>0</v>
      </c>
      <c r="J136" s="1801"/>
      <c r="K136" s="1791"/>
      <c r="L136" s="1857"/>
      <c r="M136" s="1791"/>
      <c r="N136" s="1791"/>
      <c r="O136" s="1804"/>
      <c r="P136" s="1800"/>
      <c r="Q136" s="1791"/>
      <c r="R136" s="1845"/>
    </row>
    <row r="137" spans="1:18" s="1735" customFormat="1" ht="15" customHeight="1">
      <c r="A137" s="1736">
        <v>70095</v>
      </c>
      <c r="B137" s="1835" t="s">
        <v>829</v>
      </c>
      <c r="C137" s="1738">
        <f>SUM(C138:C143)</f>
        <v>1912400</v>
      </c>
      <c r="D137" s="908">
        <f t="shared" si="14"/>
        <v>2739920</v>
      </c>
      <c r="E137" s="1680">
        <f>H137+K137+Q137+N137</f>
        <v>772965</v>
      </c>
      <c r="F137" s="1681">
        <f t="shared" si="15"/>
        <v>28.211225145259718</v>
      </c>
      <c r="G137" s="1738">
        <f>SUM(G138:G143)</f>
        <v>2739920</v>
      </c>
      <c r="H137" s="908">
        <f>SUM(H138:H143)</f>
        <v>772965</v>
      </c>
      <c r="I137" s="1776">
        <f t="shared" si="11"/>
        <v>28.211225145259718</v>
      </c>
      <c r="J137" s="1738"/>
      <c r="K137" s="1680"/>
      <c r="L137" s="1741"/>
      <c r="M137" s="1680"/>
      <c r="N137" s="1680"/>
      <c r="O137" s="1742"/>
      <c r="P137" s="1738"/>
      <c r="Q137" s="1680"/>
      <c r="R137" s="1782"/>
    </row>
    <row r="138" spans="1:18" ht="23.25" customHeight="1">
      <c r="A138" s="1722">
        <v>4210</v>
      </c>
      <c r="B138" s="1853" t="s">
        <v>191</v>
      </c>
      <c r="C138" s="1693">
        <v>12400</v>
      </c>
      <c r="D138" s="932">
        <f t="shared" si="14"/>
        <v>12400</v>
      </c>
      <c r="E138" s="1707">
        <f t="shared" si="13"/>
        <v>0</v>
      </c>
      <c r="F138" s="1710">
        <f t="shared" si="15"/>
        <v>0</v>
      </c>
      <c r="G138" s="1693">
        <v>12400</v>
      </c>
      <c r="H138" s="1707"/>
      <c r="I138" s="1710">
        <f t="shared" si="11"/>
        <v>0</v>
      </c>
      <c r="J138" s="1854"/>
      <c r="K138" s="1707"/>
      <c r="L138" s="1849"/>
      <c r="M138" s="1707"/>
      <c r="N138" s="1707"/>
      <c r="O138" s="1855"/>
      <c r="P138" s="1693"/>
      <c r="Q138" s="1707"/>
      <c r="R138" s="1856"/>
    </row>
    <row r="139" spans="1:18" ht="14.25" customHeight="1">
      <c r="A139" s="1743">
        <v>4580</v>
      </c>
      <c r="B139" s="1751" t="s">
        <v>176</v>
      </c>
      <c r="C139" s="1689"/>
      <c r="D139" s="893">
        <f t="shared" si="14"/>
        <v>41538</v>
      </c>
      <c r="E139" s="1690">
        <f t="shared" si="13"/>
        <v>41535</v>
      </c>
      <c r="F139" s="1669">
        <f t="shared" si="15"/>
        <v>99.99277769752997</v>
      </c>
      <c r="G139" s="1689">
        <v>41538</v>
      </c>
      <c r="H139" s="1690">
        <v>41535</v>
      </c>
      <c r="I139" s="1669">
        <f t="shared" si="11"/>
        <v>99.99277769752997</v>
      </c>
      <c r="J139" s="1745"/>
      <c r="K139" s="1690"/>
      <c r="L139" s="1746"/>
      <c r="M139" s="1690"/>
      <c r="N139" s="1690"/>
      <c r="O139" s="1747"/>
      <c r="P139" s="1689"/>
      <c r="Q139" s="1690"/>
      <c r="R139" s="1754"/>
    </row>
    <row r="140" spans="1:18" ht="48" hidden="1">
      <c r="A140" s="1743">
        <v>4600</v>
      </c>
      <c r="B140" s="1751" t="s">
        <v>192</v>
      </c>
      <c r="C140" s="1689"/>
      <c r="D140" s="893">
        <f t="shared" si="14"/>
        <v>0</v>
      </c>
      <c r="E140" s="1690">
        <f t="shared" si="13"/>
        <v>0</v>
      </c>
      <c r="F140" s="1669" t="e">
        <f t="shared" si="15"/>
        <v>#DIV/0!</v>
      </c>
      <c r="G140" s="1689"/>
      <c r="H140" s="1690"/>
      <c r="I140" s="1669" t="e">
        <f t="shared" si="11"/>
        <v>#DIV/0!</v>
      </c>
      <c r="J140" s="1745"/>
      <c r="K140" s="1690"/>
      <c r="L140" s="1746"/>
      <c r="M140" s="1690"/>
      <c r="N140" s="1690"/>
      <c r="O140" s="1747"/>
      <c r="P140" s="1689"/>
      <c r="Q140" s="1690"/>
      <c r="R140" s="1754"/>
    </row>
    <row r="141" spans="1:18" ht="36">
      <c r="A141" s="1743">
        <v>4610</v>
      </c>
      <c r="B141" s="1751" t="s">
        <v>193</v>
      </c>
      <c r="C141" s="1689"/>
      <c r="D141" s="893">
        <f t="shared" si="14"/>
        <v>18800</v>
      </c>
      <c r="E141" s="1690">
        <f t="shared" si="13"/>
        <v>18798</v>
      </c>
      <c r="F141" s="1669">
        <f t="shared" si="15"/>
        <v>99.98936170212765</v>
      </c>
      <c r="G141" s="1689">
        <v>18800</v>
      </c>
      <c r="H141" s="1690">
        <v>18798</v>
      </c>
      <c r="I141" s="1669">
        <f t="shared" si="11"/>
        <v>99.98936170212765</v>
      </c>
      <c r="J141" s="1745"/>
      <c r="K141" s="1690"/>
      <c r="L141" s="1746"/>
      <c r="M141" s="1690"/>
      <c r="N141" s="1690"/>
      <c r="O141" s="1747"/>
      <c r="P141" s="1689"/>
      <c r="Q141" s="1690"/>
      <c r="R141" s="1754"/>
    </row>
    <row r="142" spans="1:18" ht="48" hidden="1">
      <c r="A142" s="1743">
        <v>6010</v>
      </c>
      <c r="B142" s="1751" t="s">
        <v>190</v>
      </c>
      <c r="C142" s="1689"/>
      <c r="D142" s="893">
        <f t="shared" si="14"/>
        <v>0</v>
      </c>
      <c r="E142" s="1690">
        <f t="shared" si="13"/>
        <v>0</v>
      </c>
      <c r="F142" s="1666" t="e">
        <f t="shared" si="15"/>
        <v>#DIV/0!</v>
      </c>
      <c r="G142" s="1689"/>
      <c r="H142" s="1690"/>
      <c r="I142" s="1669" t="e">
        <f t="shared" si="11"/>
        <v>#DIV/0!</v>
      </c>
      <c r="J142" s="1745"/>
      <c r="K142" s="1690"/>
      <c r="L142" s="1746"/>
      <c r="M142" s="1690"/>
      <c r="N142" s="1690"/>
      <c r="O142" s="1747"/>
      <c r="P142" s="1689"/>
      <c r="Q142" s="1690"/>
      <c r="R142" s="1754"/>
    </row>
    <row r="143" spans="1:18" ht="24.75" thickBot="1">
      <c r="A143" s="1743">
        <v>6050</v>
      </c>
      <c r="B143" s="1751" t="s">
        <v>194</v>
      </c>
      <c r="C143" s="1689">
        <v>1900000</v>
      </c>
      <c r="D143" s="893">
        <f t="shared" si="14"/>
        <v>2667182</v>
      </c>
      <c r="E143" s="1690">
        <f t="shared" si="13"/>
        <v>712632</v>
      </c>
      <c r="F143" s="1666">
        <f t="shared" si="15"/>
        <v>26.71853664279378</v>
      </c>
      <c r="G143" s="1689">
        <f>1900000+167182+600000</f>
        <v>2667182</v>
      </c>
      <c r="H143" s="1690">
        <v>712632</v>
      </c>
      <c r="I143" s="1669">
        <f t="shared" si="11"/>
        <v>26.71853664279378</v>
      </c>
      <c r="J143" s="1745"/>
      <c r="K143" s="1690"/>
      <c r="L143" s="1746"/>
      <c r="M143" s="1690"/>
      <c r="N143" s="1690"/>
      <c r="O143" s="1747"/>
      <c r="P143" s="1689"/>
      <c r="Q143" s="1690"/>
      <c r="R143" s="1754"/>
    </row>
    <row r="144" spans="1:18" s="1870" customFormat="1" ht="24" customHeight="1" hidden="1">
      <c r="A144" s="1863"/>
      <c r="B144" s="1864" t="s">
        <v>195</v>
      </c>
      <c r="C144" s="1865"/>
      <c r="D144" s="1808">
        <f t="shared" si="14"/>
        <v>0</v>
      </c>
      <c r="E144" s="1866">
        <f>SUM(H144+K144+N144+Q144)</f>
        <v>0</v>
      </c>
      <c r="F144" s="1666" t="e">
        <f t="shared" si="15"/>
        <v>#DIV/0!</v>
      </c>
      <c r="G144" s="1865"/>
      <c r="H144" s="1808"/>
      <c r="I144" s="1669" t="e">
        <f t="shared" si="11"/>
        <v>#DIV/0!</v>
      </c>
      <c r="J144" s="1867"/>
      <c r="K144" s="1866"/>
      <c r="L144" s="1809"/>
      <c r="M144" s="1866"/>
      <c r="N144" s="1866"/>
      <c r="O144" s="1868"/>
      <c r="P144" s="1865"/>
      <c r="Q144" s="1866"/>
      <c r="R144" s="1869"/>
    </row>
    <row r="145" spans="1:18" s="1771" customFormat="1" ht="25.5" thickBot="1" thickTop="1">
      <c r="A145" s="1755">
        <v>710</v>
      </c>
      <c r="B145" s="1756" t="s">
        <v>610</v>
      </c>
      <c r="C145" s="875">
        <f>C152+C154+C156+C166+C146</f>
        <v>2420300</v>
      </c>
      <c r="D145" s="876">
        <f t="shared" si="14"/>
        <v>2458022</v>
      </c>
      <c r="E145" s="876">
        <f>H145+K145+Q145+N145</f>
        <v>687518</v>
      </c>
      <c r="F145" s="1642">
        <f t="shared" si="15"/>
        <v>27.97037618052239</v>
      </c>
      <c r="G145" s="875">
        <f>G166+G146+G170</f>
        <v>2063322</v>
      </c>
      <c r="H145" s="876">
        <f>H166+H146+H170</f>
        <v>536420</v>
      </c>
      <c r="I145" s="1644">
        <f t="shared" si="11"/>
        <v>25.997881086907427</v>
      </c>
      <c r="J145" s="876"/>
      <c r="K145" s="876"/>
      <c r="L145" s="956"/>
      <c r="M145" s="1759">
        <f>M152+M154+M156</f>
        <v>141000</v>
      </c>
      <c r="N145" s="876">
        <f>N152+N154+N156</f>
        <v>58445</v>
      </c>
      <c r="O145" s="1649">
        <f>N145/M145*100</f>
        <v>41.45035460992908</v>
      </c>
      <c r="P145" s="875">
        <f>P146+P152+P154+P156</f>
        <v>253700</v>
      </c>
      <c r="Q145" s="876">
        <f>Q152+Q154+Q156+Q146</f>
        <v>92653</v>
      </c>
      <c r="R145" s="1649">
        <f aca="true" t="shared" si="16" ref="R145:R165">Q145/P145*100</f>
        <v>36.52069373275522</v>
      </c>
    </row>
    <row r="146" spans="1:18" s="1771" customFormat="1" ht="24.75" thickTop="1">
      <c r="A146" s="1871">
        <v>71004</v>
      </c>
      <c r="B146" s="1872" t="s">
        <v>196</v>
      </c>
      <c r="C146" s="901">
        <f>SUM(C148:C149)</f>
        <v>1200000</v>
      </c>
      <c r="D146" s="906">
        <f t="shared" si="14"/>
        <v>1200000</v>
      </c>
      <c r="E146" s="906">
        <f t="shared" si="14"/>
        <v>259403</v>
      </c>
      <c r="F146" s="1654">
        <f t="shared" si="15"/>
        <v>21.616916666666665</v>
      </c>
      <c r="G146" s="942">
        <f>SUM(G147:G149)</f>
        <v>1200000</v>
      </c>
      <c r="H146" s="906">
        <f>SUM(H147:H149)</f>
        <v>259403</v>
      </c>
      <c r="I146" s="1873">
        <f>H146/G146*100</f>
        <v>21.616916666666665</v>
      </c>
      <c r="J146" s="1874"/>
      <c r="K146" s="906"/>
      <c r="L146" s="1875"/>
      <c r="M146" s="906"/>
      <c r="N146" s="906"/>
      <c r="O146" s="1876"/>
      <c r="P146" s="901"/>
      <c r="Q146" s="906"/>
      <c r="R146" s="1662"/>
    </row>
    <row r="147" spans="1:18" s="1586" customFormat="1" ht="24">
      <c r="A147" s="1743">
        <v>4110</v>
      </c>
      <c r="B147" s="1877" t="s">
        <v>110</v>
      </c>
      <c r="C147" s="895"/>
      <c r="D147" s="893">
        <f t="shared" si="14"/>
        <v>200</v>
      </c>
      <c r="E147" s="893">
        <f t="shared" si="14"/>
        <v>0</v>
      </c>
      <c r="F147" s="1666">
        <f t="shared" si="15"/>
        <v>0</v>
      </c>
      <c r="G147" s="1878">
        <v>200</v>
      </c>
      <c r="H147" s="893"/>
      <c r="I147" s="1669">
        <f>H147/G147*100</f>
        <v>0</v>
      </c>
      <c r="J147" s="1820"/>
      <c r="K147" s="893"/>
      <c r="L147" s="1746"/>
      <c r="M147" s="893"/>
      <c r="N147" s="893"/>
      <c r="O147" s="1879"/>
      <c r="P147" s="895"/>
      <c r="Q147" s="893"/>
      <c r="R147" s="1879"/>
    </row>
    <row r="148" spans="1:18" s="1586" customFormat="1" ht="24">
      <c r="A148" s="1818">
        <v>4170</v>
      </c>
      <c r="B148" s="1880" t="s">
        <v>169</v>
      </c>
      <c r="C148" s="895"/>
      <c r="D148" s="893">
        <f t="shared" si="14"/>
        <v>2000</v>
      </c>
      <c r="E148" s="893">
        <f t="shared" si="14"/>
        <v>1020</v>
      </c>
      <c r="F148" s="1666">
        <f t="shared" si="15"/>
        <v>51</v>
      </c>
      <c r="G148" s="1878">
        <v>2000</v>
      </c>
      <c r="H148" s="893">
        <v>1020</v>
      </c>
      <c r="I148" s="1669">
        <f>H148/G148*100</f>
        <v>51</v>
      </c>
      <c r="J148" s="1820"/>
      <c r="K148" s="893"/>
      <c r="L148" s="1746"/>
      <c r="M148" s="893"/>
      <c r="N148" s="893"/>
      <c r="O148" s="1879"/>
      <c r="P148" s="895"/>
      <c r="Q148" s="893"/>
      <c r="R148" s="1879"/>
    </row>
    <row r="149" spans="1:18" s="1586" customFormat="1" ht="24">
      <c r="A149" s="1818">
        <v>4300</v>
      </c>
      <c r="B149" s="1880" t="s">
        <v>197</v>
      </c>
      <c r="C149" s="895">
        <v>1200000</v>
      </c>
      <c r="D149" s="893">
        <f t="shared" si="14"/>
        <v>1197800</v>
      </c>
      <c r="E149" s="893">
        <f t="shared" si="14"/>
        <v>258383</v>
      </c>
      <c r="F149" s="1666">
        <f t="shared" si="15"/>
        <v>21.571464351310738</v>
      </c>
      <c r="G149" s="895">
        <f>1200000-2000-200</f>
        <v>1197800</v>
      </c>
      <c r="H149" s="893">
        <v>258383</v>
      </c>
      <c r="I149" s="1669">
        <f>H149/G149*100</f>
        <v>21.571464351310738</v>
      </c>
      <c r="J149" s="1820"/>
      <c r="K149" s="893"/>
      <c r="L149" s="1746"/>
      <c r="M149" s="893"/>
      <c r="N149" s="893"/>
      <c r="O149" s="1879"/>
      <c r="P149" s="895"/>
      <c r="Q149" s="893"/>
      <c r="R149" s="1695"/>
    </row>
    <row r="150" spans="1:18" s="1586" customFormat="1" ht="24" hidden="1">
      <c r="A150" s="1818">
        <v>4110</v>
      </c>
      <c r="B150" s="1880" t="s">
        <v>110</v>
      </c>
      <c r="C150" s="895"/>
      <c r="D150" s="893">
        <f t="shared" si="14"/>
        <v>0</v>
      </c>
      <c r="E150" s="893">
        <f t="shared" si="14"/>
        <v>0</v>
      </c>
      <c r="F150" s="1666" t="e">
        <f t="shared" si="15"/>
        <v>#DIV/0!</v>
      </c>
      <c r="G150" s="895"/>
      <c r="H150" s="893"/>
      <c r="I150" s="1669"/>
      <c r="J150" s="1820"/>
      <c r="K150" s="893"/>
      <c r="L150" s="1746"/>
      <c r="M150" s="893"/>
      <c r="N150" s="893"/>
      <c r="O150" s="1879"/>
      <c r="P150" s="895"/>
      <c r="Q150" s="893"/>
      <c r="R150" s="1695" t="e">
        <f t="shared" si="16"/>
        <v>#DIV/0!</v>
      </c>
    </row>
    <row r="151" spans="1:18" s="1586" customFormat="1" ht="12.75" hidden="1">
      <c r="A151" s="1818">
        <v>4120</v>
      </c>
      <c r="B151" s="1880" t="s">
        <v>198</v>
      </c>
      <c r="C151" s="895"/>
      <c r="D151" s="893">
        <f t="shared" si="14"/>
        <v>0</v>
      </c>
      <c r="E151" s="893">
        <f t="shared" si="14"/>
        <v>0</v>
      </c>
      <c r="F151" s="1666" t="e">
        <f t="shared" si="15"/>
        <v>#DIV/0!</v>
      </c>
      <c r="G151" s="895"/>
      <c r="H151" s="893"/>
      <c r="I151" s="1669"/>
      <c r="J151" s="1820"/>
      <c r="K151" s="893"/>
      <c r="L151" s="1746"/>
      <c r="M151" s="893"/>
      <c r="N151" s="893"/>
      <c r="O151" s="1879"/>
      <c r="P151" s="895"/>
      <c r="Q151" s="893"/>
      <c r="R151" s="1695" t="e">
        <f t="shared" si="16"/>
        <v>#DIV/0!</v>
      </c>
    </row>
    <row r="152" spans="1:18" s="1735" customFormat="1" ht="34.5" customHeight="1">
      <c r="A152" s="1736">
        <v>71013</v>
      </c>
      <c r="B152" s="1835" t="s">
        <v>199</v>
      </c>
      <c r="C152" s="1738">
        <f>C153</f>
        <v>51000</v>
      </c>
      <c r="D152" s="908">
        <f t="shared" si="14"/>
        <v>51000</v>
      </c>
      <c r="E152" s="1680">
        <f>E153</f>
        <v>0</v>
      </c>
      <c r="F152" s="1681">
        <f t="shared" si="15"/>
        <v>0</v>
      </c>
      <c r="G152" s="1738"/>
      <c r="H152" s="1680"/>
      <c r="I152" s="1881"/>
      <c r="J152" s="1740"/>
      <c r="K152" s="1680"/>
      <c r="L152" s="1741"/>
      <c r="M152" s="1680"/>
      <c r="N152" s="1680"/>
      <c r="O152" s="1742"/>
      <c r="P152" s="1738">
        <f>P153</f>
        <v>51000</v>
      </c>
      <c r="Q152" s="1680">
        <f>Q153</f>
        <v>0</v>
      </c>
      <c r="R152" s="1688">
        <f t="shared" si="16"/>
        <v>0</v>
      </c>
    </row>
    <row r="153" spans="1:18" ht="12.75">
      <c r="A153" s="1772">
        <v>4300</v>
      </c>
      <c r="B153" s="1773" t="s">
        <v>122</v>
      </c>
      <c r="C153" s="1774">
        <v>51000</v>
      </c>
      <c r="D153" s="919">
        <f t="shared" si="14"/>
        <v>51000</v>
      </c>
      <c r="E153" s="1781">
        <f>SUM(H153+K153+N153+Q153)</f>
        <v>0</v>
      </c>
      <c r="F153" s="1681">
        <f t="shared" si="15"/>
        <v>0</v>
      </c>
      <c r="G153" s="1774"/>
      <c r="H153" s="1781"/>
      <c r="I153" s="1881"/>
      <c r="J153" s="1777"/>
      <c r="K153" s="1781"/>
      <c r="L153" s="1881"/>
      <c r="M153" s="1781"/>
      <c r="N153" s="1781"/>
      <c r="O153" s="1742"/>
      <c r="P153" s="1774">
        <v>51000</v>
      </c>
      <c r="Q153" s="1781">
        <v>0</v>
      </c>
      <c r="R153" s="1688">
        <f t="shared" si="16"/>
        <v>0</v>
      </c>
    </row>
    <row r="154" spans="1:18" s="1735" customFormat="1" ht="22.5" customHeight="1">
      <c r="A154" s="1837">
        <v>71014</v>
      </c>
      <c r="B154" s="1838" t="s">
        <v>771</v>
      </c>
      <c r="C154" s="1839">
        <f>C155</f>
        <v>20000</v>
      </c>
      <c r="D154" s="884">
        <f t="shared" si="14"/>
        <v>20000</v>
      </c>
      <c r="E154" s="1842">
        <f>E155</f>
        <v>0</v>
      </c>
      <c r="F154" s="1719">
        <f t="shared" si="15"/>
        <v>0</v>
      </c>
      <c r="G154" s="1839"/>
      <c r="H154" s="1842"/>
      <c r="I154" s="1857"/>
      <c r="J154" s="1843"/>
      <c r="K154" s="1842"/>
      <c r="L154" s="1844"/>
      <c r="M154" s="1842"/>
      <c r="N154" s="1842"/>
      <c r="O154" s="1804"/>
      <c r="P154" s="1839">
        <f>P155</f>
        <v>20000</v>
      </c>
      <c r="Q154" s="1842">
        <f>Q155</f>
        <v>0</v>
      </c>
      <c r="R154" s="1720">
        <f t="shared" si="16"/>
        <v>0</v>
      </c>
    </row>
    <row r="155" spans="1:18" ht="12.75">
      <c r="A155" s="1798">
        <v>4300</v>
      </c>
      <c r="B155" s="1799" t="s">
        <v>122</v>
      </c>
      <c r="C155" s="1689">
        <v>20000</v>
      </c>
      <c r="D155" s="925">
        <f t="shared" si="14"/>
        <v>20000</v>
      </c>
      <c r="E155" s="1690">
        <f>SUM(H155+K155+N155+Q155)</f>
        <v>0</v>
      </c>
      <c r="F155" s="1681">
        <f t="shared" si="15"/>
        <v>0</v>
      </c>
      <c r="G155" s="1800"/>
      <c r="H155" s="1791"/>
      <c r="I155" s="1857"/>
      <c r="J155" s="1801"/>
      <c r="K155" s="1791"/>
      <c r="L155" s="1857"/>
      <c r="M155" s="1791"/>
      <c r="N155" s="1791"/>
      <c r="O155" s="1804"/>
      <c r="P155" s="1800">
        <v>20000</v>
      </c>
      <c r="Q155" s="1791">
        <v>0</v>
      </c>
      <c r="R155" s="1720">
        <f t="shared" si="16"/>
        <v>0</v>
      </c>
    </row>
    <row r="156" spans="1:18" ht="12.75">
      <c r="A156" s="1736">
        <v>71015</v>
      </c>
      <c r="B156" s="1835" t="s">
        <v>774</v>
      </c>
      <c r="C156" s="1738">
        <f>SUM(C157:C165)</f>
        <v>322700</v>
      </c>
      <c r="D156" s="884">
        <f t="shared" si="14"/>
        <v>323700</v>
      </c>
      <c r="E156" s="908">
        <f t="shared" si="14"/>
        <v>151098</v>
      </c>
      <c r="F156" s="1681">
        <f t="shared" si="15"/>
        <v>46.678405931417984</v>
      </c>
      <c r="G156" s="1738"/>
      <c r="H156" s="1680"/>
      <c r="I156" s="1881"/>
      <c r="J156" s="1740"/>
      <c r="K156" s="1680"/>
      <c r="L156" s="1741"/>
      <c r="M156" s="1680">
        <f>SUM(M157:M165)</f>
        <v>141000</v>
      </c>
      <c r="N156" s="1680">
        <f>SUM(N157:N165)</f>
        <v>58445</v>
      </c>
      <c r="O156" s="1720">
        <f>N156/M156*100</f>
        <v>41.45035460992908</v>
      </c>
      <c r="P156" s="1738">
        <f>SUM(P157:P165)</f>
        <v>182700</v>
      </c>
      <c r="Q156" s="1680">
        <f>SUM(Q157:Q165)</f>
        <v>92653</v>
      </c>
      <c r="R156" s="1720">
        <f t="shared" si="16"/>
        <v>50.713191023535856</v>
      </c>
    </row>
    <row r="157" spans="1:18" ht="22.5" customHeight="1">
      <c r="A157" s="1743">
        <v>4010</v>
      </c>
      <c r="B157" s="1751" t="s">
        <v>104</v>
      </c>
      <c r="C157" s="1689">
        <v>221380</v>
      </c>
      <c r="D157" s="893">
        <f t="shared" si="14"/>
        <v>221380</v>
      </c>
      <c r="E157" s="1690">
        <f aca="true" t="shared" si="17" ref="E157:E166">SUM(H157+K157+N157+Q157)</f>
        <v>97492</v>
      </c>
      <c r="F157" s="1666">
        <f t="shared" si="15"/>
        <v>44.03830517661939</v>
      </c>
      <c r="G157" s="1689"/>
      <c r="H157" s="1690"/>
      <c r="I157" s="1746"/>
      <c r="J157" s="1745"/>
      <c r="K157" s="1690"/>
      <c r="L157" s="1746"/>
      <c r="M157" s="1690">
        <v>90000</v>
      </c>
      <c r="N157" s="1690">
        <v>36180</v>
      </c>
      <c r="O157" s="1695">
        <f>N157/M157*100</f>
        <v>40.2</v>
      </c>
      <c r="P157" s="1689">
        <v>131380</v>
      </c>
      <c r="Q157" s="1690">
        <v>61312</v>
      </c>
      <c r="R157" s="1695">
        <f t="shared" si="16"/>
        <v>46.66768153448013</v>
      </c>
    </row>
    <row r="158" spans="1:18" ht="24">
      <c r="A158" s="1743">
        <v>4040</v>
      </c>
      <c r="B158" s="1751" t="s">
        <v>165</v>
      </c>
      <c r="C158" s="1689">
        <v>14544</v>
      </c>
      <c r="D158" s="893">
        <f t="shared" si="14"/>
        <v>14544</v>
      </c>
      <c r="E158" s="1690">
        <f t="shared" si="17"/>
        <v>13782</v>
      </c>
      <c r="F158" s="1666">
        <f t="shared" si="15"/>
        <v>94.76072607260726</v>
      </c>
      <c r="G158" s="1689"/>
      <c r="H158" s="1690"/>
      <c r="I158" s="1746"/>
      <c r="J158" s="1745"/>
      <c r="K158" s="1690"/>
      <c r="L158" s="1746"/>
      <c r="M158" s="1690">
        <v>4021</v>
      </c>
      <c r="N158" s="1690">
        <v>4021</v>
      </c>
      <c r="O158" s="1669">
        <f>N158/M158*100</f>
        <v>100</v>
      </c>
      <c r="P158" s="1689">
        <v>10523</v>
      </c>
      <c r="Q158" s="1690">
        <v>9761</v>
      </c>
      <c r="R158" s="1695">
        <f t="shared" si="16"/>
        <v>92.75871899648389</v>
      </c>
    </row>
    <row r="159" spans="1:18" ht="24">
      <c r="A159" s="1743">
        <v>4110</v>
      </c>
      <c r="B159" s="1877" t="s">
        <v>110</v>
      </c>
      <c r="C159" s="1689">
        <v>42925</v>
      </c>
      <c r="D159" s="893">
        <f aca="true" t="shared" si="18" ref="D159:E174">G159+J159+P159+M159</f>
        <v>42925</v>
      </c>
      <c r="E159" s="1690">
        <f t="shared" si="17"/>
        <v>18142</v>
      </c>
      <c r="F159" s="1666">
        <f t="shared" si="15"/>
        <v>42.26441467676179</v>
      </c>
      <c r="G159" s="1689"/>
      <c r="H159" s="1690"/>
      <c r="I159" s="1746"/>
      <c r="J159" s="1745"/>
      <c r="K159" s="1690"/>
      <c r="L159" s="1746"/>
      <c r="M159" s="1690">
        <v>17110</v>
      </c>
      <c r="N159" s="1690">
        <v>6359</v>
      </c>
      <c r="O159" s="1695">
        <f aca="true" t="shared" si="19" ref="O159:O165">N159/M159*100</f>
        <v>37.16540035067212</v>
      </c>
      <c r="P159" s="1689">
        <v>25815</v>
      </c>
      <c r="Q159" s="1690">
        <v>11783</v>
      </c>
      <c r="R159" s="1695">
        <f t="shared" si="16"/>
        <v>45.644005423203566</v>
      </c>
    </row>
    <row r="160" spans="1:18" ht="13.5" customHeight="1">
      <c r="A160" s="1743">
        <v>4120</v>
      </c>
      <c r="B160" s="1751" t="s">
        <v>198</v>
      </c>
      <c r="C160" s="1689">
        <v>5782</v>
      </c>
      <c r="D160" s="893">
        <f t="shared" si="18"/>
        <v>5782</v>
      </c>
      <c r="E160" s="1690">
        <f t="shared" si="17"/>
        <v>2426</v>
      </c>
      <c r="F160" s="1666">
        <f t="shared" si="15"/>
        <v>41.95780006918021</v>
      </c>
      <c r="G160" s="1689"/>
      <c r="H160" s="1690"/>
      <c r="I160" s="1746"/>
      <c r="J160" s="1745"/>
      <c r="K160" s="1690"/>
      <c r="L160" s="1746"/>
      <c r="M160" s="1690">
        <v>2305</v>
      </c>
      <c r="N160" s="1690">
        <v>857</v>
      </c>
      <c r="O160" s="1695">
        <f t="shared" si="19"/>
        <v>37.18004338394794</v>
      </c>
      <c r="P160" s="1689">
        <v>3477</v>
      </c>
      <c r="Q160" s="1690">
        <v>1569</v>
      </c>
      <c r="R160" s="1695">
        <f t="shared" si="16"/>
        <v>45.125107851596205</v>
      </c>
    </row>
    <row r="161" spans="1:18" ht="22.5" customHeight="1">
      <c r="A161" s="1743">
        <v>4210</v>
      </c>
      <c r="B161" s="1751" t="s">
        <v>114</v>
      </c>
      <c r="C161" s="1689">
        <v>9205</v>
      </c>
      <c r="D161" s="893">
        <f t="shared" si="18"/>
        <v>9205</v>
      </c>
      <c r="E161" s="1690">
        <f t="shared" si="17"/>
        <v>1006</v>
      </c>
      <c r="F161" s="1666">
        <f t="shared" si="15"/>
        <v>10.928843020097773</v>
      </c>
      <c r="G161" s="1689"/>
      <c r="H161" s="1690"/>
      <c r="I161" s="1746"/>
      <c r="J161" s="1745"/>
      <c r="K161" s="1690"/>
      <c r="L161" s="1746"/>
      <c r="M161" s="1745">
        <v>7205</v>
      </c>
      <c r="N161" s="1745">
        <v>880</v>
      </c>
      <c r="O161" s="1695">
        <f t="shared" si="19"/>
        <v>12.213740458015266</v>
      </c>
      <c r="P161" s="1689">
        <v>2000</v>
      </c>
      <c r="Q161" s="1690">
        <v>126</v>
      </c>
      <c r="R161" s="1695">
        <f t="shared" si="16"/>
        <v>6.3</v>
      </c>
    </row>
    <row r="162" spans="1:18" ht="12.75">
      <c r="A162" s="1743">
        <v>4300</v>
      </c>
      <c r="B162" s="1751" t="s">
        <v>122</v>
      </c>
      <c r="C162" s="1689">
        <v>9559</v>
      </c>
      <c r="D162" s="893">
        <f t="shared" si="18"/>
        <v>10559</v>
      </c>
      <c r="E162" s="1690">
        <f t="shared" si="17"/>
        <v>4777</v>
      </c>
      <c r="F162" s="1666">
        <f t="shared" si="15"/>
        <v>45.24102661236859</v>
      </c>
      <c r="G162" s="1689"/>
      <c r="H162" s="1690"/>
      <c r="I162" s="1746"/>
      <c r="J162" s="1745"/>
      <c r="K162" s="1690"/>
      <c r="L162" s="1746"/>
      <c r="M162" s="1745">
        <f>6559+1000</f>
        <v>7559</v>
      </c>
      <c r="N162" s="1745">
        <v>3180</v>
      </c>
      <c r="O162" s="1695">
        <f t="shared" si="19"/>
        <v>42.06905675353883</v>
      </c>
      <c r="P162" s="1689">
        <v>3000</v>
      </c>
      <c r="Q162" s="1690">
        <v>1597</v>
      </c>
      <c r="R162" s="1695">
        <f t="shared" si="16"/>
        <v>53.233333333333334</v>
      </c>
    </row>
    <row r="163" spans="1:18" ht="14.25" customHeight="1">
      <c r="A163" s="1743">
        <v>4410</v>
      </c>
      <c r="B163" s="1751" t="s">
        <v>200</v>
      </c>
      <c r="C163" s="1689">
        <v>14915</v>
      </c>
      <c r="D163" s="893">
        <f t="shared" si="18"/>
        <v>14915</v>
      </c>
      <c r="E163" s="1690">
        <f t="shared" si="17"/>
        <v>9083</v>
      </c>
      <c r="F163" s="1666">
        <f t="shared" si="15"/>
        <v>60.898424404961446</v>
      </c>
      <c r="G163" s="1689"/>
      <c r="H163" s="1690"/>
      <c r="I163" s="1746"/>
      <c r="J163" s="1745"/>
      <c r="K163" s="1690"/>
      <c r="L163" s="1746"/>
      <c r="M163" s="1745">
        <v>11000</v>
      </c>
      <c r="N163" s="1745">
        <v>5168</v>
      </c>
      <c r="O163" s="1695">
        <f t="shared" si="19"/>
        <v>46.98181818181818</v>
      </c>
      <c r="P163" s="1689">
        <v>3915</v>
      </c>
      <c r="Q163" s="1690">
        <v>3915</v>
      </c>
      <c r="R163" s="1695">
        <f t="shared" si="16"/>
        <v>100</v>
      </c>
    </row>
    <row r="164" spans="1:18" ht="36" hidden="1">
      <c r="A164" s="1743">
        <v>6060</v>
      </c>
      <c r="B164" s="1751" t="s">
        <v>179</v>
      </c>
      <c r="C164" s="1689"/>
      <c r="D164" s="893">
        <f t="shared" si="18"/>
        <v>0</v>
      </c>
      <c r="E164" s="1690">
        <f t="shared" si="17"/>
        <v>0</v>
      </c>
      <c r="F164" s="1666"/>
      <c r="G164" s="1689"/>
      <c r="H164" s="1690"/>
      <c r="I164" s="1746"/>
      <c r="J164" s="1745"/>
      <c r="K164" s="1690"/>
      <c r="L164" s="1746"/>
      <c r="M164" s="1745"/>
      <c r="N164" s="1745"/>
      <c r="O164" s="1695"/>
      <c r="P164" s="1689"/>
      <c r="Q164" s="1690"/>
      <c r="R164" s="1695" t="e">
        <f t="shared" si="16"/>
        <v>#DIV/0!</v>
      </c>
    </row>
    <row r="165" spans="1:18" ht="11.25" customHeight="1">
      <c r="A165" s="1798">
        <v>4440</v>
      </c>
      <c r="B165" s="1799" t="s">
        <v>126</v>
      </c>
      <c r="C165" s="1800">
        <v>4390</v>
      </c>
      <c r="D165" s="925">
        <f t="shared" si="18"/>
        <v>4390</v>
      </c>
      <c r="E165" s="1791">
        <f t="shared" si="17"/>
        <v>4390</v>
      </c>
      <c r="F165" s="1719">
        <f t="shared" si="15"/>
        <v>100</v>
      </c>
      <c r="G165" s="1800"/>
      <c r="H165" s="1791"/>
      <c r="I165" s="1857"/>
      <c r="J165" s="1801"/>
      <c r="K165" s="1791"/>
      <c r="L165" s="1857"/>
      <c r="M165" s="1801">
        <v>1800</v>
      </c>
      <c r="N165" s="1801">
        <v>1800</v>
      </c>
      <c r="O165" s="1669">
        <f t="shared" si="19"/>
        <v>100</v>
      </c>
      <c r="P165" s="1800">
        <v>2590</v>
      </c>
      <c r="Q165" s="1791">
        <v>2590</v>
      </c>
      <c r="R165" s="1720">
        <f t="shared" si="16"/>
        <v>100</v>
      </c>
    </row>
    <row r="166" spans="1:18" s="1771" customFormat="1" ht="13.5" customHeight="1">
      <c r="A166" s="1783">
        <v>71035</v>
      </c>
      <c r="B166" s="1882" t="s">
        <v>201</v>
      </c>
      <c r="C166" s="886">
        <f>SUM(C167:C169)</f>
        <v>826600</v>
      </c>
      <c r="D166" s="908">
        <f t="shared" si="18"/>
        <v>826600</v>
      </c>
      <c r="E166" s="908">
        <f t="shared" si="17"/>
        <v>240295</v>
      </c>
      <c r="F166" s="1698">
        <f t="shared" si="15"/>
        <v>29.07028792644568</v>
      </c>
      <c r="G166" s="886">
        <f>SUM(G167:G169)</f>
        <v>826600</v>
      </c>
      <c r="H166" s="908">
        <f>SUM(H167:H169)</f>
        <v>240295</v>
      </c>
      <c r="I166" s="1700">
        <f aca="true" t="shared" si="20" ref="I166:I177">H166/G166*100</f>
        <v>29.07028792644568</v>
      </c>
      <c r="J166" s="1816"/>
      <c r="K166" s="908"/>
      <c r="L166" s="1741"/>
      <c r="M166" s="1816"/>
      <c r="N166" s="1816"/>
      <c r="O166" s="1817"/>
      <c r="P166" s="886"/>
      <c r="Q166" s="908"/>
      <c r="R166" s="1787"/>
    </row>
    <row r="167" spans="1:18" s="1586" customFormat="1" ht="16.5" customHeight="1" hidden="1">
      <c r="A167" s="1818">
        <v>4270</v>
      </c>
      <c r="B167" s="1880" t="s">
        <v>120</v>
      </c>
      <c r="C167" s="895"/>
      <c r="D167" s="893">
        <f t="shared" si="18"/>
        <v>0</v>
      </c>
      <c r="E167" s="893">
        <f t="shared" si="18"/>
        <v>0</v>
      </c>
      <c r="F167" s="1666"/>
      <c r="G167" s="895"/>
      <c r="H167" s="893"/>
      <c r="I167" s="1669"/>
      <c r="J167" s="1820"/>
      <c r="K167" s="893"/>
      <c r="L167" s="1746"/>
      <c r="M167" s="1820"/>
      <c r="N167" s="1820"/>
      <c r="O167" s="1821"/>
      <c r="P167" s="895"/>
      <c r="Q167" s="893"/>
      <c r="R167" s="1879"/>
    </row>
    <row r="168" spans="1:18" ht="24.75" customHeight="1">
      <c r="A168" s="1743">
        <v>4300</v>
      </c>
      <c r="B168" s="1751" t="s">
        <v>202</v>
      </c>
      <c r="C168" s="1689">
        <v>16600</v>
      </c>
      <c r="D168" s="893">
        <f t="shared" si="18"/>
        <v>16600</v>
      </c>
      <c r="E168" s="893">
        <f t="shared" si="18"/>
        <v>2886</v>
      </c>
      <c r="F168" s="1666">
        <f t="shared" si="15"/>
        <v>17.385542168674696</v>
      </c>
      <c r="G168" s="1689">
        <v>16600</v>
      </c>
      <c r="H168" s="1690">
        <v>2886</v>
      </c>
      <c r="I168" s="1669">
        <f t="shared" si="20"/>
        <v>17.385542168674696</v>
      </c>
      <c r="J168" s="1745"/>
      <c r="K168" s="1690"/>
      <c r="L168" s="1746"/>
      <c r="M168" s="1745"/>
      <c r="N168" s="1745"/>
      <c r="O168" s="1747"/>
      <c r="P168" s="1689"/>
      <c r="Q168" s="1690"/>
      <c r="R168" s="1695"/>
    </row>
    <row r="169" spans="1:18" ht="29.25" customHeight="1">
      <c r="A169" s="1743">
        <v>4300</v>
      </c>
      <c r="B169" s="1751" t="s">
        <v>203</v>
      </c>
      <c r="C169" s="1689">
        <v>810000</v>
      </c>
      <c r="D169" s="893">
        <f t="shared" si="18"/>
        <v>810000</v>
      </c>
      <c r="E169" s="893">
        <f t="shared" si="18"/>
        <v>237409</v>
      </c>
      <c r="F169" s="1666">
        <f t="shared" si="15"/>
        <v>29.309753086419754</v>
      </c>
      <c r="G169" s="895">
        <v>810000</v>
      </c>
      <c r="H169" s="893">
        <v>237409</v>
      </c>
      <c r="I169" s="1739">
        <f t="shared" si="20"/>
        <v>29.309753086419754</v>
      </c>
      <c r="J169" s="1745"/>
      <c r="K169" s="1690"/>
      <c r="L169" s="1746"/>
      <c r="M169" s="1745"/>
      <c r="N169" s="1745"/>
      <c r="O169" s="1747"/>
      <c r="P169" s="1689"/>
      <c r="Q169" s="1690"/>
      <c r="R169" s="1695"/>
    </row>
    <row r="170" spans="1:18" ht="15.75" customHeight="1">
      <c r="A170" s="1783">
        <v>71095</v>
      </c>
      <c r="B170" s="1882" t="s">
        <v>829</v>
      </c>
      <c r="C170" s="886"/>
      <c r="D170" s="908">
        <f t="shared" si="18"/>
        <v>36722</v>
      </c>
      <c r="E170" s="908">
        <f t="shared" si="18"/>
        <v>36722</v>
      </c>
      <c r="F170" s="1681">
        <f t="shared" si="15"/>
        <v>100</v>
      </c>
      <c r="G170" s="886">
        <f>G171</f>
        <v>36722</v>
      </c>
      <c r="H170" s="908">
        <f>H171</f>
        <v>36722</v>
      </c>
      <c r="I170" s="1739">
        <f t="shared" si="20"/>
        <v>100</v>
      </c>
      <c r="J170" s="1816"/>
      <c r="K170" s="908"/>
      <c r="L170" s="1741"/>
      <c r="M170" s="1883"/>
      <c r="N170" s="908"/>
      <c r="O170" s="1817"/>
      <c r="P170" s="886"/>
      <c r="Q170" s="908"/>
      <c r="R170" s="1787"/>
    </row>
    <row r="171" spans="1:18" ht="17.25" customHeight="1" thickBot="1">
      <c r="A171" s="1743">
        <v>4300</v>
      </c>
      <c r="B171" s="1751" t="s">
        <v>122</v>
      </c>
      <c r="C171" s="1689"/>
      <c r="D171" s="893">
        <f t="shared" si="18"/>
        <v>36722</v>
      </c>
      <c r="E171" s="893">
        <f t="shared" si="18"/>
        <v>36722</v>
      </c>
      <c r="F171" s="1666">
        <f t="shared" si="15"/>
        <v>100</v>
      </c>
      <c r="G171" s="895">
        <v>36722</v>
      </c>
      <c r="H171" s="893">
        <v>36722</v>
      </c>
      <c r="I171" s="1669">
        <f t="shared" si="20"/>
        <v>100</v>
      </c>
      <c r="J171" s="1745"/>
      <c r="K171" s="1690"/>
      <c r="L171" s="1746"/>
      <c r="M171" s="1884"/>
      <c r="N171" s="1885"/>
      <c r="O171" s="1747"/>
      <c r="P171" s="1689"/>
      <c r="Q171" s="1690"/>
      <c r="R171" s="1695"/>
    </row>
    <row r="172" spans="1:18" s="1735" customFormat="1" ht="29.25" customHeight="1" thickBot="1" thickTop="1">
      <c r="A172" s="1729">
        <v>750</v>
      </c>
      <c r="B172" s="1730" t="s">
        <v>613</v>
      </c>
      <c r="C172" s="1731">
        <f>C173+C181+C192+C206+C275+C285+C252+C263</f>
        <v>23521456</v>
      </c>
      <c r="D172" s="876">
        <f t="shared" si="18"/>
        <v>23835516</v>
      </c>
      <c r="E172" s="1716">
        <f t="shared" si="18"/>
        <v>11246901</v>
      </c>
      <c r="F172" s="1642">
        <f t="shared" si="15"/>
        <v>47.18547314016613</v>
      </c>
      <c r="G172" s="1731">
        <f>G173+G192+G206+G252+G275+G285+G181+G263+G267</f>
        <v>21232156</v>
      </c>
      <c r="H172" s="1716">
        <f>H173+H192+H206+H252+H275+H285+H181+H263+H267</f>
        <v>9990722</v>
      </c>
      <c r="I172" s="1644">
        <f t="shared" si="20"/>
        <v>47.054674993910176</v>
      </c>
      <c r="J172" s="1716">
        <f>J173+J192+J206+J252+J275+J285+J181+J263</f>
        <v>715400</v>
      </c>
      <c r="K172" s="1716">
        <f>K173+K192+K206+K252+K275+K285+K181+K263</f>
        <v>357700</v>
      </c>
      <c r="L172" s="1758">
        <f aca="true" t="shared" si="21" ref="L172:L177">K172/J172*100</f>
        <v>50</v>
      </c>
      <c r="M172" s="1886">
        <f>M173+M192+M206+M252+M275+M285+M181</f>
        <v>1622960</v>
      </c>
      <c r="N172" s="1716">
        <f>N173+N192+N206+N252+N275+N285+N181</f>
        <v>752415</v>
      </c>
      <c r="O172" s="1649">
        <f>N172/M172*100</f>
        <v>46.360662000295754</v>
      </c>
      <c r="P172" s="1731">
        <f>P173+P192+P206+P252+P275+P285+P181</f>
        <v>265000</v>
      </c>
      <c r="Q172" s="1716">
        <f>Q173+Q192+Q206+Q252+Q275+Q285+Q181</f>
        <v>146064</v>
      </c>
      <c r="R172" s="1649">
        <f aca="true" t="shared" si="22" ref="R172:R177">Q172/P172*100</f>
        <v>55.118490566037735</v>
      </c>
    </row>
    <row r="173" spans="1:18" ht="15" customHeight="1" thickTop="1">
      <c r="A173" s="1736">
        <v>75011</v>
      </c>
      <c r="B173" s="1835" t="s">
        <v>204</v>
      </c>
      <c r="C173" s="1738">
        <f>SUM(C174:C180)</f>
        <v>1460900</v>
      </c>
      <c r="D173" s="884">
        <f t="shared" si="18"/>
        <v>1460900</v>
      </c>
      <c r="E173" s="1842">
        <f t="shared" si="18"/>
        <v>714056</v>
      </c>
      <c r="F173" s="1719">
        <f t="shared" si="15"/>
        <v>48.87781504551988</v>
      </c>
      <c r="G173" s="1738">
        <f>SUM(G174:G180)</f>
        <v>516500</v>
      </c>
      <c r="H173" s="1680">
        <f>SUM(H174:H180)</f>
        <v>241858</v>
      </c>
      <c r="I173" s="1739">
        <f t="shared" si="20"/>
        <v>46.82633107454017</v>
      </c>
      <c r="J173" s="1740">
        <f>SUM(J174:J180)</f>
        <v>715400</v>
      </c>
      <c r="K173" s="1680">
        <f>SUM(K174:K180)</f>
        <v>357700</v>
      </c>
      <c r="L173" s="1887">
        <f t="shared" si="21"/>
        <v>50</v>
      </c>
      <c r="M173" s="1680"/>
      <c r="N173" s="1680"/>
      <c r="O173" s="1742"/>
      <c r="P173" s="1738">
        <f>SUM(P174:P180)</f>
        <v>229000</v>
      </c>
      <c r="Q173" s="1680">
        <f>SUM(Q174:Q180)</f>
        <v>114498</v>
      </c>
      <c r="R173" s="1720">
        <f t="shared" si="22"/>
        <v>49.99912663755459</v>
      </c>
    </row>
    <row r="174" spans="1:18" ht="24" customHeight="1">
      <c r="A174" s="1722">
        <v>4010</v>
      </c>
      <c r="B174" s="1853" t="s">
        <v>104</v>
      </c>
      <c r="C174" s="1693">
        <v>879300</v>
      </c>
      <c r="D174" s="932">
        <f t="shared" si="18"/>
        <v>879300</v>
      </c>
      <c r="E174" s="1707">
        <f aca="true" t="shared" si="23" ref="E174:E180">SUM(H174+K174+N174+Q174)</f>
        <v>414866</v>
      </c>
      <c r="F174" s="1691">
        <f t="shared" si="15"/>
        <v>47.181394290913225</v>
      </c>
      <c r="G174" s="1693">
        <v>150000</v>
      </c>
      <c r="H174" s="1707">
        <v>75000</v>
      </c>
      <c r="I174" s="1669">
        <f t="shared" si="20"/>
        <v>50</v>
      </c>
      <c r="J174" s="1854">
        <v>553000</v>
      </c>
      <c r="K174" s="1707">
        <v>257940</v>
      </c>
      <c r="L174" s="1710">
        <f t="shared" si="21"/>
        <v>46.64376130198915</v>
      </c>
      <c r="M174" s="1707"/>
      <c r="N174" s="1707"/>
      <c r="O174" s="1855"/>
      <c r="P174" s="1693">
        <v>176300</v>
      </c>
      <c r="Q174" s="1707">
        <v>81926</v>
      </c>
      <c r="R174" s="1674">
        <f t="shared" si="22"/>
        <v>46.46965399886557</v>
      </c>
    </row>
    <row r="175" spans="1:18" ht="24">
      <c r="A175" s="1743">
        <v>4040</v>
      </c>
      <c r="B175" s="1751" t="s">
        <v>165</v>
      </c>
      <c r="C175" s="1689">
        <v>60100</v>
      </c>
      <c r="D175" s="893">
        <f aca="true" t="shared" si="24" ref="D175:E203">G175+J175+P175+M175</f>
        <v>60100</v>
      </c>
      <c r="E175" s="1690">
        <f t="shared" si="23"/>
        <v>60100</v>
      </c>
      <c r="F175" s="1666">
        <f t="shared" si="15"/>
        <v>100</v>
      </c>
      <c r="G175" s="1689"/>
      <c r="H175" s="1690"/>
      <c r="I175" s="1669"/>
      <c r="J175" s="1745">
        <v>45000</v>
      </c>
      <c r="K175" s="1690">
        <v>45000</v>
      </c>
      <c r="L175" s="1669">
        <f t="shared" si="21"/>
        <v>100</v>
      </c>
      <c r="M175" s="1690"/>
      <c r="N175" s="1690"/>
      <c r="O175" s="1747"/>
      <c r="P175" s="1689">
        <v>15100</v>
      </c>
      <c r="Q175" s="1690">
        <v>15100</v>
      </c>
      <c r="R175" s="1888">
        <f t="shared" si="22"/>
        <v>100</v>
      </c>
    </row>
    <row r="176" spans="1:18" ht="24.75" customHeight="1">
      <c r="A176" s="1743">
        <v>4110</v>
      </c>
      <c r="B176" s="1877" t="s">
        <v>110</v>
      </c>
      <c r="C176" s="1689">
        <v>161000</v>
      </c>
      <c r="D176" s="893">
        <f t="shared" si="24"/>
        <v>161000</v>
      </c>
      <c r="E176" s="1690">
        <f t="shared" si="23"/>
        <v>75875</v>
      </c>
      <c r="F176" s="1666">
        <f t="shared" si="15"/>
        <v>47.12732919254658</v>
      </c>
      <c r="G176" s="1689">
        <v>25000</v>
      </c>
      <c r="H176" s="1690">
        <v>12500</v>
      </c>
      <c r="I176" s="1669">
        <f t="shared" si="20"/>
        <v>50</v>
      </c>
      <c r="J176" s="1745">
        <v>103000</v>
      </c>
      <c r="K176" s="1690">
        <v>48040</v>
      </c>
      <c r="L176" s="1669">
        <f t="shared" si="21"/>
        <v>46.640776699029125</v>
      </c>
      <c r="M176" s="1690"/>
      <c r="N176" s="1690"/>
      <c r="O176" s="1747"/>
      <c r="P176" s="1689">
        <v>33000</v>
      </c>
      <c r="Q176" s="1690">
        <v>15335</v>
      </c>
      <c r="R176" s="1695">
        <f t="shared" si="22"/>
        <v>46.46969696969697</v>
      </c>
    </row>
    <row r="177" spans="1:18" ht="11.25" customHeight="1">
      <c r="A177" s="1743">
        <v>4120</v>
      </c>
      <c r="B177" s="1751" t="s">
        <v>198</v>
      </c>
      <c r="C177" s="1689">
        <v>23000</v>
      </c>
      <c r="D177" s="893">
        <f t="shared" si="24"/>
        <v>23000</v>
      </c>
      <c r="E177" s="1690">
        <f t="shared" si="23"/>
        <v>10857</v>
      </c>
      <c r="F177" s="1666">
        <f t="shared" si="15"/>
        <v>47.20434782608696</v>
      </c>
      <c r="G177" s="1689">
        <v>4000</v>
      </c>
      <c r="H177" s="1690">
        <v>2000</v>
      </c>
      <c r="I177" s="1669">
        <f t="shared" si="20"/>
        <v>50</v>
      </c>
      <c r="J177" s="1745">
        <v>14400</v>
      </c>
      <c r="K177" s="1690">
        <v>6720</v>
      </c>
      <c r="L177" s="1669">
        <f t="shared" si="21"/>
        <v>46.666666666666664</v>
      </c>
      <c r="M177" s="1690"/>
      <c r="N177" s="1690"/>
      <c r="O177" s="1747"/>
      <c r="P177" s="1689">
        <v>4600</v>
      </c>
      <c r="Q177" s="1690">
        <v>2137</v>
      </c>
      <c r="R177" s="1695">
        <f t="shared" si="22"/>
        <v>46.45652173913044</v>
      </c>
    </row>
    <row r="178" spans="1:18" ht="24">
      <c r="A178" s="1743">
        <v>4210</v>
      </c>
      <c r="B178" s="1751" t="s">
        <v>114</v>
      </c>
      <c r="C178" s="1689">
        <v>175000</v>
      </c>
      <c r="D178" s="893">
        <f t="shared" si="24"/>
        <v>175000</v>
      </c>
      <c r="E178" s="1690">
        <f t="shared" si="23"/>
        <v>86275</v>
      </c>
      <c r="F178" s="1666">
        <f t="shared" si="15"/>
        <v>49.3</v>
      </c>
      <c r="G178" s="1689">
        <v>175000</v>
      </c>
      <c r="H178" s="1690">
        <v>86275</v>
      </c>
      <c r="I178" s="1669">
        <f>H178/G178*100</f>
        <v>49.3</v>
      </c>
      <c r="J178" s="1745"/>
      <c r="K178" s="1690"/>
      <c r="L178" s="1746"/>
      <c r="M178" s="1690"/>
      <c r="N178" s="1690"/>
      <c r="O178" s="1747"/>
      <c r="P178" s="1689"/>
      <c r="Q178" s="1690"/>
      <c r="R178" s="1695"/>
    </row>
    <row r="179" spans="1:18" ht="12.75">
      <c r="A179" s="1743">
        <v>4260</v>
      </c>
      <c r="B179" s="1751" t="s">
        <v>118</v>
      </c>
      <c r="C179" s="1689">
        <v>14000</v>
      </c>
      <c r="D179" s="893">
        <f t="shared" si="24"/>
        <v>14000</v>
      </c>
      <c r="E179" s="1690">
        <f t="shared" si="23"/>
        <v>7268</v>
      </c>
      <c r="F179" s="1666">
        <f t="shared" si="15"/>
        <v>51.91428571428571</v>
      </c>
      <c r="G179" s="1689">
        <v>14000</v>
      </c>
      <c r="H179" s="1690">
        <v>7268</v>
      </c>
      <c r="I179" s="1669">
        <f>H179/G179*100</f>
        <v>51.91428571428571</v>
      </c>
      <c r="J179" s="1745"/>
      <c r="K179" s="1690"/>
      <c r="L179" s="1746"/>
      <c r="M179" s="1690"/>
      <c r="N179" s="1690"/>
      <c r="O179" s="1747"/>
      <c r="P179" s="1689"/>
      <c r="Q179" s="1690"/>
      <c r="R179" s="1889"/>
    </row>
    <row r="180" spans="1:18" ht="12.75">
      <c r="A180" s="1743">
        <v>4300</v>
      </c>
      <c r="B180" s="1751" t="s">
        <v>122</v>
      </c>
      <c r="C180" s="1689">
        <v>148500</v>
      </c>
      <c r="D180" s="893">
        <f t="shared" si="24"/>
        <v>148500</v>
      </c>
      <c r="E180" s="1690">
        <f t="shared" si="23"/>
        <v>58815</v>
      </c>
      <c r="F180" s="1666">
        <f t="shared" si="15"/>
        <v>39.60606060606061</v>
      </c>
      <c r="G180" s="1689">
        <v>148500</v>
      </c>
      <c r="H180" s="1690">
        <v>58815</v>
      </c>
      <c r="I180" s="1669">
        <f>H180/G180*100</f>
        <v>39.60606060606061</v>
      </c>
      <c r="J180" s="1745"/>
      <c r="K180" s="1690"/>
      <c r="L180" s="1669" t="s">
        <v>205</v>
      </c>
      <c r="M180" s="1690"/>
      <c r="N180" s="1690"/>
      <c r="O180" s="1747"/>
      <c r="P180" s="1689"/>
      <c r="Q180" s="1690"/>
      <c r="R180" s="1754"/>
    </row>
    <row r="181" spans="1:18" ht="12.75" customHeight="1">
      <c r="A181" s="1736">
        <v>75020</v>
      </c>
      <c r="B181" s="1835" t="s">
        <v>827</v>
      </c>
      <c r="C181" s="1738">
        <f>SUM(C182:C191)</f>
        <v>1601400</v>
      </c>
      <c r="D181" s="908">
        <f t="shared" si="24"/>
        <v>1614360</v>
      </c>
      <c r="E181" s="1680">
        <f>H181+K181+Q181+N181</f>
        <v>743829</v>
      </c>
      <c r="F181" s="1681">
        <f t="shared" si="15"/>
        <v>46.07578235337843</v>
      </c>
      <c r="G181" s="1774"/>
      <c r="H181" s="1781"/>
      <c r="I181" s="1881"/>
      <c r="J181" s="1777"/>
      <c r="K181" s="1781"/>
      <c r="L181" s="1881"/>
      <c r="M181" s="1680">
        <f>SUM(M182:M191)</f>
        <v>1614360</v>
      </c>
      <c r="N181" s="1680">
        <f>SUM(N182:N191)</f>
        <v>743829</v>
      </c>
      <c r="O181" s="1688">
        <f aca="true" t="shared" si="25" ref="O181:O191">N181/M181*100</f>
        <v>46.07578235337843</v>
      </c>
      <c r="P181" s="1738"/>
      <c r="Q181" s="1680"/>
      <c r="R181" s="1782"/>
    </row>
    <row r="182" spans="1:18" s="1586" customFormat="1" ht="60">
      <c r="A182" s="1818">
        <v>2320</v>
      </c>
      <c r="B182" s="1880" t="s">
        <v>206</v>
      </c>
      <c r="C182" s="895">
        <v>15000</v>
      </c>
      <c r="D182" s="893">
        <f t="shared" si="24"/>
        <v>15000</v>
      </c>
      <c r="E182" s="1690">
        <f aca="true" t="shared" si="26" ref="E182:E191">SUM(H182+K182+N182+Q182)</f>
        <v>7500</v>
      </c>
      <c r="F182" s="1666">
        <f t="shared" si="15"/>
        <v>50</v>
      </c>
      <c r="G182" s="895"/>
      <c r="H182" s="893"/>
      <c r="I182" s="1746"/>
      <c r="J182" s="1820"/>
      <c r="K182" s="893"/>
      <c r="L182" s="1746"/>
      <c r="M182" s="1890">
        <v>15000</v>
      </c>
      <c r="N182" s="932">
        <v>7500</v>
      </c>
      <c r="O182" s="1695">
        <f t="shared" si="25"/>
        <v>50</v>
      </c>
      <c r="P182" s="895"/>
      <c r="Q182" s="893"/>
      <c r="R182" s="897"/>
    </row>
    <row r="183" spans="1:18" ht="12.75">
      <c r="A183" s="1743">
        <v>4010</v>
      </c>
      <c r="B183" s="1751" t="s">
        <v>207</v>
      </c>
      <c r="C183" s="1689">
        <v>857000</v>
      </c>
      <c r="D183" s="893">
        <f t="shared" si="24"/>
        <v>857000</v>
      </c>
      <c r="E183" s="1690">
        <f t="shared" si="26"/>
        <v>428502</v>
      </c>
      <c r="F183" s="1666">
        <f t="shared" si="15"/>
        <v>50.000233372228706</v>
      </c>
      <c r="G183" s="1689"/>
      <c r="H183" s="1690"/>
      <c r="I183" s="1746"/>
      <c r="J183" s="1745"/>
      <c r="K183" s="1690"/>
      <c r="L183" s="1746"/>
      <c r="M183" s="1790">
        <v>857000</v>
      </c>
      <c r="N183" s="1690">
        <v>428502</v>
      </c>
      <c r="O183" s="1695">
        <f t="shared" si="25"/>
        <v>50.000233372228706</v>
      </c>
      <c r="P183" s="1689"/>
      <c r="Q183" s="1690"/>
      <c r="R183" s="1754"/>
    </row>
    <row r="184" spans="1:18" ht="24">
      <c r="A184" s="1743">
        <v>4040</v>
      </c>
      <c r="B184" s="1751" t="s">
        <v>165</v>
      </c>
      <c r="C184" s="1689">
        <v>72800</v>
      </c>
      <c r="D184" s="893">
        <f t="shared" si="24"/>
        <v>72800</v>
      </c>
      <c r="E184" s="1690">
        <f t="shared" si="26"/>
        <v>72800</v>
      </c>
      <c r="F184" s="1666">
        <f t="shared" si="15"/>
        <v>100</v>
      </c>
      <c r="G184" s="1689"/>
      <c r="H184" s="1690"/>
      <c r="I184" s="1746"/>
      <c r="J184" s="1745"/>
      <c r="K184" s="1690"/>
      <c r="L184" s="1746"/>
      <c r="M184" s="1790">
        <v>72800</v>
      </c>
      <c r="N184" s="1690">
        <v>72800</v>
      </c>
      <c r="O184" s="1891">
        <f t="shared" si="25"/>
        <v>100</v>
      </c>
      <c r="P184" s="1689"/>
      <c r="Q184" s="1690"/>
      <c r="R184" s="1754"/>
    </row>
    <row r="185" spans="1:18" ht="24">
      <c r="A185" s="1743">
        <v>4110</v>
      </c>
      <c r="B185" s="1751" t="s">
        <v>110</v>
      </c>
      <c r="C185" s="1689">
        <v>163800</v>
      </c>
      <c r="D185" s="893">
        <f t="shared" si="24"/>
        <v>165200</v>
      </c>
      <c r="E185" s="1690">
        <f t="shared" si="26"/>
        <v>86674</v>
      </c>
      <c r="F185" s="1666">
        <f t="shared" si="15"/>
        <v>52.46610169491526</v>
      </c>
      <c r="G185" s="1689"/>
      <c r="H185" s="1690"/>
      <c r="I185" s="1746"/>
      <c r="J185" s="1745"/>
      <c r="K185" s="1690"/>
      <c r="L185" s="1746"/>
      <c r="M185" s="1790">
        <f>163800+1400</f>
        <v>165200</v>
      </c>
      <c r="N185" s="1690">
        <v>86674</v>
      </c>
      <c r="O185" s="1695">
        <f t="shared" si="25"/>
        <v>52.46610169491526</v>
      </c>
      <c r="P185" s="1689"/>
      <c r="Q185" s="1690"/>
      <c r="R185" s="1754"/>
    </row>
    <row r="186" spans="1:18" ht="16.5" customHeight="1">
      <c r="A186" s="1743">
        <v>4120</v>
      </c>
      <c r="B186" s="1751" t="s">
        <v>208</v>
      </c>
      <c r="C186" s="1689">
        <v>22800</v>
      </c>
      <c r="D186" s="893">
        <f t="shared" si="24"/>
        <v>23000</v>
      </c>
      <c r="E186" s="1690">
        <f t="shared" si="26"/>
        <v>12285</v>
      </c>
      <c r="F186" s="1666">
        <f t="shared" si="15"/>
        <v>53.41304347826087</v>
      </c>
      <c r="G186" s="1689"/>
      <c r="H186" s="1690"/>
      <c r="I186" s="1746"/>
      <c r="J186" s="1745"/>
      <c r="K186" s="1690"/>
      <c r="L186" s="1746"/>
      <c r="M186" s="1790">
        <f>22800+200</f>
        <v>23000</v>
      </c>
      <c r="N186" s="1690">
        <v>12285</v>
      </c>
      <c r="O186" s="1695">
        <f t="shared" si="25"/>
        <v>53.41304347826087</v>
      </c>
      <c r="P186" s="1689"/>
      <c r="Q186" s="1690"/>
      <c r="R186" s="1754"/>
    </row>
    <row r="187" spans="1:18" ht="24">
      <c r="A187" s="1743">
        <v>4170</v>
      </c>
      <c r="B187" s="1751" t="s">
        <v>169</v>
      </c>
      <c r="C187" s="1689"/>
      <c r="D187" s="893">
        <f t="shared" si="24"/>
        <v>11360</v>
      </c>
      <c r="E187" s="1690">
        <f t="shared" si="26"/>
        <v>0</v>
      </c>
      <c r="F187" s="1666">
        <f t="shared" si="15"/>
        <v>0</v>
      </c>
      <c r="G187" s="1689"/>
      <c r="H187" s="1690"/>
      <c r="I187" s="1746"/>
      <c r="J187" s="1745"/>
      <c r="K187" s="1690"/>
      <c r="L187" s="1746"/>
      <c r="M187" s="1790">
        <f>12760-1400</f>
        <v>11360</v>
      </c>
      <c r="N187" s="1690"/>
      <c r="O187" s="1695">
        <f t="shared" si="25"/>
        <v>0</v>
      </c>
      <c r="P187" s="1689"/>
      <c r="Q187" s="1690"/>
      <c r="R187" s="1754"/>
    </row>
    <row r="188" spans="1:18" ht="24" customHeight="1">
      <c r="A188" s="1743">
        <v>4210</v>
      </c>
      <c r="B188" s="1751" t="s">
        <v>114</v>
      </c>
      <c r="C188" s="1689">
        <v>114000</v>
      </c>
      <c r="D188" s="893">
        <f t="shared" si="24"/>
        <v>114000</v>
      </c>
      <c r="E188" s="1690">
        <f t="shared" si="26"/>
        <v>46465</v>
      </c>
      <c r="F188" s="1666">
        <f t="shared" si="15"/>
        <v>40.75877192982456</v>
      </c>
      <c r="G188" s="1689"/>
      <c r="H188" s="1690"/>
      <c r="I188" s="1746"/>
      <c r="J188" s="1745"/>
      <c r="K188" s="1690"/>
      <c r="L188" s="1746"/>
      <c r="M188" s="1790">
        <v>114000</v>
      </c>
      <c r="N188" s="1690">
        <v>46465</v>
      </c>
      <c r="O188" s="1695">
        <f t="shared" si="25"/>
        <v>40.75877192982456</v>
      </c>
      <c r="P188" s="1689"/>
      <c r="Q188" s="1690"/>
      <c r="R188" s="1754"/>
    </row>
    <row r="189" spans="1:18" ht="12.75">
      <c r="A189" s="1743">
        <v>4260</v>
      </c>
      <c r="B189" s="1751" t="s">
        <v>118</v>
      </c>
      <c r="C189" s="1689">
        <v>11000</v>
      </c>
      <c r="D189" s="893">
        <f t="shared" si="24"/>
        <v>11000</v>
      </c>
      <c r="E189" s="1690">
        <f t="shared" si="26"/>
        <v>6242</v>
      </c>
      <c r="F189" s="1666">
        <f t="shared" si="15"/>
        <v>56.74545454545454</v>
      </c>
      <c r="G189" s="1689"/>
      <c r="H189" s="1690"/>
      <c r="I189" s="1746"/>
      <c r="J189" s="1745"/>
      <c r="K189" s="1690"/>
      <c r="L189" s="1746"/>
      <c r="M189" s="1790">
        <v>11000</v>
      </c>
      <c r="N189" s="1690">
        <v>6242</v>
      </c>
      <c r="O189" s="1695">
        <f t="shared" si="25"/>
        <v>56.74545454545454</v>
      </c>
      <c r="P189" s="1689"/>
      <c r="Q189" s="1690"/>
      <c r="R189" s="1754"/>
    </row>
    <row r="190" spans="1:18" ht="11.25" customHeight="1">
      <c r="A190" s="1743">
        <v>4300</v>
      </c>
      <c r="B190" s="1751" t="s">
        <v>122</v>
      </c>
      <c r="C190" s="1689">
        <v>345000</v>
      </c>
      <c r="D190" s="893">
        <f t="shared" si="24"/>
        <v>345000</v>
      </c>
      <c r="E190" s="1690">
        <f t="shared" si="26"/>
        <v>83361</v>
      </c>
      <c r="F190" s="1666">
        <f t="shared" si="15"/>
        <v>24.162608695652175</v>
      </c>
      <c r="G190" s="1689"/>
      <c r="H190" s="1690"/>
      <c r="I190" s="1746"/>
      <c r="J190" s="1745"/>
      <c r="K190" s="1690"/>
      <c r="L190" s="1746"/>
      <c r="M190" s="1790">
        <v>345000</v>
      </c>
      <c r="N190" s="1690">
        <v>83361</v>
      </c>
      <c r="O190" s="1695">
        <f t="shared" si="25"/>
        <v>24.162608695652175</v>
      </c>
      <c r="P190" s="1689"/>
      <c r="Q190" s="1690"/>
      <c r="R190" s="1754"/>
    </row>
    <row r="191" spans="1:18" ht="9" customHeight="1" hidden="1">
      <c r="A191" s="1798">
        <v>4440</v>
      </c>
      <c r="B191" s="1799" t="s">
        <v>126</v>
      </c>
      <c r="C191" s="1800">
        <v>0</v>
      </c>
      <c r="D191" s="925">
        <f t="shared" si="24"/>
        <v>0</v>
      </c>
      <c r="E191" s="1791">
        <f t="shared" si="26"/>
        <v>0</v>
      </c>
      <c r="F191" s="1719" t="e">
        <f t="shared" si="15"/>
        <v>#DIV/0!</v>
      </c>
      <c r="G191" s="1800"/>
      <c r="H191" s="1791"/>
      <c r="I191" s="1857"/>
      <c r="J191" s="1801"/>
      <c r="K191" s="1791"/>
      <c r="L191" s="1857"/>
      <c r="M191" s="1791">
        <v>0</v>
      </c>
      <c r="N191" s="1791">
        <v>0</v>
      </c>
      <c r="O191" s="1720" t="e">
        <f t="shared" si="25"/>
        <v>#DIV/0!</v>
      </c>
      <c r="P191" s="1800"/>
      <c r="Q191" s="1791"/>
      <c r="R191" s="1845"/>
    </row>
    <row r="192" spans="1:18" ht="12.75">
      <c r="A192" s="1736">
        <v>75022</v>
      </c>
      <c r="B192" s="1835" t="s">
        <v>209</v>
      </c>
      <c r="C192" s="1738">
        <f>SUM(C194:C200)</f>
        <v>436200</v>
      </c>
      <c r="D192" s="908">
        <f t="shared" si="24"/>
        <v>436200</v>
      </c>
      <c r="E192" s="1680">
        <f>H192+K192+Q192+N192</f>
        <v>213396</v>
      </c>
      <c r="F192" s="1681">
        <f t="shared" si="15"/>
        <v>48.921595598349384</v>
      </c>
      <c r="G192" s="1738">
        <f>SUM(G194:G200)</f>
        <v>436200</v>
      </c>
      <c r="H192" s="1680">
        <f>SUM(H194:H200)</f>
        <v>213396</v>
      </c>
      <c r="I192" s="1776">
        <f>H192/G192*100</f>
        <v>48.921595598349384</v>
      </c>
      <c r="J192" s="1740"/>
      <c r="K192" s="1680"/>
      <c r="L192" s="1741"/>
      <c r="M192" s="1680"/>
      <c r="N192" s="1680"/>
      <c r="O192" s="1688"/>
      <c r="P192" s="1738"/>
      <c r="Q192" s="1680"/>
      <c r="R192" s="1782"/>
    </row>
    <row r="193" spans="1:18" s="1585" customFormat="1" ht="10.5" customHeight="1">
      <c r="A193" s="1892"/>
      <c r="B193" s="1893" t="s">
        <v>210</v>
      </c>
      <c r="C193" s="1894">
        <f>SUM(C194:C199)</f>
        <v>418000</v>
      </c>
      <c r="D193" s="1895">
        <f t="shared" si="24"/>
        <v>418000</v>
      </c>
      <c r="E193" s="1895">
        <f>H193+K193+Q193+N193</f>
        <v>208557</v>
      </c>
      <c r="F193" s="1691">
        <f t="shared" si="15"/>
        <v>49.89401913875598</v>
      </c>
      <c r="G193" s="1894">
        <f>SUM(G194:G199)</f>
        <v>418000</v>
      </c>
      <c r="H193" s="1895">
        <f>SUM(H194:H199)</f>
        <v>208557</v>
      </c>
      <c r="I193" s="1710">
        <f>H193/G193*100</f>
        <v>49.89401913875598</v>
      </c>
      <c r="J193" s="1896"/>
      <c r="K193" s="1895"/>
      <c r="L193" s="1897"/>
      <c r="M193" s="1895"/>
      <c r="N193" s="1895"/>
      <c r="O193" s="1812"/>
      <c r="P193" s="1894"/>
      <c r="Q193" s="1895"/>
      <c r="R193" s="1813"/>
    </row>
    <row r="194" spans="1:18" ht="21.75" customHeight="1">
      <c r="A194" s="1743">
        <v>3030</v>
      </c>
      <c r="B194" s="1751" t="s">
        <v>102</v>
      </c>
      <c r="C194" s="1689">
        <v>386000</v>
      </c>
      <c r="D194" s="893">
        <f t="shared" si="24"/>
        <v>386000</v>
      </c>
      <c r="E194" s="1690">
        <f aca="true" t="shared" si="27" ref="E194:E199">SUM(H194+K194+N194+Q194)</f>
        <v>201351</v>
      </c>
      <c r="F194" s="1666">
        <f t="shared" si="15"/>
        <v>52.163471502590674</v>
      </c>
      <c r="G194" s="1689">
        <v>386000</v>
      </c>
      <c r="H194" s="1690">
        <v>201351</v>
      </c>
      <c r="I194" s="1669">
        <f aca="true" t="shared" si="28" ref="I194:I251">H194/G194*100</f>
        <v>52.163471502590674</v>
      </c>
      <c r="J194" s="1745"/>
      <c r="K194" s="1690"/>
      <c r="L194" s="1746"/>
      <c r="M194" s="1690"/>
      <c r="N194" s="1690"/>
      <c r="O194" s="1747"/>
      <c r="P194" s="1689"/>
      <c r="Q194" s="1690"/>
      <c r="R194" s="1754"/>
    </row>
    <row r="195" spans="1:18" ht="36" hidden="1">
      <c r="A195" s="1743">
        <v>3040</v>
      </c>
      <c r="B195" s="1751" t="s">
        <v>211</v>
      </c>
      <c r="C195" s="1689"/>
      <c r="D195" s="893">
        <f t="shared" si="24"/>
        <v>0</v>
      </c>
      <c r="E195" s="1690">
        <f t="shared" si="27"/>
        <v>0</v>
      </c>
      <c r="F195" s="1666" t="e">
        <f t="shared" si="15"/>
        <v>#DIV/0!</v>
      </c>
      <c r="G195" s="1689"/>
      <c r="H195" s="1690"/>
      <c r="I195" s="1669" t="e">
        <f t="shared" si="28"/>
        <v>#DIV/0!</v>
      </c>
      <c r="J195" s="1745"/>
      <c r="K195" s="1690"/>
      <c r="L195" s="1746"/>
      <c r="M195" s="1690"/>
      <c r="N195" s="1690"/>
      <c r="O195" s="1747"/>
      <c r="P195" s="1689"/>
      <c r="Q195" s="1690"/>
      <c r="R195" s="1754"/>
    </row>
    <row r="196" spans="1:18" ht="24.75" customHeight="1">
      <c r="A196" s="1743">
        <v>4210</v>
      </c>
      <c r="B196" s="1751" t="s">
        <v>114</v>
      </c>
      <c r="C196" s="1689">
        <v>11000</v>
      </c>
      <c r="D196" s="893">
        <f t="shared" si="24"/>
        <v>11000</v>
      </c>
      <c r="E196" s="1690">
        <f t="shared" si="27"/>
        <v>3060</v>
      </c>
      <c r="F196" s="1666">
        <f t="shared" si="15"/>
        <v>27.81818181818182</v>
      </c>
      <c r="G196" s="1689">
        <v>11000</v>
      </c>
      <c r="H196" s="1690">
        <v>3060</v>
      </c>
      <c r="I196" s="1669">
        <f t="shared" si="28"/>
        <v>27.81818181818182</v>
      </c>
      <c r="J196" s="1745"/>
      <c r="K196" s="1690"/>
      <c r="L196" s="1746"/>
      <c r="M196" s="1690"/>
      <c r="N196" s="1690"/>
      <c r="O196" s="1747"/>
      <c r="P196" s="1689"/>
      <c r="Q196" s="1690"/>
      <c r="R196" s="1754"/>
    </row>
    <row r="197" spans="1:18" ht="15.75" customHeight="1">
      <c r="A197" s="1743">
        <v>4300</v>
      </c>
      <c r="B197" s="1751" t="s">
        <v>122</v>
      </c>
      <c r="C197" s="1689">
        <v>10000</v>
      </c>
      <c r="D197" s="893">
        <f t="shared" si="24"/>
        <v>10000</v>
      </c>
      <c r="E197" s="1690">
        <f t="shared" si="27"/>
        <v>3206</v>
      </c>
      <c r="F197" s="1666">
        <f t="shared" si="15"/>
        <v>32.06</v>
      </c>
      <c r="G197" s="1689">
        <v>10000</v>
      </c>
      <c r="H197" s="1690">
        <v>3206</v>
      </c>
      <c r="I197" s="1669">
        <f t="shared" si="28"/>
        <v>32.06</v>
      </c>
      <c r="J197" s="1745"/>
      <c r="K197" s="1690"/>
      <c r="L197" s="1746"/>
      <c r="M197" s="1690"/>
      <c r="N197" s="1690"/>
      <c r="O197" s="1747"/>
      <c r="P197" s="1689"/>
      <c r="Q197" s="1690"/>
      <c r="R197" s="1754"/>
    </row>
    <row r="198" spans="1:18" ht="12.75">
      <c r="A198" s="1743">
        <v>4410</v>
      </c>
      <c r="B198" s="1751" t="s">
        <v>96</v>
      </c>
      <c r="C198" s="1689">
        <v>7000</v>
      </c>
      <c r="D198" s="893">
        <f t="shared" si="24"/>
        <v>7000</v>
      </c>
      <c r="E198" s="1690">
        <f t="shared" si="27"/>
        <v>644</v>
      </c>
      <c r="F198" s="1666">
        <f t="shared" si="15"/>
        <v>9.2</v>
      </c>
      <c r="G198" s="1689">
        <v>7000</v>
      </c>
      <c r="H198" s="1690">
        <v>644</v>
      </c>
      <c r="I198" s="1669">
        <f t="shared" si="28"/>
        <v>9.2</v>
      </c>
      <c r="J198" s="1745"/>
      <c r="K198" s="1690"/>
      <c r="L198" s="1746"/>
      <c r="M198" s="1690"/>
      <c r="N198" s="1690"/>
      <c r="O198" s="1747"/>
      <c r="P198" s="1689"/>
      <c r="Q198" s="1690"/>
      <c r="R198" s="1754"/>
    </row>
    <row r="199" spans="1:18" ht="21.75" customHeight="1">
      <c r="A199" s="1743">
        <v>4420</v>
      </c>
      <c r="B199" s="1751" t="s">
        <v>212</v>
      </c>
      <c r="C199" s="1689">
        <v>4000</v>
      </c>
      <c r="D199" s="893">
        <f t="shared" si="24"/>
        <v>4000</v>
      </c>
      <c r="E199" s="1690">
        <f t="shared" si="27"/>
        <v>296</v>
      </c>
      <c r="F199" s="1666">
        <f aca="true" t="shared" si="29" ref="F199:F214">E199/D199*100</f>
        <v>7.3999999999999995</v>
      </c>
      <c r="G199" s="1689">
        <v>4000</v>
      </c>
      <c r="H199" s="1690">
        <v>296</v>
      </c>
      <c r="I199" s="1669">
        <f t="shared" si="28"/>
        <v>7.3999999999999995</v>
      </c>
      <c r="J199" s="1745"/>
      <c r="K199" s="1690"/>
      <c r="L199" s="1746"/>
      <c r="M199" s="1690"/>
      <c r="N199" s="1690"/>
      <c r="O199" s="1747"/>
      <c r="P199" s="1689"/>
      <c r="Q199" s="1690"/>
      <c r="R199" s="1754"/>
    </row>
    <row r="200" spans="1:18" s="1585" customFormat="1" ht="16.5" customHeight="1">
      <c r="A200" s="1892"/>
      <c r="B200" s="1893" t="s">
        <v>213</v>
      </c>
      <c r="C200" s="1894">
        <f>SUM(C202:C205)</f>
        <v>18200</v>
      </c>
      <c r="D200" s="1895">
        <f t="shared" si="24"/>
        <v>18200</v>
      </c>
      <c r="E200" s="1895">
        <f t="shared" si="24"/>
        <v>4839</v>
      </c>
      <c r="F200" s="1666">
        <f t="shared" si="29"/>
        <v>26.587912087912084</v>
      </c>
      <c r="G200" s="1894">
        <f>SUM(G201:G205)</f>
        <v>18200</v>
      </c>
      <c r="H200" s="1895">
        <f>SUM(H201:H205)</f>
        <v>4839</v>
      </c>
      <c r="I200" s="1669">
        <f t="shared" si="28"/>
        <v>26.587912087912084</v>
      </c>
      <c r="J200" s="1896"/>
      <c r="K200" s="1896"/>
      <c r="L200" s="1897"/>
      <c r="M200" s="1895"/>
      <c r="N200" s="1895"/>
      <c r="O200" s="1812"/>
      <c r="P200" s="1894"/>
      <c r="Q200" s="1895"/>
      <c r="R200" s="1813"/>
    </row>
    <row r="201" spans="1:18" s="1586" customFormat="1" ht="36">
      <c r="A201" s="1818">
        <v>3040</v>
      </c>
      <c r="B201" s="1880" t="s">
        <v>211</v>
      </c>
      <c r="C201" s="895"/>
      <c r="D201" s="893">
        <f t="shared" si="24"/>
        <v>1850</v>
      </c>
      <c r="E201" s="1690">
        <f>SUM(H201+K201+N201+Q201)</f>
        <v>1850</v>
      </c>
      <c r="F201" s="1666">
        <f t="shared" si="29"/>
        <v>100</v>
      </c>
      <c r="G201" s="895">
        <f>350+1500</f>
        <v>1850</v>
      </c>
      <c r="H201" s="893">
        <v>1850</v>
      </c>
      <c r="I201" s="1669">
        <f t="shared" si="28"/>
        <v>100</v>
      </c>
      <c r="J201" s="1820"/>
      <c r="K201" s="1820"/>
      <c r="L201" s="1746"/>
      <c r="M201" s="893"/>
      <c r="N201" s="893"/>
      <c r="O201" s="1821"/>
      <c r="P201" s="895"/>
      <c r="Q201" s="893"/>
      <c r="R201" s="897"/>
    </row>
    <row r="202" spans="1:18" ht="23.25" customHeight="1">
      <c r="A202" s="1743">
        <v>4210</v>
      </c>
      <c r="B202" s="1751" t="s">
        <v>114</v>
      </c>
      <c r="C202" s="1689">
        <v>5000</v>
      </c>
      <c r="D202" s="893">
        <f t="shared" si="24"/>
        <v>5000</v>
      </c>
      <c r="E202" s="1690">
        <f>SUM(H202+K202+N202+Q202)</f>
        <v>378</v>
      </c>
      <c r="F202" s="1666">
        <f t="shared" si="29"/>
        <v>7.5600000000000005</v>
      </c>
      <c r="G202" s="1689">
        <v>5000</v>
      </c>
      <c r="H202" s="1690">
        <f>377+1</f>
        <v>378</v>
      </c>
      <c r="I202" s="1669">
        <f t="shared" si="28"/>
        <v>7.5600000000000005</v>
      </c>
      <c r="J202" s="1745"/>
      <c r="K202" s="1690"/>
      <c r="L202" s="1746"/>
      <c r="M202" s="1690"/>
      <c r="N202" s="1690"/>
      <c r="O202" s="1747"/>
      <c r="P202" s="1689"/>
      <c r="Q202" s="1690"/>
      <c r="R202" s="1754"/>
    </row>
    <row r="203" spans="1:18" ht="12.75" customHeight="1">
      <c r="A203" s="1743">
        <v>4300</v>
      </c>
      <c r="B203" s="1751" t="s">
        <v>122</v>
      </c>
      <c r="C203" s="1689">
        <v>12000</v>
      </c>
      <c r="D203" s="893">
        <f t="shared" si="24"/>
        <v>10150</v>
      </c>
      <c r="E203" s="1690">
        <f>SUM(H203+K203+N203+Q203)</f>
        <v>1511</v>
      </c>
      <c r="F203" s="1666">
        <f t="shared" si="29"/>
        <v>14.886699507389162</v>
      </c>
      <c r="G203" s="1689">
        <f>11650-1500</f>
        <v>10150</v>
      </c>
      <c r="H203" s="1690">
        <f>1511</f>
        <v>1511</v>
      </c>
      <c r="I203" s="1669">
        <f t="shared" si="28"/>
        <v>14.886699507389162</v>
      </c>
      <c r="J203" s="1745"/>
      <c r="K203" s="1690"/>
      <c r="L203" s="1746"/>
      <c r="M203" s="1690"/>
      <c r="N203" s="1690"/>
      <c r="O203" s="1747"/>
      <c r="P203" s="1689"/>
      <c r="Q203" s="1690"/>
      <c r="R203" s="1754"/>
    </row>
    <row r="204" spans="1:18" ht="15" customHeight="1" hidden="1">
      <c r="A204" s="1743">
        <v>4410</v>
      </c>
      <c r="B204" s="1751" t="s">
        <v>200</v>
      </c>
      <c r="C204" s="1689"/>
      <c r="D204" s="893">
        <f aca="true" t="shared" si="30" ref="D204:E255">G204+J204+P204+M204</f>
        <v>0</v>
      </c>
      <c r="E204" s="1690">
        <f>SUM(H204+K204+N204+Q204)</f>
        <v>0</v>
      </c>
      <c r="F204" s="1666" t="e">
        <f t="shared" si="29"/>
        <v>#DIV/0!</v>
      </c>
      <c r="G204" s="1689"/>
      <c r="H204" s="1690"/>
      <c r="I204" s="1669" t="e">
        <f t="shared" si="28"/>
        <v>#DIV/0!</v>
      </c>
      <c r="J204" s="1745"/>
      <c r="K204" s="1690"/>
      <c r="L204" s="1746"/>
      <c r="M204" s="1690"/>
      <c r="N204" s="1690"/>
      <c r="O204" s="1747"/>
      <c r="P204" s="1689"/>
      <c r="Q204" s="1690"/>
      <c r="R204" s="1754"/>
    </row>
    <row r="205" spans="1:18" ht="15" customHeight="1">
      <c r="A205" s="1798">
        <v>4430</v>
      </c>
      <c r="B205" s="1799" t="s">
        <v>124</v>
      </c>
      <c r="C205" s="1800">
        <v>1200</v>
      </c>
      <c r="D205" s="925">
        <f t="shared" si="30"/>
        <v>1200</v>
      </c>
      <c r="E205" s="1791">
        <f>SUM(H205+K205+N205+Q205)</f>
        <v>1100</v>
      </c>
      <c r="F205" s="1719">
        <f t="shared" si="29"/>
        <v>91.66666666666666</v>
      </c>
      <c r="G205" s="1800">
        <v>1200</v>
      </c>
      <c r="H205" s="1898">
        <v>1100</v>
      </c>
      <c r="I205" s="1739">
        <f t="shared" si="28"/>
        <v>91.66666666666666</v>
      </c>
      <c r="J205" s="1899"/>
      <c r="K205" s="1791"/>
      <c r="L205" s="1857"/>
      <c r="M205" s="1898"/>
      <c r="N205" s="1898"/>
      <c r="O205" s="1900"/>
      <c r="P205" s="1901"/>
      <c r="Q205" s="1898"/>
      <c r="R205" s="1902"/>
    </row>
    <row r="206" spans="1:18" ht="12.75">
      <c r="A206" s="1736">
        <v>75023</v>
      </c>
      <c r="B206" s="1903" t="s">
        <v>931</v>
      </c>
      <c r="C206" s="1738">
        <f>SUM(C212:C251)-SUM(C233:C239)+C207-SUM(C222:C226)-SUM(C230:C231)</f>
        <v>18653310</v>
      </c>
      <c r="D206" s="908">
        <f t="shared" si="30"/>
        <v>18755273</v>
      </c>
      <c r="E206" s="1680">
        <f>H206+K206+Q206+N206</f>
        <v>8732302</v>
      </c>
      <c r="F206" s="1681">
        <f t="shared" si="29"/>
        <v>46.55918364931292</v>
      </c>
      <c r="G206" s="1738">
        <f>SUM(G212:G251)-SUM(G233:G239)+G207-SUM(G222:G226)-SUM(G230:G231)</f>
        <v>18755273</v>
      </c>
      <c r="H206" s="1680">
        <f>SUM(H212:H251)-SUM(H233:H239)+H207-SUM(H222:H226)-SUM(H230:H231)</f>
        <v>8732302</v>
      </c>
      <c r="I206" s="1776">
        <f t="shared" si="28"/>
        <v>46.55918364931292</v>
      </c>
      <c r="J206" s="1740"/>
      <c r="K206" s="1680"/>
      <c r="L206" s="1741"/>
      <c r="M206" s="1680"/>
      <c r="N206" s="1680"/>
      <c r="O206" s="1742"/>
      <c r="P206" s="1738"/>
      <c r="Q206" s="1680"/>
      <c r="R206" s="1782"/>
    </row>
    <row r="207" spans="1:18" s="1586" customFormat="1" ht="36">
      <c r="A207" s="1818">
        <v>3020</v>
      </c>
      <c r="B207" s="1880" t="s">
        <v>164</v>
      </c>
      <c r="C207" s="927">
        <f>SUM(C208:C211)</f>
        <v>139000</v>
      </c>
      <c r="D207" s="1808">
        <f t="shared" si="30"/>
        <v>139000</v>
      </c>
      <c r="E207" s="1808">
        <f aca="true" t="shared" si="31" ref="E207:E231">SUM(H207+K207+N207+Q207)</f>
        <v>91588</v>
      </c>
      <c r="F207" s="1666">
        <f t="shared" si="29"/>
        <v>65.89064748201439</v>
      </c>
      <c r="G207" s="927">
        <f>SUM(G208:G211)</f>
        <v>139000</v>
      </c>
      <c r="H207" s="932">
        <f>SUM(H208:H211)</f>
        <v>91588</v>
      </c>
      <c r="I207" s="1669">
        <f t="shared" si="28"/>
        <v>65.89064748201439</v>
      </c>
      <c r="J207" s="1848"/>
      <c r="K207" s="932"/>
      <c r="L207" s="1849"/>
      <c r="M207" s="932"/>
      <c r="N207" s="932"/>
      <c r="O207" s="1850"/>
      <c r="P207" s="927"/>
      <c r="Q207" s="932"/>
      <c r="R207" s="950"/>
    </row>
    <row r="208" spans="1:18" s="1585" customFormat="1" ht="12.75">
      <c r="A208" s="1805"/>
      <c r="B208" s="1904" t="s">
        <v>214</v>
      </c>
      <c r="C208" s="1807">
        <v>20000</v>
      </c>
      <c r="D208" s="1808">
        <f t="shared" si="30"/>
        <v>20000</v>
      </c>
      <c r="E208" s="1808">
        <f t="shared" si="31"/>
        <v>2786</v>
      </c>
      <c r="F208" s="1666">
        <f t="shared" si="29"/>
        <v>13.930000000000001</v>
      </c>
      <c r="G208" s="1807">
        <v>20000</v>
      </c>
      <c r="H208" s="1808">
        <v>2786</v>
      </c>
      <c r="I208" s="1669">
        <f t="shared" si="28"/>
        <v>13.930000000000001</v>
      </c>
      <c r="J208" s="1810"/>
      <c r="K208" s="1808"/>
      <c r="L208" s="1809"/>
      <c r="M208" s="1808"/>
      <c r="N208" s="1808"/>
      <c r="O208" s="1812"/>
      <c r="P208" s="1807"/>
      <c r="Q208" s="1808"/>
      <c r="R208" s="1813"/>
    </row>
    <row r="209" spans="1:18" s="1585" customFormat="1" ht="12.75">
      <c r="A209" s="1805"/>
      <c r="B209" s="1904" t="s">
        <v>215</v>
      </c>
      <c r="C209" s="1807">
        <v>65000</v>
      </c>
      <c r="D209" s="1808">
        <f t="shared" si="30"/>
        <v>65000</v>
      </c>
      <c r="E209" s="1808">
        <f t="shared" si="31"/>
        <v>48048</v>
      </c>
      <c r="F209" s="1666">
        <f t="shared" si="29"/>
        <v>73.92</v>
      </c>
      <c r="G209" s="1807">
        <v>65000</v>
      </c>
      <c r="H209" s="1808">
        <v>48048</v>
      </c>
      <c r="I209" s="1669">
        <f t="shared" si="28"/>
        <v>73.92</v>
      </c>
      <c r="J209" s="1810"/>
      <c r="K209" s="1808"/>
      <c r="L209" s="1809"/>
      <c r="M209" s="1808"/>
      <c r="N209" s="1808"/>
      <c r="O209" s="1812"/>
      <c r="P209" s="1807"/>
      <c r="Q209" s="1808"/>
      <c r="R209" s="1813"/>
    </row>
    <row r="210" spans="1:18" s="1585" customFormat="1" ht="12.75">
      <c r="A210" s="1805"/>
      <c r="B210" s="1904" t="s">
        <v>216</v>
      </c>
      <c r="C210" s="1807">
        <v>40000</v>
      </c>
      <c r="D210" s="1808">
        <f t="shared" si="30"/>
        <v>40000</v>
      </c>
      <c r="E210" s="1808">
        <f t="shared" si="31"/>
        <v>36862</v>
      </c>
      <c r="F210" s="1666">
        <f t="shared" si="29"/>
        <v>92.155</v>
      </c>
      <c r="G210" s="1807">
        <v>40000</v>
      </c>
      <c r="H210" s="1808">
        <v>36862</v>
      </c>
      <c r="I210" s="1669">
        <f t="shared" si="28"/>
        <v>92.155</v>
      </c>
      <c r="J210" s="1810"/>
      <c r="K210" s="1808"/>
      <c r="L210" s="1809"/>
      <c r="M210" s="1808"/>
      <c r="N210" s="1808"/>
      <c r="O210" s="1812"/>
      <c r="P210" s="1807"/>
      <c r="Q210" s="1808"/>
      <c r="R210" s="1813"/>
    </row>
    <row r="211" spans="1:18" s="1585" customFormat="1" ht="12.75">
      <c r="A211" s="1805"/>
      <c r="B211" s="1904" t="s">
        <v>217</v>
      </c>
      <c r="C211" s="1807">
        <v>14000</v>
      </c>
      <c r="D211" s="1808">
        <f t="shared" si="30"/>
        <v>14000</v>
      </c>
      <c r="E211" s="1808">
        <f t="shared" si="31"/>
        <v>3892</v>
      </c>
      <c r="F211" s="1666">
        <f t="shared" si="29"/>
        <v>27.800000000000004</v>
      </c>
      <c r="G211" s="1807">
        <v>14000</v>
      </c>
      <c r="H211" s="1808">
        <v>3892</v>
      </c>
      <c r="I211" s="1669">
        <f t="shared" si="28"/>
        <v>27.800000000000004</v>
      </c>
      <c r="J211" s="1810"/>
      <c r="K211" s="1808"/>
      <c r="L211" s="1809"/>
      <c r="M211" s="1808"/>
      <c r="N211" s="1808"/>
      <c r="O211" s="1812"/>
      <c r="P211" s="1807"/>
      <c r="Q211" s="1808"/>
      <c r="R211" s="1813"/>
    </row>
    <row r="212" spans="1:18" ht="24">
      <c r="A212" s="1743">
        <v>3030</v>
      </c>
      <c r="B212" s="1751" t="s">
        <v>218</v>
      </c>
      <c r="C212" s="1689">
        <v>2000</v>
      </c>
      <c r="D212" s="893">
        <f t="shared" si="30"/>
        <v>2000</v>
      </c>
      <c r="E212" s="1690">
        <f t="shared" si="31"/>
        <v>0</v>
      </c>
      <c r="F212" s="1666">
        <f t="shared" si="29"/>
        <v>0</v>
      </c>
      <c r="G212" s="1689">
        <v>2000</v>
      </c>
      <c r="H212" s="1690"/>
      <c r="I212" s="1669">
        <f t="shared" si="28"/>
        <v>0</v>
      </c>
      <c r="J212" s="1745"/>
      <c r="K212" s="1690"/>
      <c r="L212" s="1746"/>
      <c r="M212" s="1690"/>
      <c r="N212" s="1690"/>
      <c r="O212" s="1747"/>
      <c r="P212" s="1689"/>
      <c r="Q212" s="1690"/>
      <c r="R212" s="1754"/>
    </row>
    <row r="213" spans="1:18" ht="24">
      <c r="A213" s="1743">
        <v>4010</v>
      </c>
      <c r="B213" s="1751" t="s">
        <v>104</v>
      </c>
      <c r="C213" s="1689">
        <v>10086660</v>
      </c>
      <c r="D213" s="893">
        <f t="shared" si="30"/>
        <v>10086660</v>
      </c>
      <c r="E213" s="1690">
        <f t="shared" si="31"/>
        <v>4705996</v>
      </c>
      <c r="F213" s="1666">
        <f t="shared" si="29"/>
        <v>46.65564220465446</v>
      </c>
      <c r="G213" s="1689">
        <v>10086660</v>
      </c>
      <c r="H213" s="1690">
        <v>4705996</v>
      </c>
      <c r="I213" s="1669">
        <f t="shared" si="28"/>
        <v>46.65564220465446</v>
      </c>
      <c r="J213" s="1745"/>
      <c r="K213" s="1690"/>
      <c r="L213" s="1746"/>
      <c r="M213" s="1690"/>
      <c r="N213" s="1690"/>
      <c r="O213" s="1747"/>
      <c r="P213" s="1689"/>
      <c r="Q213" s="1690"/>
      <c r="R213" s="1754"/>
    </row>
    <row r="214" spans="1:18" ht="24">
      <c r="A214" s="1833">
        <v>4040</v>
      </c>
      <c r="B214" s="1751" t="s">
        <v>165</v>
      </c>
      <c r="C214" s="1689">
        <v>823620</v>
      </c>
      <c r="D214" s="893">
        <f t="shared" si="30"/>
        <v>771420</v>
      </c>
      <c r="E214" s="1690">
        <f t="shared" si="31"/>
        <v>743446</v>
      </c>
      <c r="F214" s="1666">
        <f t="shared" si="29"/>
        <v>96.37370044852351</v>
      </c>
      <c r="G214" s="1689">
        <f>823620-52200</f>
        <v>771420</v>
      </c>
      <c r="H214" s="1690">
        <v>743446</v>
      </c>
      <c r="I214" s="1669">
        <f t="shared" si="28"/>
        <v>96.37370044852351</v>
      </c>
      <c r="J214" s="1745"/>
      <c r="K214" s="1690"/>
      <c r="L214" s="1746"/>
      <c r="M214" s="1690"/>
      <c r="N214" s="1690"/>
      <c r="O214" s="1747"/>
      <c r="P214" s="1689"/>
      <c r="Q214" s="1690"/>
      <c r="R214" s="1754"/>
    </row>
    <row r="215" spans="1:18" ht="24" hidden="1">
      <c r="A215" s="1833">
        <v>4100</v>
      </c>
      <c r="B215" s="1751" t="s">
        <v>219</v>
      </c>
      <c r="C215" s="1689"/>
      <c r="D215" s="893">
        <f t="shared" si="30"/>
        <v>0</v>
      </c>
      <c r="E215" s="1690">
        <f t="shared" si="31"/>
        <v>0</v>
      </c>
      <c r="F215" s="1666"/>
      <c r="G215" s="1689"/>
      <c r="H215" s="1690"/>
      <c r="I215" s="1669"/>
      <c r="J215" s="1745"/>
      <c r="K215" s="1690"/>
      <c r="L215" s="1746"/>
      <c r="M215" s="1690"/>
      <c r="N215" s="1690"/>
      <c r="O215" s="1747"/>
      <c r="P215" s="1689"/>
      <c r="Q215" s="1690"/>
      <c r="R215" s="1754"/>
    </row>
    <row r="216" spans="1:18" ht="24" hidden="1">
      <c r="A216" s="1833">
        <v>4100</v>
      </c>
      <c r="B216" s="1751" t="s">
        <v>220</v>
      </c>
      <c r="C216" s="1689"/>
      <c r="D216" s="893">
        <f t="shared" si="30"/>
        <v>0</v>
      </c>
      <c r="E216" s="1690">
        <f t="shared" si="31"/>
        <v>0</v>
      </c>
      <c r="F216" s="1666"/>
      <c r="G216" s="1689"/>
      <c r="H216" s="1690"/>
      <c r="I216" s="1669"/>
      <c r="J216" s="1745"/>
      <c r="K216" s="1690"/>
      <c r="L216" s="1746"/>
      <c r="M216" s="1690"/>
      <c r="N216" s="1690"/>
      <c r="O216" s="1747"/>
      <c r="P216" s="1689"/>
      <c r="Q216" s="1690"/>
      <c r="R216" s="1754"/>
    </row>
    <row r="217" spans="1:18" ht="24">
      <c r="A217" s="1743">
        <v>4110</v>
      </c>
      <c r="B217" s="1751" t="s">
        <v>110</v>
      </c>
      <c r="C217" s="1689">
        <v>1874300</v>
      </c>
      <c r="D217" s="893">
        <f t="shared" si="30"/>
        <v>1844870</v>
      </c>
      <c r="E217" s="1690">
        <f t="shared" si="31"/>
        <v>814335</v>
      </c>
      <c r="F217" s="1666">
        <f aca="true" t="shared" si="32" ref="F217:F232">E217/D217*100</f>
        <v>44.14050854531756</v>
      </c>
      <c r="G217" s="1689">
        <f>1874300-5000-2330-100-22000</f>
        <v>1844870</v>
      </c>
      <c r="H217" s="1690">
        <v>814335</v>
      </c>
      <c r="I217" s="1669">
        <f t="shared" si="28"/>
        <v>44.14050854531756</v>
      </c>
      <c r="J217" s="1745"/>
      <c r="K217" s="1690"/>
      <c r="L217" s="1746"/>
      <c r="M217" s="1690"/>
      <c r="N217" s="1690"/>
      <c r="O217" s="1747"/>
      <c r="P217" s="1689"/>
      <c r="Q217" s="1690"/>
      <c r="R217" s="1754"/>
    </row>
    <row r="218" spans="1:18" ht="12.75">
      <c r="A218" s="1743">
        <v>4120</v>
      </c>
      <c r="B218" s="1751" t="s">
        <v>208</v>
      </c>
      <c r="C218" s="1689">
        <v>266890</v>
      </c>
      <c r="D218" s="893">
        <f t="shared" si="30"/>
        <v>266890</v>
      </c>
      <c r="E218" s="1690">
        <f t="shared" si="31"/>
        <v>113821</v>
      </c>
      <c r="F218" s="1666">
        <f t="shared" si="32"/>
        <v>42.647158005170674</v>
      </c>
      <c r="G218" s="1689">
        <v>266890</v>
      </c>
      <c r="H218" s="1690">
        <v>113821</v>
      </c>
      <c r="I218" s="1669">
        <f t="shared" si="28"/>
        <v>42.647158005170674</v>
      </c>
      <c r="J218" s="1745"/>
      <c r="K218" s="1690"/>
      <c r="L218" s="1746"/>
      <c r="M218" s="1690"/>
      <c r="N218" s="1690"/>
      <c r="O218" s="1747"/>
      <c r="P218" s="1689"/>
      <c r="Q218" s="1690"/>
      <c r="R218" s="1754"/>
    </row>
    <row r="219" spans="1:18" ht="12.75">
      <c r="A219" s="1743">
        <v>4140</v>
      </c>
      <c r="B219" s="1751" t="s">
        <v>168</v>
      </c>
      <c r="C219" s="1689">
        <v>10000</v>
      </c>
      <c r="D219" s="893">
        <f t="shared" si="30"/>
        <v>50000</v>
      </c>
      <c r="E219" s="1690">
        <f t="shared" si="31"/>
        <v>13334</v>
      </c>
      <c r="F219" s="1666">
        <f t="shared" si="32"/>
        <v>26.667999999999996</v>
      </c>
      <c r="G219" s="1689">
        <f>10000+40000</f>
        <v>50000</v>
      </c>
      <c r="H219" s="1690">
        <v>13334</v>
      </c>
      <c r="I219" s="1669">
        <f t="shared" si="28"/>
        <v>26.667999999999996</v>
      </c>
      <c r="J219" s="1745"/>
      <c r="K219" s="1690"/>
      <c r="L219" s="1746"/>
      <c r="M219" s="1690"/>
      <c r="N219" s="1690"/>
      <c r="O219" s="1747"/>
      <c r="P219" s="1689"/>
      <c r="Q219" s="1690"/>
      <c r="R219" s="1754"/>
    </row>
    <row r="220" spans="1:18" ht="24">
      <c r="A220" s="1743">
        <v>4170</v>
      </c>
      <c r="B220" s="1751" t="s">
        <v>169</v>
      </c>
      <c r="C220" s="1689"/>
      <c r="D220" s="893">
        <f t="shared" si="30"/>
        <v>50000</v>
      </c>
      <c r="E220" s="1690">
        <f t="shared" si="31"/>
        <v>25091</v>
      </c>
      <c r="F220" s="1666">
        <f t="shared" si="32"/>
        <v>50.182</v>
      </c>
      <c r="G220" s="1689">
        <v>50000</v>
      </c>
      <c r="H220" s="1690">
        <v>25091</v>
      </c>
      <c r="I220" s="1669">
        <f t="shared" si="28"/>
        <v>50.182</v>
      </c>
      <c r="J220" s="1745"/>
      <c r="K220" s="1690"/>
      <c r="L220" s="1746"/>
      <c r="M220" s="1690"/>
      <c r="N220" s="1690"/>
      <c r="O220" s="1747"/>
      <c r="P220" s="1689"/>
      <c r="Q220" s="1690"/>
      <c r="R220" s="1754"/>
    </row>
    <row r="221" spans="1:18" ht="24">
      <c r="A221" s="1743">
        <v>4210</v>
      </c>
      <c r="B221" s="1751" t="s">
        <v>221</v>
      </c>
      <c r="C221" s="1689">
        <f>SUM(C222:C226)</f>
        <v>669000</v>
      </c>
      <c r="D221" s="893">
        <f t="shared" si="30"/>
        <v>669000</v>
      </c>
      <c r="E221" s="893">
        <f t="shared" si="31"/>
        <v>245824</v>
      </c>
      <c r="F221" s="1666">
        <f t="shared" si="32"/>
        <v>36.74499252615844</v>
      </c>
      <c r="G221" s="1689">
        <f>SUM(G222:G226)</f>
        <v>669000</v>
      </c>
      <c r="H221" s="1690">
        <f>SUM(H222:H226)</f>
        <v>245824</v>
      </c>
      <c r="I221" s="1669">
        <f t="shared" si="28"/>
        <v>36.74499252615844</v>
      </c>
      <c r="J221" s="1745"/>
      <c r="K221" s="1690"/>
      <c r="L221" s="1746"/>
      <c r="M221" s="1690"/>
      <c r="N221" s="1690"/>
      <c r="O221" s="1747"/>
      <c r="P221" s="1689"/>
      <c r="Q221" s="1690"/>
      <c r="R221" s="1754"/>
    </row>
    <row r="222" spans="1:18" s="1585" customFormat="1" ht="12.75">
      <c r="A222" s="1805"/>
      <c r="B222" s="1904" t="s">
        <v>222</v>
      </c>
      <c r="C222" s="1807">
        <v>520000</v>
      </c>
      <c r="D222" s="1808">
        <f t="shared" si="30"/>
        <v>520000</v>
      </c>
      <c r="E222" s="1808">
        <f t="shared" si="31"/>
        <v>222559</v>
      </c>
      <c r="F222" s="1666">
        <f t="shared" si="32"/>
        <v>42.79980769230769</v>
      </c>
      <c r="G222" s="1807">
        <v>520000</v>
      </c>
      <c r="H222" s="1808">
        <v>222559</v>
      </c>
      <c r="I222" s="1669">
        <f t="shared" si="28"/>
        <v>42.79980769230769</v>
      </c>
      <c r="J222" s="1810"/>
      <c r="K222" s="1808"/>
      <c r="L222" s="1809"/>
      <c r="M222" s="1808"/>
      <c r="N222" s="1808"/>
      <c r="O222" s="1812"/>
      <c r="P222" s="1807"/>
      <c r="Q222" s="1808"/>
      <c r="R222" s="1813"/>
    </row>
    <row r="223" spans="1:18" s="1585" customFormat="1" ht="12.75">
      <c r="A223" s="1805"/>
      <c r="B223" s="1904" t="s">
        <v>223</v>
      </c>
      <c r="C223" s="1807">
        <v>5000</v>
      </c>
      <c r="D223" s="1808">
        <f t="shared" si="30"/>
        <v>5000</v>
      </c>
      <c r="E223" s="1808">
        <f t="shared" si="31"/>
        <v>0</v>
      </c>
      <c r="F223" s="1666">
        <f t="shared" si="32"/>
        <v>0</v>
      </c>
      <c r="G223" s="1807">
        <v>5000</v>
      </c>
      <c r="H223" s="1808"/>
      <c r="I223" s="1669">
        <f t="shared" si="28"/>
        <v>0</v>
      </c>
      <c r="J223" s="1810"/>
      <c r="K223" s="1808"/>
      <c r="L223" s="1809"/>
      <c r="M223" s="1808"/>
      <c r="N223" s="1808"/>
      <c r="O223" s="1812"/>
      <c r="P223" s="1807"/>
      <c r="Q223" s="1808"/>
      <c r="R223" s="1813"/>
    </row>
    <row r="224" spans="1:18" s="1585" customFormat="1" ht="12.75">
      <c r="A224" s="1805"/>
      <c r="B224" s="1904" t="s">
        <v>224</v>
      </c>
      <c r="C224" s="1807">
        <v>100000</v>
      </c>
      <c r="D224" s="1808">
        <f t="shared" si="30"/>
        <v>100000</v>
      </c>
      <c r="E224" s="1808">
        <f t="shared" si="31"/>
        <v>20090</v>
      </c>
      <c r="F224" s="1666">
        <f t="shared" si="32"/>
        <v>20.09</v>
      </c>
      <c r="G224" s="1807">
        <v>100000</v>
      </c>
      <c r="H224" s="1808">
        <v>20090</v>
      </c>
      <c r="I224" s="1669">
        <f t="shared" si="28"/>
        <v>20.09</v>
      </c>
      <c r="J224" s="1810"/>
      <c r="K224" s="1808"/>
      <c r="L224" s="1809"/>
      <c r="M224" s="1808"/>
      <c r="N224" s="1808"/>
      <c r="O224" s="1812"/>
      <c r="P224" s="1807"/>
      <c r="Q224" s="1808"/>
      <c r="R224" s="1813"/>
    </row>
    <row r="225" spans="1:18" s="1585" customFormat="1" ht="12.75">
      <c r="A225" s="1805"/>
      <c r="B225" s="1904" t="s">
        <v>225</v>
      </c>
      <c r="C225" s="1807">
        <v>40000</v>
      </c>
      <c r="D225" s="1808">
        <f t="shared" si="30"/>
        <v>40000</v>
      </c>
      <c r="E225" s="1808">
        <f t="shared" si="31"/>
        <v>3175</v>
      </c>
      <c r="F225" s="1666">
        <f t="shared" si="32"/>
        <v>7.9375</v>
      </c>
      <c r="G225" s="1807">
        <v>40000</v>
      </c>
      <c r="H225" s="1808">
        <v>3175</v>
      </c>
      <c r="I225" s="1669">
        <f t="shared" si="28"/>
        <v>7.9375</v>
      </c>
      <c r="J225" s="1810"/>
      <c r="K225" s="1808"/>
      <c r="L225" s="1809"/>
      <c r="M225" s="1808"/>
      <c r="N225" s="1808"/>
      <c r="O225" s="1812"/>
      <c r="P225" s="1807"/>
      <c r="Q225" s="1808"/>
      <c r="R225" s="1813"/>
    </row>
    <row r="226" spans="1:18" s="1585" customFormat="1" ht="12.75">
      <c r="A226" s="1805"/>
      <c r="B226" s="1904" t="s">
        <v>226</v>
      </c>
      <c r="C226" s="1807">
        <v>4000</v>
      </c>
      <c r="D226" s="1808">
        <f t="shared" si="30"/>
        <v>4000</v>
      </c>
      <c r="E226" s="1808">
        <f t="shared" si="31"/>
        <v>0</v>
      </c>
      <c r="F226" s="1666">
        <f t="shared" si="32"/>
        <v>0</v>
      </c>
      <c r="G226" s="1807">
        <v>4000</v>
      </c>
      <c r="H226" s="1808"/>
      <c r="I226" s="1669">
        <f t="shared" si="28"/>
        <v>0</v>
      </c>
      <c r="J226" s="1810"/>
      <c r="K226" s="1808"/>
      <c r="L226" s="1809"/>
      <c r="M226" s="1808"/>
      <c r="N226" s="1808"/>
      <c r="O226" s="1812"/>
      <c r="P226" s="1807"/>
      <c r="Q226" s="1808"/>
      <c r="R226" s="1813"/>
    </row>
    <row r="227" spans="1:18" ht="12.75">
      <c r="A227" s="1743">
        <v>4240</v>
      </c>
      <c r="B227" s="1751" t="s">
        <v>227</v>
      </c>
      <c r="C227" s="1689">
        <v>6900</v>
      </c>
      <c r="D227" s="893">
        <f t="shared" si="30"/>
        <v>6900</v>
      </c>
      <c r="E227" s="1690">
        <f t="shared" si="31"/>
        <v>3394</v>
      </c>
      <c r="F227" s="1666">
        <f t="shared" si="32"/>
        <v>49.188405797101446</v>
      </c>
      <c r="G227" s="1689">
        <v>6900</v>
      </c>
      <c r="H227" s="1690">
        <v>3394</v>
      </c>
      <c r="I227" s="1669">
        <f t="shared" si="28"/>
        <v>49.188405797101446</v>
      </c>
      <c r="J227" s="1745"/>
      <c r="K227" s="1690"/>
      <c r="L227" s="1746"/>
      <c r="M227" s="1690"/>
      <c r="N227" s="1690"/>
      <c r="O227" s="1747"/>
      <c r="P227" s="1689"/>
      <c r="Q227" s="1690"/>
      <c r="R227" s="1754"/>
    </row>
    <row r="228" spans="1:18" ht="12.75">
      <c r="A228" s="1743">
        <v>4260</v>
      </c>
      <c r="B228" s="1751" t="s">
        <v>118</v>
      </c>
      <c r="C228" s="1689">
        <v>400000</v>
      </c>
      <c r="D228" s="893">
        <f t="shared" si="30"/>
        <v>400000</v>
      </c>
      <c r="E228" s="1690">
        <f t="shared" si="31"/>
        <v>213921</v>
      </c>
      <c r="F228" s="1666">
        <f t="shared" si="32"/>
        <v>53.48025</v>
      </c>
      <c r="G228" s="1689">
        <v>400000</v>
      </c>
      <c r="H228" s="1690">
        <v>213921</v>
      </c>
      <c r="I228" s="1669">
        <f t="shared" si="28"/>
        <v>53.48025</v>
      </c>
      <c r="J228" s="1745"/>
      <c r="K228" s="1690"/>
      <c r="L228" s="1746"/>
      <c r="M228" s="1690"/>
      <c r="N228" s="1690"/>
      <c r="O228" s="1747"/>
      <c r="P228" s="1689"/>
      <c r="Q228" s="1690"/>
      <c r="R228" s="1754"/>
    </row>
    <row r="229" spans="1:18" ht="24">
      <c r="A229" s="1743">
        <v>4270</v>
      </c>
      <c r="B229" s="1751" t="s">
        <v>228</v>
      </c>
      <c r="C229" s="1689">
        <v>700000</v>
      </c>
      <c r="D229" s="893">
        <f t="shared" si="30"/>
        <v>700000</v>
      </c>
      <c r="E229" s="1690">
        <f t="shared" si="31"/>
        <v>110500</v>
      </c>
      <c r="F229" s="1666">
        <f t="shared" si="32"/>
        <v>15.785714285714286</v>
      </c>
      <c r="G229" s="1689">
        <f>SUM(G230:G231)</f>
        <v>700000</v>
      </c>
      <c r="H229" s="1690">
        <f>SUM(H230:H231)</f>
        <v>110500</v>
      </c>
      <c r="I229" s="1669">
        <f t="shared" si="28"/>
        <v>15.785714285714286</v>
      </c>
      <c r="J229" s="1745"/>
      <c r="K229" s="1690"/>
      <c r="L229" s="1746"/>
      <c r="M229" s="1690"/>
      <c r="N229" s="1690"/>
      <c r="O229" s="1747"/>
      <c r="P229" s="1689"/>
      <c r="Q229" s="1690"/>
      <c r="R229" s="1754"/>
    </row>
    <row r="230" spans="1:18" s="1585" customFormat="1" ht="12">
      <c r="A230" s="1805"/>
      <c r="B230" s="1904" t="s">
        <v>229</v>
      </c>
      <c r="C230" s="1905">
        <v>610000</v>
      </c>
      <c r="D230" s="1906">
        <f t="shared" si="30"/>
        <v>610000</v>
      </c>
      <c r="E230" s="1906">
        <f t="shared" si="31"/>
        <v>95070</v>
      </c>
      <c r="F230" s="1666">
        <f t="shared" si="32"/>
        <v>15.585245901639343</v>
      </c>
      <c r="G230" s="1905">
        <v>610000</v>
      </c>
      <c r="H230" s="1907">
        <v>95070</v>
      </c>
      <c r="I230" s="1669">
        <f t="shared" si="28"/>
        <v>15.585245901639343</v>
      </c>
      <c r="J230" s="1908"/>
      <c r="K230" s="1907"/>
      <c r="L230" s="1809"/>
      <c r="M230" s="1907"/>
      <c r="N230" s="1907"/>
      <c r="O230" s="1809"/>
      <c r="P230" s="1905"/>
      <c r="Q230" s="1907"/>
      <c r="R230" s="1909"/>
    </row>
    <row r="231" spans="1:18" s="1585" customFormat="1" ht="12">
      <c r="A231" s="1805"/>
      <c r="B231" s="1904" t="s">
        <v>225</v>
      </c>
      <c r="C231" s="1905">
        <v>90000</v>
      </c>
      <c r="D231" s="1906">
        <f t="shared" si="30"/>
        <v>90000</v>
      </c>
      <c r="E231" s="1906">
        <f t="shared" si="31"/>
        <v>15430</v>
      </c>
      <c r="F231" s="1666">
        <f t="shared" si="32"/>
        <v>17.144444444444446</v>
      </c>
      <c r="G231" s="1905">
        <v>90000</v>
      </c>
      <c r="H231" s="1907">
        <v>15430</v>
      </c>
      <c r="I231" s="1669">
        <f t="shared" si="28"/>
        <v>17.144444444444446</v>
      </c>
      <c r="J231" s="1908"/>
      <c r="K231" s="1907"/>
      <c r="L231" s="1809"/>
      <c r="M231" s="1907"/>
      <c r="N231" s="1907"/>
      <c r="O231" s="1809"/>
      <c r="P231" s="1905"/>
      <c r="Q231" s="1907"/>
      <c r="R231" s="1909"/>
    </row>
    <row r="232" spans="1:18" ht="24">
      <c r="A232" s="1743">
        <v>4300</v>
      </c>
      <c r="B232" s="1751" t="s">
        <v>230</v>
      </c>
      <c r="C232" s="1689">
        <f>SUM(C233:C239)</f>
        <v>2516700</v>
      </c>
      <c r="D232" s="893">
        <f t="shared" si="30"/>
        <v>2421793</v>
      </c>
      <c r="E232" s="1690">
        <f>H232+K232+Q232+N232</f>
        <v>1226698</v>
      </c>
      <c r="F232" s="1666">
        <f t="shared" si="32"/>
        <v>50.65247112366747</v>
      </c>
      <c r="G232" s="1689">
        <f>SUM(G233:G239)</f>
        <v>2421793</v>
      </c>
      <c r="H232" s="1690">
        <f>SUM(H233:H239)</f>
        <v>1226698</v>
      </c>
      <c r="I232" s="1669">
        <f t="shared" si="28"/>
        <v>50.65247112366747</v>
      </c>
      <c r="J232" s="1745"/>
      <c r="K232" s="1690"/>
      <c r="L232" s="1746"/>
      <c r="M232" s="1690"/>
      <c r="N232" s="1690"/>
      <c r="O232" s="1747"/>
      <c r="P232" s="1689"/>
      <c r="Q232" s="1690"/>
      <c r="R232" s="1754"/>
    </row>
    <row r="233" spans="1:18" s="1585" customFormat="1" ht="12.75">
      <c r="A233" s="1805"/>
      <c r="B233" s="1904" t="s">
        <v>231</v>
      </c>
      <c r="C233" s="1905">
        <v>800000</v>
      </c>
      <c r="D233" s="893">
        <f t="shared" si="30"/>
        <v>800000</v>
      </c>
      <c r="E233" s="1690">
        <f>H233+K233+Q233+N233</f>
        <v>607479</v>
      </c>
      <c r="F233" s="1666"/>
      <c r="G233" s="1905">
        <v>800000</v>
      </c>
      <c r="H233" s="1907">
        <v>607479</v>
      </c>
      <c r="I233" s="1669">
        <f t="shared" si="28"/>
        <v>75.934875</v>
      </c>
      <c r="J233" s="1908"/>
      <c r="K233" s="1907"/>
      <c r="L233" s="1809"/>
      <c r="M233" s="1907"/>
      <c r="N233" s="1907"/>
      <c r="O233" s="1809"/>
      <c r="P233" s="1905"/>
      <c r="Q233" s="1907"/>
      <c r="R233" s="1909"/>
    </row>
    <row r="234" spans="1:18" s="1585" customFormat="1" ht="12">
      <c r="A234" s="1805"/>
      <c r="B234" s="1904" t="s">
        <v>229</v>
      </c>
      <c r="C234" s="1905">
        <v>1465000</v>
      </c>
      <c r="D234" s="1907">
        <f t="shared" si="30"/>
        <v>1403593</v>
      </c>
      <c r="E234" s="1906">
        <f aca="true" t="shared" si="33" ref="E234:E261">SUM(H234+K234+N234+Q234)</f>
        <v>509880</v>
      </c>
      <c r="F234" s="1666">
        <f>E234/D234*100</f>
        <v>36.32676993971899</v>
      </c>
      <c r="G234" s="1905">
        <f>1415000-11407</f>
        <v>1403593</v>
      </c>
      <c r="H234" s="1907">
        <v>509880</v>
      </c>
      <c r="I234" s="1669">
        <f t="shared" si="28"/>
        <v>36.32676993971899</v>
      </c>
      <c r="J234" s="1908"/>
      <c r="K234" s="1907"/>
      <c r="L234" s="1809"/>
      <c r="M234" s="1907"/>
      <c r="N234" s="1907"/>
      <c r="O234" s="1809"/>
      <c r="P234" s="1905"/>
      <c r="Q234" s="1907"/>
      <c r="R234" s="1909"/>
    </row>
    <row r="235" spans="1:18" s="1585" customFormat="1" ht="12" hidden="1">
      <c r="A235" s="1805"/>
      <c r="B235" s="1904" t="s">
        <v>232</v>
      </c>
      <c r="C235" s="1905"/>
      <c r="D235" s="1907">
        <f t="shared" si="30"/>
        <v>0</v>
      </c>
      <c r="E235" s="1906">
        <f t="shared" si="33"/>
        <v>0</v>
      </c>
      <c r="F235" s="1666" t="e">
        <f>E235/D235*100</f>
        <v>#DIV/0!</v>
      </c>
      <c r="G235" s="1905">
        <f>15000-15000</f>
        <v>0</v>
      </c>
      <c r="H235" s="1907">
        <f>13911-13911</f>
        <v>0</v>
      </c>
      <c r="I235" s="1669" t="e">
        <f t="shared" si="28"/>
        <v>#DIV/0!</v>
      </c>
      <c r="J235" s="1908"/>
      <c r="K235" s="1907"/>
      <c r="L235" s="1809"/>
      <c r="M235" s="1907"/>
      <c r="N235" s="1907"/>
      <c r="O235" s="1809"/>
      <c r="P235" s="1905"/>
      <c r="Q235" s="1907"/>
      <c r="R235" s="1909"/>
    </row>
    <row r="236" spans="1:18" s="1585" customFormat="1" ht="11.25" customHeight="1">
      <c r="A236" s="1805"/>
      <c r="B236" s="1904" t="s">
        <v>233</v>
      </c>
      <c r="C236" s="1905">
        <v>16700</v>
      </c>
      <c r="D236" s="1907">
        <f t="shared" si="30"/>
        <v>16700</v>
      </c>
      <c r="E236" s="1906">
        <f t="shared" si="33"/>
        <v>13574</v>
      </c>
      <c r="F236" s="1666">
        <f>E236/D236*100</f>
        <v>81.2814371257485</v>
      </c>
      <c r="G236" s="1905">
        <v>16700</v>
      </c>
      <c r="H236" s="1907">
        <v>13574</v>
      </c>
      <c r="I236" s="1669">
        <f t="shared" si="28"/>
        <v>81.2814371257485</v>
      </c>
      <c r="J236" s="1908"/>
      <c r="K236" s="1907"/>
      <c r="L236" s="1809"/>
      <c r="M236" s="1907"/>
      <c r="N236" s="1907"/>
      <c r="O236" s="1809"/>
      <c r="P236" s="1905"/>
      <c r="Q236" s="1907"/>
      <c r="R236" s="1909"/>
    </row>
    <row r="237" spans="1:18" s="1585" customFormat="1" ht="24">
      <c r="A237" s="1805"/>
      <c r="B237" s="1904" t="s">
        <v>234</v>
      </c>
      <c r="C237" s="1905">
        <v>9000</v>
      </c>
      <c r="D237" s="1907">
        <f t="shared" si="30"/>
        <v>0</v>
      </c>
      <c r="E237" s="1906">
        <f t="shared" si="33"/>
        <v>0</v>
      </c>
      <c r="F237" s="1666"/>
      <c r="G237" s="1905"/>
      <c r="H237" s="1907"/>
      <c r="I237" s="1669"/>
      <c r="J237" s="1908"/>
      <c r="K237" s="1907"/>
      <c r="L237" s="1809"/>
      <c r="M237" s="1907"/>
      <c r="N237" s="1907"/>
      <c r="O237" s="1809"/>
      <c r="P237" s="1905"/>
      <c r="Q237" s="1907"/>
      <c r="R237" s="1909"/>
    </row>
    <row r="238" spans="1:18" s="1585" customFormat="1" ht="12">
      <c r="A238" s="1805"/>
      <c r="B238" s="1904" t="s">
        <v>217</v>
      </c>
      <c r="C238" s="1905">
        <v>13000</v>
      </c>
      <c r="D238" s="1907">
        <f t="shared" si="30"/>
        <v>13000</v>
      </c>
      <c r="E238" s="1907">
        <f t="shared" si="33"/>
        <v>8728</v>
      </c>
      <c r="F238" s="1666">
        <f>E238/D238*100</f>
        <v>67.13846153846154</v>
      </c>
      <c r="G238" s="1905">
        <v>13000</v>
      </c>
      <c r="H238" s="1907">
        <v>8728</v>
      </c>
      <c r="I238" s="1669">
        <f t="shared" si="28"/>
        <v>67.13846153846154</v>
      </c>
      <c r="J238" s="1908"/>
      <c r="K238" s="1907"/>
      <c r="L238" s="1809"/>
      <c r="M238" s="1907"/>
      <c r="N238" s="1907"/>
      <c r="O238" s="1809"/>
      <c r="P238" s="1905"/>
      <c r="Q238" s="1907"/>
      <c r="R238" s="1909"/>
    </row>
    <row r="239" spans="1:18" s="1585" customFormat="1" ht="12">
      <c r="A239" s="1805"/>
      <c r="B239" s="1904" t="s">
        <v>235</v>
      </c>
      <c r="C239" s="1905">
        <v>213000</v>
      </c>
      <c r="D239" s="1907">
        <f t="shared" si="30"/>
        <v>188500</v>
      </c>
      <c r="E239" s="1907">
        <f t="shared" si="33"/>
        <v>87037</v>
      </c>
      <c r="F239" s="1666">
        <f>E239/D239*100</f>
        <v>46.17347480106101</v>
      </c>
      <c r="G239" s="1905">
        <v>188500</v>
      </c>
      <c r="H239" s="1907">
        <v>87037</v>
      </c>
      <c r="I239" s="1669">
        <f t="shared" si="28"/>
        <v>46.17347480106101</v>
      </c>
      <c r="J239" s="1908"/>
      <c r="K239" s="1907"/>
      <c r="L239" s="1809"/>
      <c r="M239" s="1907"/>
      <c r="N239" s="1907"/>
      <c r="O239" s="1809"/>
      <c r="P239" s="1905"/>
      <c r="Q239" s="1907"/>
      <c r="R239" s="1909"/>
    </row>
    <row r="240" spans="1:18" s="1586" customFormat="1" ht="24">
      <c r="A240" s="1818">
        <v>4307</v>
      </c>
      <c r="B240" s="1880" t="s">
        <v>236</v>
      </c>
      <c r="C240" s="1910"/>
      <c r="D240" s="893">
        <f t="shared" si="30"/>
        <v>15000</v>
      </c>
      <c r="E240" s="1690">
        <f t="shared" si="33"/>
        <v>13911</v>
      </c>
      <c r="F240" s="1666">
        <f aca="true" t="shared" si="34" ref="F240:F295">E240/D240*100</f>
        <v>92.74</v>
      </c>
      <c r="G240" s="1910">
        <v>15000</v>
      </c>
      <c r="H240" s="1906">
        <v>13911</v>
      </c>
      <c r="I240" s="1669">
        <f t="shared" si="28"/>
        <v>92.74</v>
      </c>
      <c r="J240" s="1911"/>
      <c r="K240" s="1906"/>
      <c r="L240" s="1746"/>
      <c r="M240" s="1906"/>
      <c r="N240" s="1906"/>
      <c r="O240" s="1746"/>
      <c r="P240" s="1911"/>
      <c r="Q240" s="1906"/>
      <c r="R240" s="1912"/>
    </row>
    <row r="241" spans="1:18" ht="24">
      <c r="A241" s="1743">
        <v>4350</v>
      </c>
      <c r="B241" s="1751" t="s">
        <v>237</v>
      </c>
      <c r="C241" s="1689"/>
      <c r="D241" s="893">
        <f t="shared" si="30"/>
        <v>24500</v>
      </c>
      <c r="E241" s="1690">
        <f t="shared" si="33"/>
        <v>10729</v>
      </c>
      <c r="F241" s="1666">
        <f t="shared" si="34"/>
        <v>43.79183673469388</v>
      </c>
      <c r="G241" s="1689">
        <v>24500</v>
      </c>
      <c r="H241" s="1690">
        <v>10729</v>
      </c>
      <c r="I241" s="1669">
        <f t="shared" si="28"/>
        <v>43.79183673469388</v>
      </c>
      <c r="J241" s="1745"/>
      <c r="K241" s="1690"/>
      <c r="L241" s="1746"/>
      <c r="M241" s="1690"/>
      <c r="N241" s="1690"/>
      <c r="O241" s="1747"/>
      <c r="P241" s="1690"/>
      <c r="Q241" s="1690"/>
      <c r="R241" s="1754"/>
    </row>
    <row r="242" spans="1:18" ht="24">
      <c r="A242" s="1743">
        <v>4350</v>
      </c>
      <c r="B242" s="1751" t="s">
        <v>238</v>
      </c>
      <c r="C242" s="1689"/>
      <c r="D242" s="893">
        <f t="shared" si="30"/>
        <v>9000</v>
      </c>
      <c r="E242" s="1690">
        <f t="shared" si="33"/>
        <v>3660</v>
      </c>
      <c r="F242" s="1666">
        <f t="shared" si="34"/>
        <v>40.666666666666664</v>
      </c>
      <c r="G242" s="1689">
        <v>9000</v>
      </c>
      <c r="H242" s="1690">
        <v>3660</v>
      </c>
      <c r="I242" s="1669">
        <f t="shared" si="28"/>
        <v>40.666666666666664</v>
      </c>
      <c r="J242" s="1745"/>
      <c r="K242" s="1690"/>
      <c r="L242" s="1746"/>
      <c r="M242" s="1690"/>
      <c r="N242" s="1690"/>
      <c r="O242" s="1747"/>
      <c r="P242" s="1690"/>
      <c r="Q242" s="1690"/>
      <c r="R242" s="1754"/>
    </row>
    <row r="243" spans="1:18" ht="12.75">
      <c r="A243" s="1743">
        <v>4410</v>
      </c>
      <c r="B243" s="1751" t="s">
        <v>96</v>
      </c>
      <c r="C243" s="1689">
        <v>170000</v>
      </c>
      <c r="D243" s="893">
        <f t="shared" si="30"/>
        <v>170000</v>
      </c>
      <c r="E243" s="1690">
        <f t="shared" si="33"/>
        <v>83568</v>
      </c>
      <c r="F243" s="1666">
        <f t="shared" si="34"/>
        <v>49.15764705882353</v>
      </c>
      <c r="G243" s="1689">
        <v>170000</v>
      </c>
      <c r="H243" s="1690">
        <v>83568</v>
      </c>
      <c r="I243" s="1669">
        <f t="shared" si="28"/>
        <v>49.15764705882353</v>
      </c>
      <c r="J243" s="1745"/>
      <c r="K243" s="1690"/>
      <c r="L243" s="1746"/>
      <c r="M243" s="1690"/>
      <c r="N243" s="1690"/>
      <c r="O243" s="1747"/>
      <c r="P243" s="1690"/>
      <c r="Q243" s="1690"/>
      <c r="R243" s="1754"/>
    </row>
    <row r="244" spans="1:18" ht="24">
      <c r="A244" s="1743">
        <v>4420</v>
      </c>
      <c r="B244" s="1751" t="s">
        <v>239</v>
      </c>
      <c r="C244" s="1689">
        <v>65000</v>
      </c>
      <c r="D244" s="893">
        <f t="shared" si="30"/>
        <v>65000</v>
      </c>
      <c r="E244" s="1690">
        <f t="shared" si="33"/>
        <v>42162</v>
      </c>
      <c r="F244" s="1666">
        <f t="shared" si="34"/>
        <v>64.86461538461539</v>
      </c>
      <c r="G244" s="1689">
        <v>65000</v>
      </c>
      <c r="H244" s="1690">
        <v>42162</v>
      </c>
      <c r="I244" s="1669">
        <f t="shared" si="28"/>
        <v>64.86461538461539</v>
      </c>
      <c r="J244" s="1745"/>
      <c r="K244" s="1690"/>
      <c r="L244" s="1746"/>
      <c r="M244" s="1690"/>
      <c r="N244" s="1690"/>
      <c r="O244" s="1747"/>
      <c r="P244" s="1690"/>
      <c r="Q244" s="1690"/>
      <c r="R244" s="1754"/>
    </row>
    <row r="245" spans="1:18" ht="12.75">
      <c r="A245" s="1743">
        <v>4430</v>
      </c>
      <c r="B245" s="1751" t="s">
        <v>124</v>
      </c>
      <c r="C245" s="1689">
        <v>67300</v>
      </c>
      <c r="D245" s="893">
        <f t="shared" si="30"/>
        <v>67300</v>
      </c>
      <c r="E245" s="1690">
        <f t="shared" si="33"/>
        <v>39390</v>
      </c>
      <c r="F245" s="1666">
        <f t="shared" si="34"/>
        <v>58.52897473997029</v>
      </c>
      <c r="G245" s="1689">
        <v>67300</v>
      </c>
      <c r="H245" s="1690">
        <v>39390</v>
      </c>
      <c r="I245" s="1669">
        <f t="shared" si="28"/>
        <v>58.52897473997029</v>
      </c>
      <c r="J245" s="1745"/>
      <c r="K245" s="1690"/>
      <c r="L245" s="1746"/>
      <c r="M245" s="1690"/>
      <c r="N245" s="1690"/>
      <c r="O245" s="1747"/>
      <c r="P245" s="1690"/>
      <c r="Q245" s="1690"/>
      <c r="R245" s="1754"/>
    </row>
    <row r="246" spans="1:18" ht="14.25" customHeight="1">
      <c r="A246" s="1743">
        <v>4440</v>
      </c>
      <c r="B246" s="1751" t="s">
        <v>126</v>
      </c>
      <c r="C246" s="1689">
        <v>232940</v>
      </c>
      <c r="D246" s="893">
        <f t="shared" si="30"/>
        <v>232940</v>
      </c>
      <c r="E246" s="1690">
        <f t="shared" si="33"/>
        <v>168167</v>
      </c>
      <c r="F246" s="1666">
        <f t="shared" si="34"/>
        <v>72.19326865287199</v>
      </c>
      <c r="G246" s="1689">
        <v>232940</v>
      </c>
      <c r="H246" s="1690">
        <v>168167</v>
      </c>
      <c r="I246" s="1669">
        <f t="shared" si="28"/>
        <v>72.19326865287199</v>
      </c>
      <c r="J246" s="1745"/>
      <c r="K246" s="1690"/>
      <c r="L246" s="1746"/>
      <c r="M246" s="1690"/>
      <c r="N246" s="1690"/>
      <c r="O246" s="1747"/>
      <c r="P246" s="1690"/>
      <c r="Q246" s="1690"/>
      <c r="R246" s="1754"/>
    </row>
    <row r="247" spans="1:18" ht="12.75" customHeight="1">
      <c r="A247" s="1743">
        <v>4580</v>
      </c>
      <c r="B247" s="1751" t="s">
        <v>176</v>
      </c>
      <c r="C247" s="1689">
        <v>5000</v>
      </c>
      <c r="D247" s="893">
        <f t="shared" si="30"/>
        <v>5000</v>
      </c>
      <c r="E247" s="1690">
        <f t="shared" si="33"/>
        <v>143</v>
      </c>
      <c r="F247" s="1666">
        <f t="shared" si="34"/>
        <v>2.86</v>
      </c>
      <c r="G247" s="1689">
        <v>5000</v>
      </c>
      <c r="H247" s="1690">
        <v>143</v>
      </c>
      <c r="I247" s="1669">
        <f t="shared" si="28"/>
        <v>2.86</v>
      </c>
      <c r="J247" s="1745"/>
      <c r="K247" s="1690"/>
      <c r="L247" s="1746"/>
      <c r="M247" s="1690"/>
      <c r="N247" s="1690"/>
      <c r="O247" s="1747"/>
      <c r="P247" s="1690"/>
      <c r="Q247" s="1690"/>
      <c r="R247" s="1754"/>
    </row>
    <row r="248" spans="1:18" ht="24">
      <c r="A248" s="1743">
        <v>4610</v>
      </c>
      <c r="B248" s="1751" t="s">
        <v>240</v>
      </c>
      <c r="C248" s="1689">
        <v>44600</v>
      </c>
      <c r="D248" s="893">
        <f t="shared" si="30"/>
        <v>44600</v>
      </c>
      <c r="E248" s="1690">
        <f t="shared" si="33"/>
        <v>21204</v>
      </c>
      <c r="F248" s="1666">
        <f>E248/D248*100</f>
        <v>47.54260089686099</v>
      </c>
      <c r="G248" s="1689">
        <v>44600</v>
      </c>
      <c r="H248" s="1690">
        <v>21204</v>
      </c>
      <c r="I248" s="1669">
        <f t="shared" si="28"/>
        <v>47.54260089686099</v>
      </c>
      <c r="J248" s="1745"/>
      <c r="K248" s="1690"/>
      <c r="L248" s="1746"/>
      <c r="M248" s="1690"/>
      <c r="N248" s="1690"/>
      <c r="O248" s="1747"/>
      <c r="P248" s="1690"/>
      <c r="Q248" s="1690"/>
      <c r="R248" s="1754"/>
    </row>
    <row r="249" spans="1:18" ht="24">
      <c r="A249" s="1743">
        <v>4610</v>
      </c>
      <c r="B249" s="1751" t="s">
        <v>241</v>
      </c>
      <c r="C249" s="1689">
        <v>3400</v>
      </c>
      <c r="D249" s="893">
        <f t="shared" si="30"/>
        <v>8400</v>
      </c>
      <c r="E249" s="1690">
        <f t="shared" si="33"/>
        <v>5168</v>
      </c>
      <c r="F249" s="1666">
        <f>E249/D249*100</f>
        <v>61.523809523809526</v>
      </c>
      <c r="G249" s="1689">
        <f>3400+5000</f>
        <v>8400</v>
      </c>
      <c r="H249" s="1690">
        <v>5168</v>
      </c>
      <c r="I249" s="1669">
        <f t="shared" si="28"/>
        <v>61.523809523809526</v>
      </c>
      <c r="J249" s="1745"/>
      <c r="K249" s="1690"/>
      <c r="L249" s="1746"/>
      <c r="M249" s="1690"/>
      <c r="N249" s="1690"/>
      <c r="O249" s="1747"/>
      <c r="P249" s="1690"/>
      <c r="Q249" s="1690"/>
      <c r="R249" s="1754"/>
    </row>
    <row r="250" spans="1:18" ht="24">
      <c r="A250" s="1743">
        <v>6050</v>
      </c>
      <c r="B250" s="1751" t="s">
        <v>194</v>
      </c>
      <c r="C250" s="1689"/>
      <c r="D250" s="893">
        <f t="shared" si="30"/>
        <v>125000</v>
      </c>
      <c r="E250" s="1690">
        <f t="shared" si="33"/>
        <v>0</v>
      </c>
      <c r="F250" s="1666">
        <f>E250/D250*100</f>
        <v>0</v>
      </c>
      <c r="G250" s="1689">
        <v>125000</v>
      </c>
      <c r="H250" s="1690"/>
      <c r="I250" s="1669">
        <f t="shared" si="28"/>
        <v>0</v>
      </c>
      <c r="J250" s="1745"/>
      <c r="K250" s="1690"/>
      <c r="L250" s="1746"/>
      <c r="M250" s="1690"/>
      <c r="N250" s="1690"/>
      <c r="O250" s="1747"/>
      <c r="P250" s="1690"/>
      <c r="Q250" s="1690"/>
      <c r="R250" s="1754"/>
    </row>
    <row r="251" spans="1:18" ht="36">
      <c r="A251" s="1743">
        <v>6060</v>
      </c>
      <c r="B251" s="1751" t="s">
        <v>242</v>
      </c>
      <c r="C251" s="1689">
        <v>570000</v>
      </c>
      <c r="D251" s="893">
        <f t="shared" si="30"/>
        <v>580000</v>
      </c>
      <c r="E251" s="1690">
        <f t="shared" si="33"/>
        <v>36252</v>
      </c>
      <c r="F251" s="1666">
        <f t="shared" si="34"/>
        <v>6.250344827586208</v>
      </c>
      <c r="G251" s="1689">
        <f>570000+10000</f>
        <v>580000</v>
      </c>
      <c r="H251" s="1690">
        <v>36252</v>
      </c>
      <c r="I251" s="1669">
        <f t="shared" si="28"/>
        <v>6.250344827586208</v>
      </c>
      <c r="J251" s="1745"/>
      <c r="K251" s="1690"/>
      <c r="L251" s="1746"/>
      <c r="M251" s="1690"/>
      <c r="N251" s="1690"/>
      <c r="O251" s="1747"/>
      <c r="P251" s="1690"/>
      <c r="Q251" s="1690"/>
      <c r="R251" s="1754"/>
    </row>
    <row r="252" spans="1:18" s="1915" customFormat="1" ht="16.5" customHeight="1">
      <c r="A252" s="1913">
        <v>75045</v>
      </c>
      <c r="B252" s="1835" t="s">
        <v>243</v>
      </c>
      <c r="C252" s="1738">
        <f>SUM(C253:C262)</f>
        <v>44500</v>
      </c>
      <c r="D252" s="908">
        <f t="shared" si="30"/>
        <v>44600</v>
      </c>
      <c r="E252" s="908">
        <f t="shared" si="30"/>
        <v>40152</v>
      </c>
      <c r="F252" s="1681">
        <f t="shared" si="34"/>
        <v>90.02690582959642</v>
      </c>
      <c r="G252" s="1738"/>
      <c r="H252" s="1680"/>
      <c r="I252" s="1881"/>
      <c r="J252" s="1740"/>
      <c r="K252" s="1680"/>
      <c r="L252" s="1741"/>
      <c r="M252" s="1680">
        <f>SUM(M253:M262)</f>
        <v>8600</v>
      </c>
      <c r="N252" s="1680">
        <f>SUM(N253:N262)</f>
        <v>8586</v>
      </c>
      <c r="O252" s="1914">
        <f>N252/M252*100</f>
        <v>99.83720930232558</v>
      </c>
      <c r="P252" s="1740">
        <f>SUM(P253:P262)</f>
        <v>36000</v>
      </c>
      <c r="Q252" s="1680">
        <f>SUM(Q253:Q262)</f>
        <v>31566</v>
      </c>
      <c r="R252" s="1688">
        <f aca="true" t="shared" si="35" ref="R252:R260">Q252/P252*100</f>
        <v>87.68333333333334</v>
      </c>
    </row>
    <row r="253" spans="1:18" s="1915" customFormat="1" ht="24" customHeight="1">
      <c r="A253" s="1916">
        <v>3030</v>
      </c>
      <c r="B253" s="1751" t="s">
        <v>102</v>
      </c>
      <c r="C253" s="895">
        <v>11500</v>
      </c>
      <c r="D253" s="893">
        <f t="shared" si="30"/>
        <v>0</v>
      </c>
      <c r="E253" s="1690">
        <f t="shared" si="33"/>
        <v>0</v>
      </c>
      <c r="F253" s="1666"/>
      <c r="G253" s="1829"/>
      <c r="H253" s="1830"/>
      <c r="I253" s="1746"/>
      <c r="J253" s="1831"/>
      <c r="K253" s="1830"/>
      <c r="L253" s="1832"/>
      <c r="M253" s="1830"/>
      <c r="N253" s="1830"/>
      <c r="O253" s="1747"/>
      <c r="P253" s="1878"/>
      <c r="Q253" s="1690"/>
      <c r="R253" s="1695"/>
    </row>
    <row r="254" spans="1:18" s="1915" customFormat="1" ht="23.25" customHeight="1">
      <c r="A254" s="1916">
        <v>4010</v>
      </c>
      <c r="B254" s="1751" t="s">
        <v>104</v>
      </c>
      <c r="C254" s="1689">
        <v>10000</v>
      </c>
      <c r="D254" s="893">
        <f t="shared" si="30"/>
        <v>9163</v>
      </c>
      <c r="E254" s="1690">
        <f t="shared" si="33"/>
        <v>8184</v>
      </c>
      <c r="F254" s="1666">
        <f t="shared" si="34"/>
        <v>89.31572629051621</v>
      </c>
      <c r="G254" s="1689"/>
      <c r="H254" s="1690"/>
      <c r="I254" s="1746"/>
      <c r="J254" s="1745"/>
      <c r="K254" s="1690"/>
      <c r="L254" s="1746"/>
      <c r="M254" s="1690"/>
      <c r="N254" s="1690"/>
      <c r="O254" s="1747"/>
      <c r="P254" s="1790">
        <f>10000-837</f>
        <v>9163</v>
      </c>
      <c r="Q254" s="1690">
        <v>8184</v>
      </c>
      <c r="R254" s="1695">
        <f t="shared" si="35"/>
        <v>89.31572629051621</v>
      </c>
    </row>
    <row r="255" spans="1:18" s="1915" customFormat="1" ht="24" customHeight="1">
      <c r="A255" s="1916">
        <v>4110</v>
      </c>
      <c r="B255" s="1751" t="s">
        <v>110</v>
      </c>
      <c r="C255" s="1689">
        <v>1700</v>
      </c>
      <c r="D255" s="893">
        <f t="shared" si="30"/>
        <v>1700</v>
      </c>
      <c r="E255" s="1690">
        <f t="shared" si="33"/>
        <v>1410</v>
      </c>
      <c r="F255" s="1666">
        <f t="shared" si="34"/>
        <v>82.94117647058825</v>
      </c>
      <c r="G255" s="1689"/>
      <c r="H255" s="1690"/>
      <c r="I255" s="1746"/>
      <c r="J255" s="1745"/>
      <c r="K255" s="1690"/>
      <c r="L255" s="1746"/>
      <c r="M255" s="1690"/>
      <c r="N255" s="1690"/>
      <c r="O255" s="1747"/>
      <c r="P255" s="1790">
        <v>1700</v>
      </c>
      <c r="Q255" s="1690">
        <v>1410</v>
      </c>
      <c r="R255" s="1695">
        <f t="shared" si="35"/>
        <v>82.94117647058825</v>
      </c>
    </row>
    <row r="256" spans="1:18" s="1915" customFormat="1" ht="12" customHeight="1">
      <c r="A256" s="1916">
        <v>4120</v>
      </c>
      <c r="B256" s="1751" t="s">
        <v>198</v>
      </c>
      <c r="C256" s="1689">
        <v>300</v>
      </c>
      <c r="D256" s="893">
        <f aca="true" t="shared" si="36" ref="D256:D266">G256+J256+P256+M256</f>
        <v>300</v>
      </c>
      <c r="E256" s="1690">
        <f t="shared" si="33"/>
        <v>200</v>
      </c>
      <c r="F256" s="1666">
        <f>E256/D256*100</f>
        <v>66.66666666666666</v>
      </c>
      <c r="G256" s="1689"/>
      <c r="H256" s="1690"/>
      <c r="I256" s="1746"/>
      <c r="J256" s="1745"/>
      <c r="K256" s="1690"/>
      <c r="L256" s="1746"/>
      <c r="M256" s="1690"/>
      <c r="N256" s="1690"/>
      <c r="O256" s="1747"/>
      <c r="P256" s="1790">
        <v>300</v>
      </c>
      <c r="Q256" s="1690">
        <v>200</v>
      </c>
      <c r="R256" s="1695">
        <f t="shared" si="35"/>
        <v>66.66666666666666</v>
      </c>
    </row>
    <row r="257" spans="1:18" s="1915" customFormat="1" ht="12" customHeight="1">
      <c r="A257" s="1916">
        <v>4170</v>
      </c>
      <c r="B257" s="1751" t="s">
        <v>169</v>
      </c>
      <c r="C257" s="1689"/>
      <c r="D257" s="893">
        <f t="shared" si="36"/>
        <v>12337</v>
      </c>
      <c r="E257" s="1690">
        <f t="shared" si="33"/>
        <v>12336</v>
      </c>
      <c r="F257" s="1666">
        <f>E257/D257*100</f>
        <v>99.99189430169409</v>
      </c>
      <c r="G257" s="1689"/>
      <c r="H257" s="1690"/>
      <c r="I257" s="1746"/>
      <c r="J257" s="1745"/>
      <c r="K257" s="1690"/>
      <c r="L257" s="1746"/>
      <c r="M257" s="1690"/>
      <c r="N257" s="1690"/>
      <c r="O257" s="1747"/>
      <c r="P257" s="1790">
        <f>11500+837</f>
        <v>12337</v>
      </c>
      <c r="Q257" s="1690">
        <v>12336</v>
      </c>
      <c r="R257" s="1695">
        <f t="shared" si="35"/>
        <v>99.99189430169409</v>
      </c>
    </row>
    <row r="258" spans="1:18" s="1915" customFormat="1" ht="25.5" customHeight="1">
      <c r="A258" s="1916">
        <v>4210</v>
      </c>
      <c r="B258" s="1751" t="s">
        <v>114</v>
      </c>
      <c r="C258" s="1689">
        <v>2600</v>
      </c>
      <c r="D258" s="893">
        <f t="shared" si="36"/>
        <v>2600</v>
      </c>
      <c r="E258" s="1690">
        <f t="shared" si="33"/>
        <v>2416</v>
      </c>
      <c r="F258" s="1666">
        <f t="shared" si="34"/>
        <v>92.92307692307692</v>
      </c>
      <c r="G258" s="1689"/>
      <c r="H258" s="1690"/>
      <c r="I258" s="1746"/>
      <c r="J258" s="1745"/>
      <c r="K258" s="1690"/>
      <c r="L258" s="1746"/>
      <c r="M258" s="1690"/>
      <c r="N258" s="1690"/>
      <c r="O258" s="1747"/>
      <c r="P258" s="1790">
        <v>2600</v>
      </c>
      <c r="Q258" s="1690">
        <v>2416</v>
      </c>
      <c r="R258" s="1695">
        <f t="shared" si="35"/>
        <v>92.92307692307692</v>
      </c>
    </row>
    <row r="259" spans="1:18" s="1915" customFormat="1" ht="16.5" customHeight="1">
      <c r="A259" s="1916">
        <v>4270</v>
      </c>
      <c r="B259" s="1751" t="s">
        <v>120</v>
      </c>
      <c r="C259" s="1689">
        <v>200</v>
      </c>
      <c r="D259" s="893">
        <f t="shared" si="36"/>
        <v>200</v>
      </c>
      <c r="E259" s="1690">
        <f t="shared" si="33"/>
        <v>0</v>
      </c>
      <c r="F259" s="1666">
        <f t="shared" si="34"/>
        <v>0</v>
      </c>
      <c r="G259" s="1689"/>
      <c r="H259" s="1690"/>
      <c r="I259" s="1746"/>
      <c r="J259" s="1745"/>
      <c r="K259" s="1690"/>
      <c r="L259" s="1746"/>
      <c r="M259" s="1690"/>
      <c r="N259" s="1690"/>
      <c r="O259" s="1747"/>
      <c r="P259" s="1790">
        <v>200</v>
      </c>
      <c r="Q259" s="1690"/>
      <c r="R259" s="1695"/>
    </row>
    <row r="260" spans="1:18" s="1915" customFormat="1" ht="24">
      <c r="A260" s="1916">
        <v>4300</v>
      </c>
      <c r="B260" s="1751" t="s">
        <v>244</v>
      </c>
      <c r="C260" s="1689">
        <v>9500</v>
      </c>
      <c r="D260" s="893">
        <f t="shared" si="36"/>
        <v>9500</v>
      </c>
      <c r="E260" s="1690">
        <f t="shared" si="33"/>
        <v>6966</v>
      </c>
      <c r="F260" s="1666">
        <f t="shared" si="34"/>
        <v>73.32631578947368</v>
      </c>
      <c r="G260" s="1689"/>
      <c r="H260" s="1690"/>
      <c r="I260" s="1746"/>
      <c r="J260" s="1745"/>
      <c r="K260" s="1690"/>
      <c r="L260" s="1746"/>
      <c r="M260" s="1690"/>
      <c r="N260" s="1690"/>
      <c r="O260" s="1669"/>
      <c r="P260" s="1790">
        <v>9500</v>
      </c>
      <c r="Q260" s="1690">
        <v>6966</v>
      </c>
      <c r="R260" s="1695">
        <f t="shared" si="35"/>
        <v>73.32631578947368</v>
      </c>
    </row>
    <row r="261" spans="1:18" s="1915" customFormat="1" ht="24">
      <c r="A261" s="1916">
        <v>4300</v>
      </c>
      <c r="B261" s="1751" t="s">
        <v>245</v>
      </c>
      <c r="C261" s="1689">
        <v>8500</v>
      </c>
      <c r="D261" s="893">
        <f t="shared" si="36"/>
        <v>8600</v>
      </c>
      <c r="E261" s="1690">
        <f t="shared" si="33"/>
        <v>8586</v>
      </c>
      <c r="F261" s="1666">
        <f t="shared" si="34"/>
        <v>99.83720930232558</v>
      </c>
      <c r="G261" s="1689"/>
      <c r="H261" s="1690"/>
      <c r="I261" s="1746"/>
      <c r="J261" s="1745"/>
      <c r="K261" s="1745"/>
      <c r="L261" s="1746"/>
      <c r="M261" s="1690">
        <f>8500+100</f>
        <v>8600</v>
      </c>
      <c r="N261" s="1690">
        <v>8586</v>
      </c>
      <c r="O261" s="1669">
        <f>N261/M261*100</f>
        <v>99.83720930232558</v>
      </c>
      <c r="P261" s="1884"/>
      <c r="Q261" s="1690"/>
      <c r="R261" s="1695"/>
    </row>
    <row r="262" spans="1:18" s="1915" customFormat="1" ht="14.25" customHeight="1">
      <c r="A262" s="1917">
        <v>4410</v>
      </c>
      <c r="B262" s="1799" t="s">
        <v>96</v>
      </c>
      <c r="C262" s="1800">
        <v>200</v>
      </c>
      <c r="D262" s="893">
        <f t="shared" si="36"/>
        <v>200</v>
      </c>
      <c r="E262" s="1690">
        <f>SUM(H262+K262+N262+Q262)</f>
        <v>54</v>
      </c>
      <c r="F262" s="1666">
        <f>E262/D262*100</f>
        <v>27</v>
      </c>
      <c r="G262" s="1800"/>
      <c r="H262" s="1791"/>
      <c r="I262" s="1857"/>
      <c r="J262" s="1801"/>
      <c r="K262" s="1801"/>
      <c r="L262" s="1857"/>
      <c r="M262" s="1791"/>
      <c r="N262" s="1791"/>
      <c r="O262" s="1720"/>
      <c r="P262" s="1918">
        <v>200</v>
      </c>
      <c r="Q262" s="1791">
        <v>54</v>
      </c>
      <c r="R262" s="1695">
        <f>Q262/P262*100</f>
        <v>27</v>
      </c>
    </row>
    <row r="263" spans="1:18" s="774" customFormat="1" ht="14.25" customHeight="1" hidden="1">
      <c r="A263" s="1919">
        <v>75056</v>
      </c>
      <c r="B263" s="1882" t="s">
        <v>246</v>
      </c>
      <c r="C263" s="886">
        <f>SUM(C266)</f>
        <v>0</v>
      </c>
      <c r="D263" s="908">
        <f t="shared" si="36"/>
        <v>0</v>
      </c>
      <c r="E263" s="908">
        <f>H263+K263+Q263+N263</f>
        <v>0</v>
      </c>
      <c r="F263" s="1681"/>
      <c r="G263" s="886"/>
      <c r="H263" s="908"/>
      <c r="I263" s="1700"/>
      <c r="J263" s="1816">
        <f>SUM(J264:J266)</f>
        <v>0</v>
      </c>
      <c r="K263" s="1816">
        <f>SUM(K264:K266)</f>
        <v>0</v>
      </c>
      <c r="L263" s="1776"/>
      <c r="M263" s="908"/>
      <c r="N263" s="908"/>
      <c r="O263" s="1817"/>
      <c r="P263" s="908"/>
      <c r="Q263" s="908"/>
      <c r="R263" s="1787"/>
    </row>
    <row r="264" spans="1:18" s="1922" customFormat="1" ht="24" customHeight="1" hidden="1">
      <c r="A264" s="1920">
        <v>3030</v>
      </c>
      <c r="B264" s="1847" t="s">
        <v>102</v>
      </c>
      <c r="C264" s="927"/>
      <c r="D264" s="932">
        <f t="shared" si="36"/>
        <v>0</v>
      </c>
      <c r="E264" s="932">
        <f>H264+K264+Q264+N264</f>
        <v>0</v>
      </c>
      <c r="F264" s="1691"/>
      <c r="G264" s="927"/>
      <c r="H264" s="932"/>
      <c r="I264" s="1710"/>
      <c r="J264" s="1848"/>
      <c r="K264" s="1848"/>
      <c r="L264" s="1710"/>
      <c r="M264" s="932"/>
      <c r="N264" s="932"/>
      <c r="O264" s="1850"/>
      <c r="P264" s="932"/>
      <c r="Q264" s="932"/>
      <c r="R264" s="1921"/>
    </row>
    <row r="265" spans="1:18" s="1922" customFormat="1" ht="24" customHeight="1" hidden="1">
      <c r="A265" s="1916">
        <v>4210</v>
      </c>
      <c r="B265" s="1751" t="s">
        <v>114</v>
      </c>
      <c r="C265" s="895"/>
      <c r="D265" s="893">
        <f t="shared" si="36"/>
        <v>0</v>
      </c>
      <c r="E265" s="893">
        <f>H265+K265+Q265+N265</f>
        <v>0</v>
      </c>
      <c r="F265" s="1666"/>
      <c r="G265" s="895"/>
      <c r="H265" s="893"/>
      <c r="I265" s="1669"/>
      <c r="J265" s="1820"/>
      <c r="K265" s="893"/>
      <c r="L265" s="1669"/>
      <c r="M265" s="893"/>
      <c r="N265" s="893"/>
      <c r="O265" s="1821"/>
      <c r="P265" s="893"/>
      <c r="Q265" s="893"/>
      <c r="R265" s="1879"/>
    </row>
    <row r="266" spans="1:18" s="1915" customFormat="1" ht="14.25" customHeight="1" hidden="1">
      <c r="A266" s="1917">
        <v>4300</v>
      </c>
      <c r="B266" s="1799" t="s">
        <v>122</v>
      </c>
      <c r="C266" s="1800">
        <v>0</v>
      </c>
      <c r="D266" s="925">
        <f t="shared" si="36"/>
        <v>0</v>
      </c>
      <c r="E266" s="925">
        <f>H266+K266+Q266+N266</f>
        <v>0</v>
      </c>
      <c r="F266" s="1719"/>
      <c r="G266" s="1800"/>
      <c r="H266" s="1791"/>
      <c r="I266" s="1739"/>
      <c r="J266" s="1801"/>
      <c r="K266" s="1791"/>
      <c r="L266" s="1739"/>
      <c r="M266" s="1791"/>
      <c r="N266" s="1791"/>
      <c r="O266" s="1804"/>
      <c r="P266" s="1791"/>
      <c r="Q266" s="1791"/>
      <c r="R266" s="1720"/>
    </row>
    <row r="267" spans="1:18" s="774" customFormat="1" ht="40.5" customHeight="1" hidden="1">
      <c r="A267" s="1923"/>
      <c r="B267" s="1859"/>
      <c r="C267" s="883"/>
      <c r="D267" s="908"/>
      <c r="E267" s="908"/>
      <c r="F267" s="1698"/>
      <c r="G267" s="883"/>
      <c r="H267" s="884"/>
      <c r="I267" s="1776"/>
      <c r="J267" s="1860"/>
      <c r="K267" s="884"/>
      <c r="L267" s="1887"/>
      <c r="M267" s="884"/>
      <c r="N267" s="884"/>
      <c r="O267" s="1861"/>
      <c r="P267" s="884"/>
      <c r="Q267" s="884"/>
      <c r="R267" s="1787"/>
    </row>
    <row r="268" spans="1:18" s="1915" customFormat="1" ht="23.25" customHeight="1" hidden="1">
      <c r="A268" s="1924"/>
      <c r="B268" s="1853"/>
      <c r="C268" s="1693"/>
      <c r="D268" s="932"/>
      <c r="E268" s="1707"/>
      <c r="F268" s="1691"/>
      <c r="G268" s="1693"/>
      <c r="H268" s="1925"/>
      <c r="I268" s="1710"/>
      <c r="J268" s="1854"/>
      <c r="K268" s="1707"/>
      <c r="L268" s="1710"/>
      <c r="M268" s="1707"/>
      <c r="N268" s="1707"/>
      <c r="O268" s="1855"/>
      <c r="P268" s="1707"/>
      <c r="Q268" s="1707"/>
      <c r="R268" s="1674"/>
    </row>
    <row r="269" spans="1:18" s="1915" customFormat="1" ht="21.75" customHeight="1" hidden="1">
      <c r="A269" s="1833"/>
      <c r="B269" s="1751"/>
      <c r="C269" s="1689"/>
      <c r="D269" s="893"/>
      <c r="E269" s="1690"/>
      <c r="F269" s="1666"/>
      <c r="G269" s="1689"/>
      <c r="H269" s="1690"/>
      <c r="I269" s="1669"/>
      <c r="J269" s="1745"/>
      <c r="K269" s="1690"/>
      <c r="L269" s="1669"/>
      <c r="M269" s="1690"/>
      <c r="N269" s="1690"/>
      <c r="O269" s="1747"/>
      <c r="P269" s="1690"/>
      <c r="Q269" s="1690"/>
      <c r="R269" s="1695"/>
    </row>
    <row r="270" spans="1:18" s="1915" customFormat="1" ht="24.75" customHeight="1" hidden="1">
      <c r="A270" s="1743"/>
      <c r="B270" s="1751"/>
      <c r="C270" s="1689"/>
      <c r="D270" s="893"/>
      <c r="E270" s="1690"/>
      <c r="F270" s="1666"/>
      <c r="G270" s="1689"/>
      <c r="H270" s="1690"/>
      <c r="I270" s="1669"/>
      <c r="J270" s="1745"/>
      <c r="K270" s="1690"/>
      <c r="L270" s="1669"/>
      <c r="M270" s="1690"/>
      <c r="N270" s="1690"/>
      <c r="O270" s="1747"/>
      <c r="P270" s="1690"/>
      <c r="Q270" s="1690"/>
      <c r="R270" s="1695"/>
    </row>
    <row r="271" spans="1:18" s="1915" customFormat="1" ht="23.25" customHeight="1" hidden="1">
      <c r="A271" s="1743"/>
      <c r="B271" s="1751"/>
      <c r="C271" s="1689"/>
      <c r="D271" s="893"/>
      <c r="E271" s="1690"/>
      <c r="F271" s="1666"/>
      <c r="G271" s="1689"/>
      <c r="H271" s="1690"/>
      <c r="I271" s="1669"/>
      <c r="J271" s="1745"/>
      <c r="K271" s="1690"/>
      <c r="L271" s="1669"/>
      <c r="M271" s="1690"/>
      <c r="N271" s="1690"/>
      <c r="O271" s="1747"/>
      <c r="P271" s="1690"/>
      <c r="Q271" s="1690"/>
      <c r="R271" s="1695"/>
    </row>
    <row r="272" spans="1:18" s="1915" customFormat="1" ht="15.75" customHeight="1" hidden="1">
      <c r="A272" s="1743"/>
      <c r="B272" s="1751"/>
      <c r="C272" s="1689"/>
      <c r="D272" s="893"/>
      <c r="E272" s="1690"/>
      <c r="F272" s="1666"/>
      <c r="G272" s="1689"/>
      <c r="H272" s="1690"/>
      <c r="I272" s="1669"/>
      <c r="J272" s="1745"/>
      <c r="K272" s="1690"/>
      <c r="L272" s="1669"/>
      <c r="M272" s="1690"/>
      <c r="N272" s="1690"/>
      <c r="O272" s="1747"/>
      <c r="P272" s="1690"/>
      <c r="Q272" s="1690"/>
      <c r="R272" s="1695"/>
    </row>
    <row r="273" spans="1:18" s="1915" customFormat="1" ht="18" customHeight="1" hidden="1">
      <c r="A273" s="1743"/>
      <c r="B273" s="1751"/>
      <c r="C273" s="1689"/>
      <c r="D273" s="893"/>
      <c r="E273" s="1690"/>
      <c r="F273" s="1666"/>
      <c r="G273" s="1689"/>
      <c r="H273" s="1690"/>
      <c r="I273" s="1669"/>
      <c r="J273" s="1745"/>
      <c r="K273" s="1690"/>
      <c r="L273" s="1669"/>
      <c r="M273" s="1690"/>
      <c r="N273" s="1690"/>
      <c r="O273" s="1747"/>
      <c r="P273" s="1690"/>
      <c r="Q273" s="1690"/>
      <c r="R273" s="1695"/>
    </row>
    <row r="274" spans="1:18" s="1915" customFormat="1" ht="18" customHeight="1" hidden="1">
      <c r="A274" s="1743"/>
      <c r="B274" s="1751"/>
      <c r="C274" s="1800"/>
      <c r="D274" s="893"/>
      <c r="E274" s="1690"/>
      <c r="F274" s="1666"/>
      <c r="G274" s="1800"/>
      <c r="H274" s="1791"/>
      <c r="I274" s="1669"/>
      <c r="J274" s="1801"/>
      <c r="K274" s="1791"/>
      <c r="L274" s="1739"/>
      <c r="M274" s="1791"/>
      <c r="N274" s="1791"/>
      <c r="O274" s="1804"/>
      <c r="P274" s="1791"/>
      <c r="Q274" s="1791"/>
      <c r="R274" s="1720"/>
    </row>
    <row r="275" spans="1:18" ht="12.75" customHeight="1">
      <c r="A275" s="1736">
        <v>75095</v>
      </c>
      <c r="B275" s="1835" t="s">
        <v>247</v>
      </c>
      <c r="C275" s="1738">
        <f>SUM(C276:C284)</f>
        <v>108746</v>
      </c>
      <c r="D275" s="908">
        <f aca="true" t="shared" si="37" ref="D275:E305">G275+J275+P275+M275</f>
        <v>117176</v>
      </c>
      <c r="E275" s="1680">
        <f>SUM(E276:E284)</f>
        <v>40973</v>
      </c>
      <c r="F275" s="1681">
        <f t="shared" si="34"/>
        <v>34.967058100634944</v>
      </c>
      <c r="G275" s="1738">
        <f>SUM(G276:G284)</f>
        <v>117176</v>
      </c>
      <c r="H275" s="1680">
        <f>SUM(H276:H284)</f>
        <v>40973</v>
      </c>
      <c r="I275" s="1776">
        <f aca="true" t="shared" si="38" ref="I275:I304">H275/G275*100</f>
        <v>34.967058100634944</v>
      </c>
      <c r="J275" s="1740"/>
      <c r="K275" s="1680"/>
      <c r="L275" s="1741"/>
      <c r="M275" s="1680"/>
      <c r="N275" s="1680"/>
      <c r="O275" s="1742"/>
      <c r="P275" s="1680"/>
      <c r="Q275" s="1680"/>
      <c r="R275" s="1688"/>
    </row>
    <row r="276" spans="1:18" ht="36" hidden="1">
      <c r="A276" s="1743">
        <v>3020</v>
      </c>
      <c r="B276" s="1751" t="s">
        <v>164</v>
      </c>
      <c r="C276" s="1689"/>
      <c r="D276" s="893">
        <f t="shared" si="37"/>
        <v>0</v>
      </c>
      <c r="E276" s="1690">
        <f aca="true" t="shared" si="39" ref="E276:E282">SUM(H276+K276+N276+Q276)</f>
        <v>0</v>
      </c>
      <c r="F276" s="1666" t="e">
        <f t="shared" si="34"/>
        <v>#DIV/0!</v>
      </c>
      <c r="G276" s="1693"/>
      <c r="H276" s="1707"/>
      <c r="I276" s="1669" t="e">
        <f t="shared" si="38"/>
        <v>#DIV/0!</v>
      </c>
      <c r="J276" s="1745"/>
      <c r="K276" s="1690"/>
      <c r="L276" s="1746"/>
      <c r="M276" s="1690"/>
      <c r="N276" s="1690"/>
      <c r="O276" s="1747"/>
      <c r="P276" s="1690"/>
      <c r="Q276" s="1690"/>
      <c r="R276" s="1754"/>
    </row>
    <row r="277" spans="1:18" ht="24">
      <c r="A277" s="1743">
        <v>4110</v>
      </c>
      <c r="B277" s="1751" t="s">
        <v>110</v>
      </c>
      <c r="C277" s="1689">
        <v>1200</v>
      </c>
      <c r="D277" s="893">
        <f t="shared" si="37"/>
        <v>2150</v>
      </c>
      <c r="E277" s="1690">
        <f t="shared" si="39"/>
        <v>574</v>
      </c>
      <c r="F277" s="1666">
        <f t="shared" si="34"/>
        <v>26.69767441860465</v>
      </c>
      <c r="G277" s="1689">
        <f>1820+330</f>
        <v>2150</v>
      </c>
      <c r="H277" s="1690">
        <v>574</v>
      </c>
      <c r="I277" s="1669">
        <f t="shared" si="38"/>
        <v>26.69767441860465</v>
      </c>
      <c r="J277" s="1745"/>
      <c r="K277" s="1690"/>
      <c r="L277" s="1746"/>
      <c r="M277" s="1690"/>
      <c r="N277" s="1690"/>
      <c r="O277" s="1747"/>
      <c r="P277" s="1690"/>
      <c r="Q277" s="1690"/>
      <c r="R277" s="1754"/>
    </row>
    <row r="278" spans="1:18" ht="24">
      <c r="A278" s="1743">
        <v>4170</v>
      </c>
      <c r="B278" s="1751" t="s">
        <v>169</v>
      </c>
      <c r="C278" s="1689"/>
      <c r="D278" s="893">
        <f t="shared" si="37"/>
        <v>30990</v>
      </c>
      <c r="E278" s="1690">
        <f t="shared" si="39"/>
        <v>11527</v>
      </c>
      <c r="F278" s="1666">
        <f t="shared" si="34"/>
        <v>37.19586963536624</v>
      </c>
      <c r="G278" s="1689">
        <f>28990+2000</f>
        <v>30990</v>
      </c>
      <c r="H278" s="1690">
        <v>11527</v>
      </c>
      <c r="I278" s="1669">
        <f t="shared" si="38"/>
        <v>37.19586963536624</v>
      </c>
      <c r="J278" s="1745"/>
      <c r="K278" s="1690"/>
      <c r="L278" s="1746"/>
      <c r="M278" s="1690"/>
      <c r="N278" s="1690"/>
      <c r="O278" s="1747"/>
      <c r="P278" s="1690"/>
      <c r="Q278" s="1690"/>
      <c r="R278" s="1754"/>
    </row>
    <row r="279" spans="1:18" ht="24">
      <c r="A279" s="1743">
        <v>4210</v>
      </c>
      <c r="B279" s="1751" t="s">
        <v>114</v>
      </c>
      <c r="C279" s="1689">
        <v>16005</v>
      </c>
      <c r="D279" s="893">
        <f t="shared" si="37"/>
        <v>16530</v>
      </c>
      <c r="E279" s="1690">
        <f t="shared" si="39"/>
        <v>5234</v>
      </c>
      <c r="F279" s="1666">
        <f t="shared" si="34"/>
        <v>31.663641863278887</v>
      </c>
      <c r="G279" s="1689">
        <f>15610-180+900+200</f>
        <v>16530</v>
      </c>
      <c r="H279" s="1690">
        <v>5234</v>
      </c>
      <c r="I279" s="1669">
        <f t="shared" si="38"/>
        <v>31.663641863278887</v>
      </c>
      <c r="J279" s="1745"/>
      <c r="K279" s="1690"/>
      <c r="L279" s="1746"/>
      <c r="M279" s="1690"/>
      <c r="N279" s="1690"/>
      <c r="O279" s="1747"/>
      <c r="P279" s="1690"/>
      <c r="Q279" s="1690"/>
      <c r="R279" s="1754"/>
    </row>
    <row r="280" spans="1:18" ht="12.75">
      <c r="A280" s="1743">
        <v>4260</v>
      </c>
      <c r="B280" s="1751" t="s">
        <v>118</v>
      </c>
      <c r="C280" s="1689">
        <v>3800</v>
      </c>
      <c r="D280" s="893">
        <f t="shared" si="37"/>
        <v>13800</v>
      </c>
      <c r="E280" s="1690">
        <f t="shared" si="39"/>
        <v>2893</v>
      </c>
      <c r="F280" s="1666">
        <f t="shared" si="34"/>
        <v>20.96376811594203</v>
      </c>
      <c r="G280" s="1689">
        <f>3800+10000</f>
        <v>13800</v>
      </c>
      <c r="H280" s="1690">
        <v>2893</v>
      </c>
      <c r="I280" s="1669">
        <f t="shared" si="38"/>
        <v>20.96376811594203</v>
      </c>
      <c r="J280" s="1745"/>
      <c r="K280" s="1690"/>
      <c r="L280" s="1746"/>
      <c r="M280" s="1690"/>
      <c r="N280" s="1690"/>
      <c r="O280" s="1747"/>
      <c r="P280" s="1690"/>
      <c r="Q280" s="1690"/>
      <c r="R280" s="1754"/>
    </row>
    <row r="281" spans="1:18" ht="12.75" hidden="1">
      <c r="A281" s="1743">
        <v>4270</v>
      </c>
      <c r="B281" s="1751" t="s">
        <v>120</v>
      </c>
      <c r="C281" s="1689"/>
      <c r="D281" s="893">
        <f t="shared" si="37"/>
        <v>0</v>
      </c>
      <c r="E281" s="1690">
        <f t="shared" si="39"/>
        <v>0</v>
      </c>
      <c r="F281" s="1666" t="e">
        <f t="shared" si="34"/>
        <v>#DIV/0!</v>
      </c>
      <c r="G281" s="1689"/>
      <c r="H281" s="1690"/>
      <c r="I281" s="1669" t="e">
        <f t="shared" si="38"/>
        <v>#DIV/0!</v>
      </c>
      <c r="J281" s="1745"/>
      <c r="K281" s="1690"/>
      <c r="L281" s="1746"/>
      <c r="M281" s="1690"/>
      <c r="N281" s="1690"/>
      <c r="O281" s="1747"/>
      <c r="P281" s="1690"/>
      <c r="Q281" s="1690"/>
      <c r="R281" s="1754"/>
    </row>
    <row r="282" spans="1:18" ht="12.75">
      <c r="A282" s="1743">
        <v>4300</v>
      </c>
      <c r="B282" s="1751" t="s">
        <v>248</v>
      </c>
      <c r="C282" s="1689">
        <v>40485</v>
      </c>
      <c r="D282" s="893">
        <f t="shared" si="37"/>
        <v>16450</v>
      </c>
      <c r="E282" s="1690">
        <f t="shared" si="39"/>
        <v>4675</v>
      </c>
      <c r="F282" s="1666">
        <f t="shared" si="34"/>
        <v>28.419452887537993</v>
      </c>
      <c r="G282" s="1689">
        <f>11270+180+5000</f>
        <v>16450</v>
      </c>
      <c r="H282" s="1690">
        <v>4675</v>
      </c>
      <c r="I282" s="1669">
        <f t="shared" si="38"/>
        <v>28.419452887537993</v>
      </c>
      <c r="J282" s="1745"/>
      <c r="K282" s="1690"/>
      <c r="L282" s="1746"/>
      <c r="M282" s="1690"/>
      <c r="N282" s="1690"/>
      <c r="O282" s="1747"/>
      <c r="P282" s="1690"/>
      <c r="Q282" s="1690"/>
      <c r="R282" s="1754"/>
    </row>
    <row r="283" spans="1:18" ht="24">
      <c r="A283" s="1743">
        <v>4300</v>
      </c>
      <c r="B283" s="1751" t="s">
        <v>249</v>
      </c>
      <c r="C283" s="1689">
        <v>47256</v>
      </c>
      <c r="D283" s="893">
        <f t="shared" si="37"/>
        <v>37256</v>
      </c>
      <c r="E283" s="1690">
        <f>SUM(H283+K283+N283+Q283)</f>
        <v>16070</v>
      </c>
      <c r="F283" s="1666">
        <f t="shared" si="34"/>
        <v>43.1339918402405</v>
      </c>
      <c r="G283" s="1689">
        <f>47256-10000</f>
        <v>37256</v>
      </c>
      <c r="H283" s="893">
        <v>16070</v>
      </c>
      <c r="I283" s="1669">
        <f t="shared" si="38"/>
        <v>43.1339918402405</v>
      </c>
      <c r="J283" s="1745"/>
      <c r="K283" s="1690"/>
      <c r="L283" s="1746"/>
      <c r="M283" s="1690"/>
      <c r="N283" s="1690"/>
      <c r="O283" s="1747"/>
      <c r="P283" s="1690"/>
      <c r="Q283" s="1690"/>
      <c r="R283" s="1754"/>
    </row>
    <row r="284" spans="1:18" ht="12.75" hidden="1">
      <c r="A284" s="1798">
        <v>4410</v>
      </c>
      <c r="B284" s="1799" t="s">
        <v>96</v>
      </c>
      <c r="C284" s="1800"/>
      <c r="D284" s="925">
        <f t="shared" si="37"/>
        <v>0</v>
      </c>
      <c r="E284" s="1791">
        <f>SUM(H284+K284+N284+Q284)</f>
        <v>0</v>
      </c>
      <c r="F284" s="1719" t="e">
        <f t="shared" si="34"/>
        <v>#DIV/0!</v>
      </c>
      <c r="G284" s="1800"/>
      <c r="H284" s="1791"/>
      <c r="I284" s="1739" t="e">
        <f t="shared" si="38"/>
        <v>#DIV/0!</v>
      </c>
      <c r="J284" s="1801"/>
      <c r="K284" s="1791"/>
      <c r="L284" s="1857"/>
      <c r="M284" s="1791"/>
      <c r="N284" s="1791"/>
      <c r="O284" s="1804"/>
      <c r="P284" s="1791"/>
      <c r="Q284" s="1791"/>
      <c r="R284" s="1845"/>
    </row>
    <row r="285" spans="1:18" ht="12.75" customHeight="1">
      <c r="A285" s="1736">
        <v>75095</v>
      </c>
      <c r="B285" s="1835" t="s">
        <v>829</v>
      </c>
      <c r="C285" s="1738">
        <f>SUM(C286:C302)</f>
        <v>1216400</v>
      </c>
      <c r="D285" s="908">
        <f t="shared" si="37"/>
        <v>1407007</v>
      </c>
      <c r="E285" s="908">
        <f>H285+K285+Q285+N285</f>
        <v>762193</v>
      </c>
      <c r="F285" s="1681">
        <f t="shared" si="34"/>
        <v>54.171230136026324</v>
      </c>
      <c r="G285" s="886">
        <f>SUM(G286:G302)</f>
        <v>1407007</v>
      </c>
      <c r="H285" s="908">
        <f>SUM(H286:H302)</f>
        <v>762193</v>
      </c>
      <c r="I285" s="1776">
        <f t="shared" si="38"/>
        <v>54.171230136026324</v>
      </c>
      <c r="J285" s="1740"/>
      <c r="K285" s="1680"/>
      <c r="L285" s="1741"/>
      <c r="M285" s="1680"/>
      <c r="N285" s="1680"/>
      <c r="O285" s="1742"/>
      <c r="P285" s="1680"/>
      <c r="Q285" s="1680"/>
      <c r="R285" s="1782"/>
    </row>
    <row r="286" spans="1:18" ht="36">
      <c r="A286" s="1743">
        <v>3020</v>
      </c>
      <c r="B286" s="1751" t="s">
        <v>250</v>
      </c>
      <c r="C286" s="1689">
        <v>2500</v>
      </c>
      <c r="D286" s="893">
        <f t="shared" si="37"/>
        <v>0</v>
      </c>
      <c r="E286" s="1690">
        <f aca="true" t="shared" si="40" ref="E286:E304">SUM(H286+K286+N286+Q286)</f>
        <v>0</v>
      </c>
      <c r="F286" s="1666"/>
      <c r="G286" s="1689"/>
      <c r="H286" s="893"/>
      <c r="I286" s="1669"/>
      <c r="J286" s="1745"/>
      <c r="K286" s="1690"/>
      <c r="L286" s="1746"/>
      <c r="M286" s="1690"/>
      <c r="N286" s="1690"/>
      <c r="O286" s="1747"/>
      <c r="P286" s="1690"/>
      <c r="Q286" s="1690"/>
      <c r="R286" s="1754"/>
    </row>
    <row r="287" spans="1:18" ht="36">
      <c r="A287" s="1743">
        <v>3040</v>
      </c>
      <c r="B287" s="1751" t="s">
        <v>251</v>
      </c>
      <c r="C287" s="1689"/>
      <c r="D287" s="893">
        <f t="shared" si="37"/>
        <v>2500</v>
      </c>
      <c r="E287" s="1690">
        <f t="shared" si="40"/>
        <v>1235</v>
      </c>
      <c r="F287" s="1666">
        <f t="shared" si="34"/>
        <v>49.4</v>
      </c>
      <c r="G287" s="1689">
        <v>2500</v>
      </c>
      <c r="H287" s="893">
        <v>1235</v>
      </c>
      <c r="I287" s="1669">
        <f t="shared" si="38"/>
        <v>49.4</v>
      </c>
      <c r="J287" s="1745"/>
      <c r="K287" s="1690"/>
      <c r="L287" s="1746"/>
      <c r="M287" s="1690"/>
      <c r="N287" s="1690"/>
      <c r="O287" s="1747"/>
      <c r="P287" s="1690"/>
      <c r="Q287" s="1690"/>
      <c r="R287" s="1754"/>
    </row>
    <row r="288" spans="1:18" ht="36">
      <c r="A288" s="1743">
        <v>3040</v>
      </c>
      <c r="B288" s="1751" t="s">
        <v>252</v>
      </c>
      <c r="C288" s="1689"/>
      <c r="D288" s="893">
        <f t="shared" si="37"/>
        <v>1500</v>
      </c>
      <c r="E288" s="1690">
        <f t="shared" si="40"/>
        <v>1500</v>
      </c>
      <c r="F288" s="1666">
        <f t="shared" si="34"/>
        <v>100</v>
      </c>
      <c r="G288" s="1689">
        <v>1500</v>
      </c>
      <c r="H288" s="893">
        <f>1400+100</f>
        <v>1500</v>
      </c>
      <c r="I288" s="1669">
        <f t="shared" si="38"/>
        <v>100</v>
      </c>
      <c r="J288" s="1745"/>
      <c r="K288" s="1690"/>
      <c r="L288" s="1746"/>
      <c r="M288" s="1690"/>
      <c r="N288" s="1690"/>
      <c r="O288" s="1747"/>
      <c r="P288" s="1690"/>
      <c r="Q288" s="1690"/>
      <c r="R288" s="1754"/>
    </row>
    <row r="289" spans="1:18" ht="24">
      <c r="A289" s="1743">
        <v>4110</v>
      </c>
      <c r="B289" s="1751" t="s">
        <v>253</v>
      </c>
      <c r="C289" s="1689">
        <v>1000</v>
      </c>
      <c r="D289" s="893">
        <f t="shared" si="37"/>
        <v>1000</v>
      </c>
      <c r="E289" s="1690">
        <f t="shared" si="40"/>
        <v>0</v>
      </c>
      <c r="F289" s="1666">
        <f t="shared" si="34"/>
        <v>0</v>
      </c>
      <c r="G289" s="1689">
        <v>1000</v>
      </c>
      <c r="H289" s="893"/>
      <c r="I289" s="1669">
        <f t="shared" si="38"/>
        <v>0</v>
      </c>
      <c r="J289" s="1745"/>
      <c r="K289" s="1690"/>
      <c r="L289" s="1746"/>
      <c r="M289" s="1690"/>
      <c r="N289" s="1690"/>
      <c r="O289" s="1747"/>
      <c r="P289" s="1690"/>
      <c r="Q289" s="1690"/>
      <c r="R289" s="1754"/>
    </row>
    <row r="290" spans="1:18" ht="12.75">
      <c r="A290" s="1743">
        <v>4120</v>
      </c>
      <c r="B290" s="1751" t="s">
        <v>254</v>
      </c>
      <c r="C290" s="1689">
        <v>1000</v>
      </c>
      <c r="D290" s="893">
        <f t="shared" si="37"/>
        <v>1000</v>
      </c>
      <c r="E290" s="1690">
        <f t="shared" si="40"/>
        <v>0</v>
      </c>
      <c r="F290" s="1666">
        <f t="shared" si="34"/>
        <v>0</v>
      </c>
      <c r="G290" s="1689">
        <v>1000</v>
      </c>
      <c r="H290" s="893"/>
      <c r="I290" s="1669">
        <f t="shared" si="38"/>
        <v>0</v>
      </c>
      <c r="J290" s="1745"/>
      <c r="K290" s="1690"/>
      <c r="L290" s="1746"/>
      <c r="M290" s="1690"/>
      <c r="N290" s="1690"/>
      <c r="O290" s="1747"/>
      <c r="P290" s="1690"/>
      <c r="Q290" s="1690"/>
      <c r="R290" s="1754"/>
    </row>
    <row r="291" spans="1:18" ht="24">
      <c r="A291" s="1743">
        <v>4170</v>
      </c>
      <c r="B291" s="1751" t="s">
        <v>255</v>
      </c>
      <c r="C291" s="1689"/>
      <c r="D291" s="893">
        <f t="shared" si="37"/>
        <v>3000</v>
      </c>
      <c r="E291" s="1690">
        <f t="shared" si="40"/>
        <v>0</v>
      </c>
      <c r="F291" s="1666">
        <f t="shared" si="34"/>
        <v>0</v>
      </c>
      <c r="G291" s="1689">
        <v>3000</v>
      </c>
      <c r="H291" s="893"/>
      <c r="I291" s="1669">
        <f t="shared" si="38"/>
        <v>0</v>
      </c>
      <c r="J291" s="1745"/>
      <c r="K291" s="1690"/>
      <c r="L291" s="1746"/>
      <c r="M291" s="1690"/>
      <c r="N291" s="1690"/>
      <c r="O291" s="1747"/>
      <c r="P291" s="1690"/>
      <c r="Q291" s="1690"/>
      <c r="R291" s="1754"/>
    </row>
    <row r="292" spans="1:18" ht="24">
      <c r="A292" s="1743">
        <v>4210</v>
      </c>
      <c r="B292" s="1751" t="s">
        <v>256</v>
      </c>
      <c r="C292" s="1689">
        <v>81000</v>
      </c>
      <c r="D292" s="893">
        <f t="shared" si="37"/>
        <v>79500</v>
      </c>
      <c r="E292" s="1690">
        <f t="shared" si="40"/>
        <v>26038</v>
      </c>
      <c r="F292" s="1666">
        <f t="shared" si="34"/>
        <v>32.752201257861635</v>
      </c>
      <c r="G292" s="1689">
        <f>81000-1500</f>
        <v>79500</v>
      </c>
      <c r="H292" s="893">
        <v>26038</v>
      </c>
      <c r="I292" s="1669">
        <f t="shared" si="38"/>
        <v>32.752201257861635</v>
      </c>
      <c r="J292" s="1745"/>
      <c r="K292" s="1690"/>
      <c r="L292" s="1746"/>
      <c r="M292" s="1690"/>
      <c r="N292" s="1690"/>
      <c r="O292" s="1747"/>
      <c r="P292" s="1690"/>
      <c r="Q292" s="1690"/>
      <c r="R292" s="1754"/>
    </row>
    <row r="293" spans="1:18" ht="24">
      <c r="A293" s="1743">
        <v>4210</v>
      </c>
      <c r="B293" s="1751" t="s">
        <v>257</v>
      </c>
      <c r="C293" s="1689">
        <v>6000</v>
      </c>
      <c r="D293" s="893">
        <f t="shared" si="37"/>
        <v>8352</v>
      </c>
      <c r="E293" s="1690">
        <f t="shared" si="40"/>
        <v>4268</v>
      </c>
      <c r="F293" s="1666">
        <f t="shared" si="34"/>
        <v>51.101532567049816</v>
      </c>
      <c r="G293" s="1689">
        <f>6000+1000+1352</f>
        <v>8352</v>
      </c>
      <c r="H293" s="893">
        <f>4269-1</f>
        <v>4268</v>
      </c>
      <c r="I293" s="1669">
        <f t="shared" si="38"/>
        <v>51.101532567049816</v>
      </c>
      <c r="J293" s="1745"/>
      <c r="K293" s="1690"/>
      <c r="L293" s="1746"/>
      <c r="M293" s="1690"/>
      <c r="N293" s="1690"/>
      <c r="O293" s="1747"/>
      <c r="P293" s="1690"/>
      <c r="Q293" s="1690"/>
      <c r="R293" s="1754"/>
    </row>
    <row r="294" spans="1:18" ht="24">
      <c r="A294" s="1743">
        <v>4300</v>
      </c>
      <c r="B294" s="1751" t="s">
        <v>258</v>
      </c>
      <c r="C294" s="1689">
        <v>200000</v>
      </c>
      <c r="D294" s="893">
        <f t="shared" si="37"/>
        <v>216648</v>
      </c>
      <c r="E294" s="1690">
        <f>SUM(H294+K294+N294+Q294)</f>
        <v>97029</v>
      </c>
      <c r="F294" s="1666">
        <f t="shared" si="34"/>
        <v>44.78647391159854</v>
      </c>
      <c r="G294" s="1689">
        <f>197000-1000-1352+22000</f>
        <v>216648</v>
      </c>
      <c r="H294" s="893">
        <f>97028+1</f>
        <v>97029</v>
      </c>
      <c r="I294" s="1669">
        <f t="shared" si="38"/>
        <v>44.78647391159854</v>
      </c>
      <c r="J294" s="1745"/>
      <c r="K294" s="1690"/>
      <c r="L294" s="1746"/>
      <c r="M294" s="1690"/>
      <c r="N294" s="1690"/>
      <c r="O294" s="1747"/>
      <c r="P294" s="1690"/>
      <c r="Q294" s="1690"/>
      <c r="R294" s="1754"/>
    </row>
    <row r="295" spans="1:18" ht="24">
      <c r="A295" s="1743">
        <v>4300</v>
      </c>
      <c r="B295" s="1751" t="s">
        <v>259</v>
      </c>
      <c r="C295" s="1689">
        <v>250000</v>
      </c>
      <c r="D295" s="893">
        <f t="shared" si="37"/>
        <v>264607</v>
      </c>
      <c r="E295" s="1690">
        <f>SUM(H295+K295+N295+Q295)</f>
        <v>193801</v>
      </c>
      <c r="F295" s="1666">
        <f t="shared" si="34"/>
        <v>73.2410707199734</v>
      </c>
      <c r="G295" s="1689">
        <f>241000+23607</f>
        <v>264607</v>
      </c>
      <c r="H295" s="893">
        <v>193801</v>
      </c>
      <c r="I295" s="1669">
        <f t="shared" si="38"/>
        <v>73.2410707199734</v>
      </c>
      <c r="J295" s="1745"/>
      <c r="K295" s="1690"/>
      <c r="L295" s="1746"/>
      <c r="M295" s="1690"/>
      <c r="N295" s="1690"/>
      <c r="O295" s="1747"/>
      <c r="P295" s="1690"/>
      <c r="Q295" s="1690"/>
      <c r="R295" s="1754"/>
    </row>
    <row r="296" spans="1:18" ht="26.25" customHeight="1" hidden="1">
      <c r="A296" s="1743">
        <v>4300</v>
      </c>
      <c r="B296" s="1751" t="s">
        <v>260</v>
      </c>
      <c r="C296" s="1689"/>
      <c r="D296" s="893">
        <f t="shared" si="37"/>
        <v>0</v>
      </c>
      <c r="E296" s="893">
        <f>H296+K296+Q296+N296</f>
        <v>0</v>
      </c>
      <c r="F296" s="1666" t="e">
        <f>E296/D296*100</f>
        <v>#DIV/0!</v>
      </c>
      <c r="G296" s="1689"/>
      <c r="H296" s="893"/>
      <c r="I296" s="1669" t="e">
        <f t="shared" si="38"/>
        <v>#DIV/0!</v>
      </c>
      <c r="J296" s="1745"/>
      <c r="K296" s="1690"/>
      <c r="L296" s="1746"/>
      <c r="M296" s="1690"/>
      <c r="N296" s="1690"/>
      <c r="O296" s="1747"/>
      <c r="P296" s="1690"/>
      <c r="Q296" s="1690"/>
      <c r="R296" s="1754"/>
    </row>
    <row r="297" spans="1:18" ht="30.75" customHeight="1" hidden="1">
      <c r="A297" s="1743">
        <v>4300</v>
      </c>
      <c r="B297" s="1751" t="s">
        <v>261</v>
      </c>
      <c r="C297" s="1689"/>
      <c r="D297" s="893">
        <f t="shared" si="37"/>
        <v>0</v>
      </c>
      <c r="E297" s="1690">
        <f t="shared" si="40"/>
        <v>0</v>
      </c>
      <c r="F297" s="1666" t="e">
        <f>E297/D297*100</f>
        <v>#DIV/0!</v>
      </c>
      <c r="G297" s="1689"/>
      <c r="H297" s="893"/>
      <c r="I297" s="1669" t="e">
        <f t="shared" si="38"/>
        <v>#DIV/0!</v>
      </c>
      <c r="J297" s="1745"/>
      <c r="K297" s="1690"/>
      <c r="L297" s="1746"/>
      <c r="M297" s="1690"/>
      <c r="N297" s="1690"/>
      <c r="O297" s="1747"/>
      <c r="P297" s="1690"/>
      <c r="Q297" s="1690"/>
      <c r="R297" s="1754"/>
    </row>
    <row r="298" spans="1:18" ht="39.75" customHeight="1" hidden="1">
      <c r="A298" s="1743">
        <v>4300</v>
      </c>
      <c r="B298" s="1751" t="s">
        <v>262</v>
      </c>
      <c r="C298" s="1689"/>
      <c r="D298" s="893">
        <f t="shared" si="37"/>
        <v>0</v>
      </c>
      <c r="E298" s="1690">
        <f t="shared" si="40"/>
        <v>0</v>
      </c>
      <c r="F298" s="1666"/>
      <c r="G298" s="1689">
        <f>275600-275600</f>
        <v>0</v>
      </c>
      <c r="H298" s="893"/>
      <c r="I298" s="1669"/>
      <c r="J298" s="1745"/>
      <c r="K298" s="1690"/>
      <c r="L298" s="1746"/>
      <c r="M298" s="1690"/>
      <c r="N298" s="1690"/>
      <c r="O298" s="1747"/>
      <c r="P298" s="1690"/>
      <c r="Q298" s="1690"/>
      <c r="R298" s="1754"/>
    </row>
    <row r="299" spans="1:18" ht="26.25" customHeight="1">
      <c r="A299" s="1743">
        <v>4350</v>
      </c>
      <c r="B299" s="1751" t="s">
        <v>263</v>
      </c>
      <c r="C299" s="1689"/>
      <c r="D299" s="893">
        <f t="shared" si="37"/>
        <v>9000</v>
      </c>
      <c r="E299" s="1690">
        <f t="shared" si="40"/>
        <v>4974</v>
      </c>
      <c r="F299" s="1666">
        <f aca="true" t="shared" si="41" ref="F299:F318">E299/D299*100</f>
        <v>55.266666666666666</v>
      </c>
      <c r="G299" s="1689">
        <v>9000</v>
      </c>
      <c r="H299" s="893">
        <v>4974</v>
      </c>
      <c r="I299" s="1669">
        <f t="shared" si="38"/>
        <v>55.266666666666666</v>
      </c>
      <c r="J299" s="1745"/>
      <c r="K299" s="1690"/>
      <c r="L299" s="1746"/>
      <c r="M299" s="1690"/>
      <c r="N299" s="1690"/>
      <c r="O299" s="1747"/>
      <c r="P299" s="1690"/>
      <c r="Q299" s="1690"/>
      <c r="R299" s="1754"/>
    </row>
    <row r="300" spans="1:18" ht="27.75" customHeight="1">
      <c r="A300" s="1743">
        <v>4430</v>
      </c>
      <c r="B300" s="1751" t="s">
        <v>264</v>
      </c>
      <c r="C300" s="1689">
        <v>220000</v>
      </c>
      <c r="D300" s="893">
        <f t="shared" si="37"/>
        <v>365000</v>
      </c>
      <c r="E300" s="1690">
        <f t="shared" si="40"/>
        <v>193348</v>
      </c>
      <c r="F300" s="1666">
        <f t="shared" si="41"/>
        <v>52.97205479452055</v>
      </c>
      <c r="G300" s="1689">
        <f>220000+145000</f>
        <v>365000</v>
      </c>
      <c r="H300" s="893">
        <v>193348</v>
      </c>
      <c r="I300" s="1669">
        <f>H300/G300*100</f>
        <v>52.97205479452055</v>
      </c>
      <c r="J300" s="1745"/>
      <c r="K300" s="1690"/>
      <c r="L300" s="1746"/>
      <c r="M300" s="1690"/>
      <c r="N300" s="1690"/>
      <c r="O300" s="1747"/>
      <c r="P300" s="1690"/>
      <c r="Q300" s="1690"/>
      <c r="R300" s="1754"/>
    </row>
    <row r="301" spans="1:18" ht="36" customHeight="1" hidden="1">
      <c r="A301" s="1743">
        <v>6060</v>
      </c>
      <c r="B301" s="1751" t="s">
        <v>265</v>
      </c>
      <c r="C301" s="1689"/>
      <c r="D301" s="893">
        <f t="shared" si="37"/>
        <v>0</v>
      </c>
      <c r="E301" s="1690">
        <f t="shared" si="40"/>
        <v>0</v>
      </c>
      <c r="F301" s="1666" t="e">
        <f t="shared" si="41"/>
        <v>#DIV/0!</v>
      </c>
      <c r="G301" s="1689"/>
      <c r="H301" s="893"/>
      <c r="I301" s="1669" t="e">
        <f t="shared" si="38"/>
        <v>#DIV/0!</v>
      </c>
      <c r="J301" s="1745"/>
      <c r="K301" s="1690"/>
      <c r="L301" s="1746"/>
      <c r="M301" s="1690"/>
      <c r="N301" s="1690"/>
      <c r="O301" s="1747"/>
      <c r="P301" s="1690"/>
      <c r="Q301" s="1690"/>
      <c r="R301" s="1754"/>
    </row>
    <row r="302" spans="1:18" ht="49.5" customHeight="1" thickBot="1">
      <c r="A302" s="1743">
        <v>2810</v>
      </c>
      <c r="B302" s="1751" t="s">
        <v>266</v>
      </c>
      <c r="C302" s="1689">
        <v>454900</v>
      </c>
      <c r="D302" s="893">
        <f t="shared" si="37"/>
        <v>454900</v>
      </c>
      <c r="E302" s="1690">
        <f t="shared" si="40"/>
        <v>240000</v>
      </c>
      <c r="F302" s="1666">
        <f t="shared" si="41"/>
        <v>52.75884809848318</v>
      </c>
      <c r="G302" s="1790">
        <v>454900</v>
      </c>
      <c r="H302" s="1690">
        <v>240000</v>
      </c>
      <c r="I302" s="1669">
        <f t="shared" si="38"/>
        <v>52.75884809848318</v>
      </c>
      <c r="J302" s="1745"/>
      <c r="K302" s="1690"/>
      <c r="L302" s="1746"/>
      <c r="M302" s="1689"/>
      <c r="N302" s="1745"/>
      <c r="O302" s="1747"/>
      <c r="P302" s="1690"/>
      <c r="Q302" s="1690"/>
      <c r="R302" s="1754"/>
    </row>
    <row r="303" spans="1:18" s="1585" customFormat="1" ht="48.75" hidden="1" thickBot="1">
      <c r="A303" s="1805"/>
      <c r="B303" s="1904" t="s">
        <v>267</v>
      </c>
      <c r="C303" s="1905"/>
      <c r="D303" s="1907">
        <f t="shared" si="37"/>
        <v>0</v>
      </c>
      <c r="E303" s="1907">
        <f t="shared" si="40"/>
        <v>0</v>
      </c>
      <c r="F303" s="1666" t="e">
        <f t="shared" si="41"/>
        <v>#DIV/0!</v>
      </c>
      <c r="G303" s="1905"/>
      <c r="H303" s="1907"/>
      <c r="I303" s="1669" t="e">
        <f t="shared" si="38"/>
        <v>#DIV/0!</v>
      </c>
      <c r="J303" s="1908"/>
      <c r="K303" s="1907"/>
      <c r="L303" s="1809"/>
      <c r="M303" s="1905"/>
      <c r="N303" s="1908"/>
      <c r="O303" s="1809"/>
      <c r="P303" s="1907"/>
      <c r="Q303" s="1907"/>
      <c r="R303" s="1909"/>
    </row>
    <row r="304" spans="1:18" s="1585" customFormat="1" ht="25.5" customHeight="1" hidden="1">
      <c r="A304" s="1805"/>
      <c r="B304" s="1904" t="s">
        <v>268</v>
      </c>
      <c r="C304" s="1905"/>
      <c r="D304" s="1907">
        <f t="shared" si="37"/>
        <v>0</v>
      </c>
      <c r="E304" s="1907">
        <f t="shared" si="40"/>
        <v>0</v>
      </c>
      <c r="F304" s="1666" t="e">
        <f t="shared" si="41"/>
        <v>#DIV/0!</v>
      </c>
      <c r="G304" s="1905"/>
      <c r="H304" s="1907"/>
      <c r="I304" s="1669" t="e">
        <f t="shared" si="38"/>
        <v>#DIV/0!</v>
      </c>
      <c r="J304" s="1908"/>
      <c r="K304" s="1907"/>
      <c r="L304" s="1809"/>
      <c r="M304" s="1905"/>
      <c r="N304" s="1908"/>
      <c r="O304" s="1809"/>
      <c r="P304" s="1907"/>
      <c r="Q304" s="1907"/>
      <c r="R304" s="1909"/>
    </row>
    <row r="305" spans="1:18" s="1735" customFormat="1" ht="81.75" customHeight="1" thickBot="1" thickTop="1">
      <c r="A305" s="1729">
        <v>751</v>
      </c>
      <c r="B305" s="1730" t="s">
        <v>615</v>
      </c>
      <c r="C305" s="1731">
        <f>C306+C320</f>
        <v>17596</v>
      </c>
      <c r="D305" s="876">
        <f t="shared" si="37"/>
        <v>17596</v>
      </c>
      <c r="E305" s="1716">
        <f t="shared" si="37"/>
        <v>4208</v>
      </c>
      <c r="F305" s="1642">
        <f t="shared" si="41"/>
        <v>23.914526028642875</v>
      </c>
      <c r="G305" s="1731"/>
      <c r="H305" s="1716"/>
      <c r="I305" s="1926"/>
      <c r="J305" s="1716">
        <f>SUM(J306+J320)</f>
        <v>17596</v>
      </c>
      <c r="K305" s="1732">
        <f>K306+K320</f>
        <v>4208</v>
      </c>
      <c r="L305" s="1644">
        <f aca="true" t="shared" si="42" ref="L305:L332">K305/J305*100</f>
        <v>23.914526028642875</v>
      </c>
      <c r="M305" s="1731"/>
      <c r="N305" s="1732"/>
      <c r="O305" s="1734"/>
      <c r="P305" s="1716"/>
      <c r="Q305" s="1716"/>
      <c r="R305" s="1834"/>
    </row>
    <row r="306" spans="1:18" s="1735" customFormat="1" ht="48.75" thickTop="1">
      <c r="A306" s="1837">
        <v>75101</v>
      </c>
      <c r="B306" s="1838" t="s">
        <v>269</v>
      </c>
      <c r="C306" s="1839">
        <f>SUM(C307:C311)</f>
        <v>17596</v>
      </c>
      <c r="D306" s="884">
        <f aca="true" t="shared" si="43" ref="D306:E346">G306+J306+P306+M306</f>
        <v>17596</v>
      </c>
      <c r="E306" s="1842">
        <f>SUM(E307:E319)</f>
        <v>4208</v>
      </c>
      <c r="F306" s="1719">
        <f t="shared" si="41"/>
        <v>23.914526028642875</v>
      </c>
      <c r="G306" s="1839"/>
      <c r="H306" s="1842"/>
      <c r="I306" s="1857"/>
      <c r="J306" s="1842">
        <f>SUM(J307:J311)</f>
        <v>17596</v>
      </c>
      <c r="K306" s="1842">
        <f>SUM(K307:K311)</f>
        <v>4208</v>
      </c>
      <c r="L306" s="1739">
        <f t="shared" si="42"/>
        <v>23.914526028642875</v>
      </c>
      <c r="M306" s="1839"/>
      <c r="N306" s="1843"/>
      <c r="O306" s="1804"/>
      <c r="P306" s="1842"/>
      <c r="Q306" s="1842"/>
      <c r="R306" s="1845"/>
    </row>
    <row r="307" spans="1:18" s="1586" customFormat="1" ht="24">
      <c r="A307" s="1818">
        <v>4110</v>
      </c>
      <c r="B307" s="1751" t="s">
        <v>110</v>
      </c>
      <c r="C307" s="895"/>
      <c r="D307" s="893">
        <f t="shared" si="43"/>
        <v>1210</v>
      </c>
      <c r="E307" s="1690">
        <f>SUM(H307+K307+N307+Q307)</f>
        <v>302</v>
      </c>
      <c r="F307" s="1666">
        <f t="shared" si="41"/>
        <v>24.958677685950413</v>
      </c>
      <c r="G307" s="895"/>
      <c r="H307" s="893"/>
      <c r="I307" s="1746"/>
      <c r="J307" s="1890">
        <v>1210</v>
      </c>
      <c r="K307" s="893">
        <v>302</v>
      </c>
      <c r="L307" s="1669">
        <f t="shared" si="42"/>
        <v>24.958677685950413</v>
      </c>
      <c r="M307" s="895"/>
      <c r="N307" s="1820"/>
      <c r="O307" s="1821"/>
      <c r="P307" s="893"/>
      <c r="Q307" s="893"/>
      <c r="R307" s="897"/>
    </row>
    <row r="308" spans="1:18" s="1586" customFormat="1" ht="12.75">
      <c r="A308" s="1818">
        <v>4120</v>
      </c>
      <c r="B308" s="1751" t="s">
        <v>270</v>
      </c>
      <c r="C308" s="895"/>
      <c r="D308" s="893">
        <f t="shared" si="43"/>
        <v>172</v>
      </c>
      <c r="E308" s="1690">
        <f>SUM(H308+K308+N308+Q308)</f>
        <v>43</v>
      </c>
      <c r="F308" s="1666">
        <f t="shared" si="41"/>
        <v>25</v>
      </c>
      <c r="G308" s="895"/>
      <c r="H308" s="893"/>
      <c r="I308" s="1746"/>
      <c r="J308" s="1890">
        <v>172</v>
      </c>
      <c r="K308" s="893">
        <v>43</v>
      </c>
      <c r="L308" s="1669">
        <f t="shared" si="42"/>
        <v>25</v>
      </c>
      <c r="M308" s="895"/>
      <c r="N308" s="1820"/>
      <c r="O308" s="1821"/>
      <c r="P308" s="893"/>
      <c r="Q308" s="893"/>
      <c r="R308" s="897"/>
    </row>
    <row r="309" spans="1:18" s="1586" customFormat="1" ht="24">
      <c r="A309" s="1818">
        <v>4170</v>
      </c>
      <c r="B309" s="1751" t="s">
        <v>169</v>
      </c>
      <c r="C309" s="895"/>
      <c r="D309" s="893">
        <f t="shared" si="43"/>
        <v>7000</v>
      </c>
      <c r="E309" s="1690">
        <f>SUM(H309+K309+N309+Q309)</f>
        <v>1750</v>
      </c>
      <c r="F309" s="1666">
        <f t="shared" si="41"/>
        <v>25</v>
      </c>
      <c r="G309" s="895"/>
      <c r="H309" s="893"/>
      <c r="I309" s="1746"/>
      <c r="J309" s="1890">
        <v>7000</v>
      </c>
      <c r="K309" s="893">
        <v>1750</v>
      </c>
      <c r="L309" s="1669">
        <f t="shared" si="42"/>
        <v>25</v>
      </c>
      <c r="M309" s="895"/>
      <c r="N309" s="1820"/>
      <c r="O309" s="1821"/>
      <c r="P309" s="893"/>
      <c r="Q309" s="893"/>
      <c r="R309" s="897"/>
    </row>
    <row r="310" spans="1:18" s="1586" customFormat="1" ht="24">
      <c r="A310" s="1743">
        <v>4210</v>
      </c>
      <c r="B310" s="1751" t="s">
        <v>271</v>
      </c>
      <c r="C310" s="895"/>
      <c r="D310" s="893">
        <f t="shared" si="43"/>
        <v>9214</v>
      </c>
      <c r="E310" s="1690">
        <f>SUM(H310+K310+N310+Q310)</f>
        <v>2113</v>
      </c>
      <c r="F310" s="1666">
        <f t="shared" si="41"/>
        <v>22.93249403082266</v>
      </c>
      <c r="G310" s="895"/>
      <c r="H310" s="893"/>
      <c r="I310" s="1746"/>
      <c r="J310" s="1890">
        <v>9214</v>
      </c>
      <c r="K310" s="893">
        <v>2113</v>
      </c>
      <c r="L310" s="1669">
        <f t="shared" si="42"/>
        <v>22.93249403082266</v>
      </c>
      <c r="M310" s="895"/>
      <c r="N310" s="1820"/>
      <c r="O310" s="1821"/>
      <c r="P310" s="893"/>
      <c r="Q310" s="893"/>
      <c r="R310" s="897"/>
    </row>
    <row r="311" spans="1:18" s="1735" customFormat="1" ht="13.5" thickBot="1">
      <c r="A311" s="1743">
        <v>4300</v>
      </c>
      <c r="B311" s="1751" t="s">
        <v>272</v>
      </c>
      <c r="C311" s="1689">
        <v>17596</v>
      </c>
      <c r="D311" s="893">
        <f t="shared" si="43"/>
        <v>0</v>
      </c>
      <c r="E311" s="1690">
        <f>SUM(H311+K311+N311+Q311)</f>
        <v>0</v>
      </c>
      <c r="F311" s="1666"/>
      <c r="G311" s="1689"/>
      <c r="H311" s="1690"/>
      <c r="I311" s="1746"/>
      <c r="J311" s="1790"/>
      <c r="K311" s="1690"/>
      <c r="L311" s="1669"/>
      <c r="M311" s="1689"/>
      <c r="N311" s="1745"/>
      <c r="O311" s="1747"/>
      <c r="P311" s="1690"/>
      <c r="Q311" s="1690"/>
      <c r="R311" s="1754"/>
    </row>
    <row r="312" spans="1:18" s="1771" customFormat="1" ht="66.75" customHeight="1" hidden="1">
      <c r="A312" s="1783">
        <v>75109</v>
      </c>
      <c r="B312" s="1882" t="s">
        <v>273</v>
      </c>
      <c r="C312" s="886"/>
      <c r="D312" s="893">
        <f t="shared" si="43"/>
        <v>0</v>
      </c>
      <c r="E312" s="1690">
        <f aca="true" t="shared" si="44" ref="E312:E331">SUM(H312+K312+N312+Q312)</f>
        <v>0</v>
      </c>
      <c r="F312" s="1666" t="e">
        <f t="shared" si="41"/>
        <v>#DIV/0!</v>
      </c>
      <c r="G312" s="1763"/>
      <c r="H312" s="1765"/>
      <c r="I312" s="1832"/>
      <c r="J312" s="1765">
        <f>SUM(J313:J318)</f>
        <v>0</v>
      </c>
      <c r="K312" s="1766">
        <f>SUM(K313:K318)</f>
        <v>0</v>
      </c>
      <c r="L312" s="1669" t="e">
        <f t="shared" si="42"/>
        <v>#DIV/0!</v>
      </c>
      <c r="M312" s="1763"/>
      <c r="N312" s="1766"/>
      <c r="O312" s="1770"/>
      <c r="P312" s="1766"/>
      <c r="Q312" s="1765"/>
      <c r="R312" s="944"/>
    </row>
    <row r="313" spans="1:18" s="1586" customFormat="1" ht="35.25" customHeight="1" hidden="1">
      <c r="A313" s="1818">
        <v>3020</v>
      </c>
      <c r="B313" s="1880" t="s">
        <v>274</v>
      </c>
      <c r="C313" s="895"/>
      <c r="D313" s="893">
        <f t="shared" si="43"/>
        <v>0</v>
      </c>
      <c r="E313" s="1690">
        <f t="shared" si="44"/>
        <v>0</v>
      </c>
      <c r="F313" s="1666" t="e">
        <f t="shared" si="41"/>
        <v>#DIV/0!</v>
      </c>
      <c r="G313" s="895"/>
      <c r="H313" s="893"/>
      <c r="I313" s="1746"/>
      <c r="J313" s="893"/>
      <c r="K313" s="1820">
        <v>0</v>
      </c>
      <c r="L313" s="1669" t="e">
        <f t="shared" si="42"/>
        <v>#DIV/0!</v>
      </c>
      <c r="M313" s="895"/>
      <c r="N313" s="1820"/>
      <c r="O313" s="1821"/>
      <c r="P313" s="1820"/>
      <c r="Q313" s="893"/>
      <c r="R313" s="897"/>
    </row>
    <row r="314" spans="1:18" s="1586" customFormat="1" ht="24.75" customHeight="1" hidden="1">
      <c r="A314" s="1818">
        <v>3030</v>
      </c>
      <c r="B314" s="1880" t="s">
        <v>102</v>
      </c>
      <c r="C314" s="895"/>
      <c r="D314" s="893">
        <f t="shared" si="43"/>
        <v>0</v>
      </c>
      <c r="E314" s="1690">
        <f t="shared" si="44"/>
        <v>0</v>
      </c>
      <c r="F314" s="1666" t="e">
        <f t="shared" si="41"/>
        <v>#DIV/0!</v>
      </c>
      <c r="G314" s="895"/>
      <c r="H314" s="893"/>
      <c r="I314" s="1746"/>
      <c r="J314" s="893"/>
      <c r="K314" s="1820"/>
      <c r="L314" s="1669" t="e">
        <f t="shared" si="42"/>
        <v>#DIV/0!</v>
      </c>
      <c r="M314" s="895"/>
      <c r="N314" s="1820"/>
      <c r="O314" s="1821"/>
      <c r="P314" s="1820"/>
      <c r="Q314" s="893"/>
      <c r="R314" s="897"/>
    </row>
    <row r="315" spans="1:18" s="1586" customFormat="1" ht="24.75" customHeight="1" hidden="1">
      <c r="A315" s="1818">
        <v>4110</v>
      </c>
      <c r="B315" s="1880" t="s">
        <v>110</v>
      </c>
      <c r="C315" s="895"/>
      <c r="D315" s="893">
        <f t="shared" si="43"/>
        <v>0</v>
      </c>
      <c r="E315" s="1690">
        <f t="shared" si="44"/>
        <v>0</v>
      </c>
      <c r="F315" s="1666" t="e">
        <f t="shared" si="41"/>
        <v>#DIV/0!</v>
      </c>
      <c r="G315" s="895"/>
      <c r="H315" s="893"/>
      <c r="I315" s="1746"/>
      <c r="J315" s="893"/>
      <c r="K315" s="1820"/>
      <c r="L315" s="1669" t="e">
        <f t="shared" si="42"/>
        <v>#DIV/0!</v>
      </c>
      <c r="M315" s="895"/>
      <c r="N315" s="1820"/>
      <c r="O315" s="1821"/>
      <c r="P315" s="1820"/>
      <c r="Q315" s="893"/>
      <c r="R315" s="897"/>
    </row>
    <row r="316" spans="1:18" s="1586" customFormat="1" ht="15" customHeight="1" hidden="1">
      <c r="A316" s="1818">
        <v>4120</v>
      </c>
      <c r="B316" s="1880" t="s">
        <v>208</v>
      </c>
      <c r="C316" s="895"/>
      <c r="D316" s="893">
        <f t="shared" si="43"/>
        <v>0</v>
      </c>
      <c r="E316" s="1690">
        <f t="shared" si="44"/>
        <v>0</v>
      </c>
      <c r="F316" s="1666" t="e">
        <f t="shared" si="41"/>
        <v>#DIV/0!</v>
      </c>
      <c r="G316" s="895"/>
      <c r="H316" s="893"/>
      <c r="I316" s="1746"/>
      <c r="J316" s="893"/>
      <c r="K316" s="1820"/>
      <c r="L316" s="1669" t="e">
        <f t="shared" si="42"/>
        <v>#DIV/0!</v>
      </c>
      <c r="M316" s="895"/>
      <c r="N316" s="1820"/>
      <c r="O316" s="1821"/>
      <c r="P316" s="1820"/>
      <c r="Q316" s="893"/>
      <c r="R316" s="897"/>
    </row>
    <row r="317" spans="1:18" s="1735" customFormat="1" ht="26.25" customHeight="1" hidden="1">
      <c r="A317" s="1743">
        <v>4210</v>
      </c>
      <c r="B317" s="1751" t="s">
        <v>114</v>
      </c>
      <c r="C317" s="1689"/>
      <c r="D317" s="893">
        <f t="shared" si="43"/>
        <v>0</v>
      </c>
      <c r="E317" s="1690">
        <f t="shared" si="44"/>
        <v>0</v>
      </c>
      <c r="F317" s="1666" t="e">
        <f t="shared" si="41"/>
        <v>#DIV/0!</v>
      </c>
      <c r="G317" s="1689"/>
      <c r="H317" s="1690"/>
      <c r="I317" s="1746"/>
      <c r="J317" s="1690"/>
      <c r="K317" s="1745"/>
      <c r="L317" s="1669" t="e">
        <f t="shared" si="42"/>
        <v>#DIV/0!</v>
      </c>
      <c r="M317" s="1689"/>
      <c r="N317" s="1745"/>
      <c r="O317" s="1747"/>
      <c r="P317" s="1745"/>
      <c r="Q317" s="1690"/>
      <c r="R317" s="1754"/>
    </row>
    <row r="318" spans="1:18" s="1735" customFormat="1" ht="18.75" customHeight="1" hidden="1">
      <c r="A318" s="1743">
        <v>4300</v>
      </c>
      <c r="B318" s="1751" t="s">
        <v>122</v>
      </c>
      <c r="C318" s="1689"/>
      <c r="D318" s="893">
        <f t="shared" si="43"/>
        <v>0</v>
      </c>
      <c r="E318" s="1690">
        <f t="shared" si="44"/>
        <v>0</v>
      </c>
      <c r="F318" s="1666" t="e">
        <f t="shared" si="41"/>
        <v>#DIV/0!</v>
      </c>
      <c r="G318" s="1689"/>
      <c r="H318" s="1690"/>
      <c r="I318" s="1746"/>
      <c r="J318" s="1690"/>
      <c r="K318" s="1745"/>
      <c r="L318" s="1669" t="e">
        <f t="shared" si="42"/>
        <v>#DIV/0!</v>
      </c>
      <c r="M318" s="1689"/>
      <c r="N318" s="1745"/>
      <c r="O318" s="1747"/>
      <c r="P318" s="1745"/>
      <c r="Q318" s="1690"/>
      <c r="R318" s="1754"/>
    </row>
    <row r="319" spans="1:18" s="1735" customFormat="1" ht="13.5" hidden="1" thickBot="1">
      <c r="A319" s="1743">
        <v>4300</v>
      </c>
      <c r="B319" s="1751" t="s">
        <v>122</v>
      </c>
      <c r="C319" s="1689"/>
      <c r="D319" s="893">
        <f t="shared" si="43"/>
        <v>0</v>
      </c>
      <c r="E319" s="1690">
        <f t="shared" si="44"/>
        <v>0</v>
      </c>
      <c r="F319" s="1719"/>
      <c r="G319" s="1800"/>
      <c r="H319" s="1791"/>
      <c r="I319" s="1857"/>
      <c r="J319" s="1791"/>
      <c r="K319" s="1801"/>
      <c r="L319" s="1739" t="e">
        <f t="shared" si="42"/>
        <v>#DIV/0!</v>
      </c>
      <c r="M319" s="1800"/>
      <c r="N319" s="1801"/>
      <c r="O319" s="1804"/>
      <c r="P319" s="1801"/>
      <c r="Q319" s="1791"/>
      <c r="R319" s="1845"/>
    </row>
    <row r="320" spans="1:18" s="1771" customFormat="1" ht="27.75" customHeight="1" hidden="1">
      <c r="A320" s="1783">
        <v>75110</v>
      </c>
      <c r="B320" s="1882" t="s">
        <v>275</v>
      </c>
      <c r="C320" s="918"/>
      <c r="D320" s="893">
        <f t="shared" si="43"/>
        <v>0</v>
      </c>
      <c r="E320" s="1690">
        <f t="shared" si="44"/>
        <v>0</v>
      </c>
      <c r="F320" s="1681" t="e">
        <f aca="true" t="shared" si="45" ref="F320:F363">E320/D320*100</f>
        <v>#DIV/0!</v>
      </c>
      <c r="G320" s="918"/>
      <c r="H320" s="919"/>
      <c r="I320" s="1741"/>
      <c r="J320" s="908">
        <f>SUM(J321:J325)</f>
        <v>0</v>
      </c>
      <c r="K320" s="908">
        <f>SUM(K321:K325)</f>
        <v>0</v>
      </c>
      <c r="L320" s="1700" t="e">
        <f t="shared" si="42"/>
        <v>#DIV/0!</v>
      </c>
      <c r="M320" s="886"/>
      <c r="N320" s="1816"/>
      <c r="O320" s="1817"/>
      <c r="P320" s="1816"/>
      <c r="Q320" s="908"/>
      <c r="R320" s="889"/>
    </row>
    <row r="321" spans="1:18" s="1586" customFormat="1" ht="27.75" customHeight="1" hidden="1">
      <c r="A321" s="1818">
        <v>3030</v>
      </c>
      <c r="B321" s="1880" t="s">
        <v>102</v>
      </c>
      <c r="C321" s="895"/>
      <c r="D321" s="893">
        <f t="shared" si="43"/>
        <v>0</v>
      </c>
      <c r="E321" s="1690">
        <f t="shared" si="44"/>
        <v>0</v>
      </c>
      <c r="F321" s="1666" t="e">
        <f t="shared" si="45"/>
        <v>#DIV/0!</v>
      </c>
      <c r="G321" s="927"/>
      <c r="H321" s="932"/>
      <c r="I321" s="1849"/>
      <c r="J321" s="932"/>
      <c r="K321" s="1848"/>
      <c r="L321" s="1710" t="e">
        <f t="shared" si="42"/>
        <v>#DIV/0!</v>
      </c>
      <c r="M321" s="927"/>
      <c r="N321" s="1848"/>
      <c r="O321" s="1821"/>
      <c r="P321" s="1820"/>
      <c r="Q321" s="893"/>
      <c r="R321" s="897"/>
    </row>
    <row r="322" spans="1:18" s="1586" customFormat="1" ht="27.75" customHeight="1" hidden="1">
      <c r="A322" s="1818">
        <v>4110</v>
      </c>
      <c r="B322" s="1880" t="s">
        <v>110</v>
      </c>
      <c r="C322" s="895"/>
      <c r="D322" s="893">
        <f t="shared" si="43"/>
        <v>0</v>
      </c>
      <c r="E322" s="1690">
        <f t="shared" si="44"/>
        <v>0</v>
      </c>
      <c r="F322" s="1666" t="e">
        <f t="shared" si="45"/>
        <v>#DIV/0!</v>
      </c>
      <c r="G322" s="895"/>
      <c r="H322" s="893"/>
      <c r="I322" s="1746"/>
      <c r="J322" s="893"/>
      <c r="K322" s="1820"/>
      <c r="L322" s="1669" t="e">
        <f t="shared" si="42"/>
        <v>#DIV/0!</v>
      </c>
      <c r="M322" s="895"/>
      <c r="N322" s="1820"/>
      <c r="O322" s="1821"/>
      <c r="P322" s="1820"/>
      <c r="Q322" s="893"/>
      <c r="R322" s="897"/>
    </row>
    <row r="323" spans="1:18" s="1586" customFormat="1" ht="27.75" customHeight="1" hidden="1">
      <c r="A323" s="1818">
        <v>4120</v>
      </c>
      <c r="B323" s="1880" t="s">
        <v>198</v>
      </c>
      <c r="C323" s="895"/>
      <c r="D323" s="893">
        <f t="shared" si="43"/>
        <v>0</v>
      </c>
      <c r="E323" s="1690">
        <f t="shared" si="44"/>
        <v>0</v>
      </c>
      <c r="F323" s="1666" t="e">
        <f t="shared" si="45"/>
        <v>#DIV/0!</v>
      </c>
      <c r="G323" s="895"/>
      <c r="H323" s="893"/>
      <c r="I323" s="1746"/>
      <c r="J323" s="893"/>
      <c r="K323" s="1820"/>
      <c r="L323" s="1669" t="e">
        <f t="shared" si="42"/>
        <v>#DIV/0!</v>
      </c>
      <c r="M323" s="895"/>
      <c r="N323" s="1820"/>
      <c r="O323" s="1821"/>
      <c r="P323" s="1820"/>
      <c r="Q323" s="893"/>
      <c r="R323" s="897"/>
    </row>
    <row r="324" spans="1:18" s="1735" customFormat="1" ht="25.5" customHeight="1" hidden="1">
      <c r="A324" s="1743">
        <v>4210</v>
      </c>
      <c r="B324" s="1751" t="s">
        <v>114</v>
      </c>
      <c r="C324" s="1689"/>
      <c r="D324" s="893">
        <f t="shared" si="43"/>
        <v>0</v>
      </c>
      <c r="E324" s="1690">
        <f t="shared" si="44"/>
        <v>0</v>
      </c>
      <c r="F324" s="1666" t="e">
        <f t="shared" si="45"/>
        <v>#DIV/0!</v>
      </c>
      <c r="G324" s="1689"/>
      <c r="H324" s="1690"/>
      <c r="I324" s="1746"/>
      <c r="J324" s="1690"/>
      <c r="K324" s="1745"/>
      <c r="L324" s="1669" t="e">
        <f t="shared" si="42"/>
        <v>#DIV/0!</v>
      </c>
      <c r="M324" s="1689"/>
      <c r="N324" s="1745"/>
      <c r="O324" s="1747"/>
      <c r="P324" s="1745"/>
      <c r="Q324" s="1690"/>
      <c r="R324" s="1754"/>
    </row>
    <row r="325" spans="1:18" s="1735" customFormat="1" ht="26.25" customHeight="1" hidden="1">
      <c r="A325" s="1743">
        <v>4300</v>
      </c>
      <c r="B325" s="1751" t="s">
        <v>122</v>
      </c>
      <c r="C325" s="1689"/>
      <c r="D325" s="893">
        <f t="shared" si="43"/>
        <v>0</v>
      </c>
      <c r="E325" s="1690">
        <f t="shared" si="44"/>
        <v>0</v>
      </c>
      <c r="F325" s="1666" t="e">
        <f t="shared" si="45"/>
        <v>#DIV/0!</v>
      </c>
      <c r="G325" s="1689"/>
      <c r="H325" s="1690"/>
      <c r="I325" s="1746"/>
      <c r="J325" s="1690"/>
      <c r="K325" s="1745"/>
      <c r="L325" s="1669" t="e">
        <f t="shared" si="42"/>
        <v>#DIV/0!</v>
      </c>
      <c r="M325" s="1689"/>
      <c r="N325" s="1745"/>
      <c r="O325" s="1747"/>
      <c r="P325" s="1745"/>
      <c r="Q325" s="1690"/>
      <c r="R325" s="1754"/>
    </row>
    <row r="326" spans="1:18" s="1771" customFormat="1" ht="17.25" customHeight="1" thickBot="1" thickTop="1">
      <c r="A326" s="1755">
        <v>752</v>
      </c>
      <c r="B326" s="1756" t="s">
        <v>617</v>
      </c>
      <c r="C326" s="875">
        <f>C327</f>
        <v>1000</v>
      </c>
      <c r="D326" s="876">
        <f t="shared" si="43"/>
        <v>1000</v>
      </c>
      <c r="E326" s="876">
        <f t="shared" si="44"/>
        <v>0</v>
      </c>
      <c r="F326" s="1757">
        <f t="shared" si="45"/>
        <v>0</v>
      </c>
      <c r="G326" s="875"/>
      <c r="H326" s="876"/>
      <c r="I326" s="1733"/>
      <c r="J326" s="876"/>
      <c r="K326" s="1759"/>
      <c r="L326" s="1758"/>
      <c r="M326" s="937"/>
      <c r="N326" s="876"/>
      <c r="O326" s="1927"/>
      <c r="P326" s="1759">
        <f>P327</f>
        <v>1000</v>
      </c>
      <c r="Q326" s="876">
        <f>Q327</f>
        <v>0</v>
      </c>
      <c r="R326" s="879">
        <f aca="true" t="shared" si="46" ref="R326:R332">Q326/P326*100</f>
        <v>0</v>
      </c>
    </row>
    <row r="327" spans="1:18" s="1771" customFormat="1" ht="24.75" thickTop="1">
      <c r="A327" s="1871">
        <v>75212</v>
      </c>
      <c r="B327" s="1872" t="s">
        <v>276</v>
      </c>
      <c r="C327" s="901">
        <f>SUM(C328:C331)</f>
        <v>1000</v>
      </c>
      <c r="D327" s="906">
        <f t="shared" si="43"/>
        <v>1000</v>
      </c>
      <c r="E327" s="906">
        <f t="shared" si="44"/>
        <v>0</v>
      </c>
      <c r="F327" s="1928">
        <f t="shared" si="45"/>
        <v>0</v>
      </c>
      <c r="G327" s="901"/>
      <c r="H327" s="906"/>
      <c r="I327" s="1875"/>
      <c r="J327" s="906"/>
      <c r="K327" s="1874"/>
      <c r="L327" s="1873"/>
      <c r="M327" s="942"/>
      <c r="N327" s="906"/>
      <c r="O327" s="1929"/>
      <c r="P327" s="1874">
        <f>SUM(P328:P331)</f>
        <v>1000</v>
      </c>
      <c r="Q327" s="906">
        <f>SUM(Q328:Q331)</f>
        <v>0</v>
      </c>
      <c r="R327" s="1930">
        <f t="shared" si="46"/>
        <v>0</v>
      </c>
    </row>
    <row r="328" spans="1:18" s="1586" customFormat="1" ht="24">
      <c r="A328" s="1818">
        <v>4170</v>
      </c>
      <c r="B328" s="1880" t="s">
        <v>169</v>
      </c>
      <c r="C328" s="895"/>
      <c r="D328" s="893">
        <f t="shared" si="43"/>
        <v>300</v>
      </c>
      <c r="E328" s="1690">
        <f t="shared" si="44"/>
        <v>0</v>
      </c>
      <c r="F328" s="1666">
        <f t="shared" si="45"/>
        <v>0</v>
      </c>
      <c r="G328" s="895"/>
      <c r="H328" s="893"/>
      <c r="I328" s="1746"/>
      <c r="J328" s="893"/>
      <c r="K328" s="1820"/>
      <c r="L328" s="1669"/>
      <c r="M328" s="1878"/>
      <c r="N328" s="893"/>
      <c r="O328" s="1821"/>
      <c r="P328" s="1820">
        <v>300</v>
      </c>
      <c r="Q328" s="893"/>
      <c r="R328" s="897">
        <f t="shared" si="46"/>
        <v>0</v>
      </c>
    </row>
    <row r="329" spans="1:18" s="1586" customFormat="1" ht="24">
      <c r="A329" s="1818">
        <v>4210</v>
      </c>
      <c r="B329" s="1880" t="s">
        <v>114</v>
      </c>
      <c r="C329" s="895"/>
      <c r="D329" s="893">
        <f t="shared" si="43"/>
        <v>300</v>
      </c>
      <c r="E329" s="1690">
        <f t="shared" si="44"/>
        <v>0</v>
      </c>
      <c r="F329" s="1666">
        <f t="shared" si="45"/>
        <v>0</v>
      </c>
      <c r="G329" s="895"/>
      <c r="H329" s="893"/>
      <c r="I329" s="1746"/>
      <c r="J329" s="893"/>
      <c r="K329" s="1820"/>
      <c r="L329" s="1669"/>
      <c r="M329" s="1878"/>
      <c r="N329" s="893"/>
      <c r="O329" s="1821"/>
      <c r="P329" s="1820">
        <v>300</v>
      </c>
      <c r="Q329" s="893"/>
      <c r="R329" s="897">
        <f t="shared" si="46"/>
        <v>0</v>
      </c>
    </row>
    <row r="330" spans="1:18" s="1586" customFormat="1" ht="24">
      <c r="A330" s="1818">
        <v>4240</v>
      </c>
      <c r="B330" s="1880" t="s">
        <v>277</v>
      </c>
      <c r="C330" s="895"/>
      <c r="D330" s="893">
        <f t="shared" si="43"/>
        <v>200</v>
      </c>
      <c r="E330" s="1690">
        <f t="shared" si="44"/>
        <v>0</v>
      </c>
      <c r="F330" s="1666">
        <f t="shared" si="45"/>
        <v>0</v>
      </c>
      <c r="G330" s="895"/>
      <c r="H330" s="893"/>
      <c r="I330" s="1746"/>
      <c r="J330" s="893"/>
      <c r="K330" s="1820"/>
      <c r="L330" s="1669"/>
      <c r="M330" s="1878"/>
      <c r="N330" s="893"/>
      <c r="O330" s="1821"/>
      <c r="P330" s="1820">
        <v>200</v>
      </c>
      <c r="Q330" s="893"/>
      <c r="R330" s="897">
        <f t="shared" si="46"/>
        <v>0</v>
      </c>
    </row>
    <row r="331" spans="1:18" s="1735" customFormat="1" ht="13.5" thickBot="1">
      <c r="A331" s="1743">
        <v>4300</v>
      </c>
      <c r="B331" s="1751" t="s">
        <v>122</v>
      </c>
      <c r="C331" s="1689">
        <v>1000</v>
      </c>
      <c r="D331" s="893">
        <f t="shared" si="43"/>
        <v>200</v>
      </c>
      <c r="E331" s="1690">
        <f t="shared" si="44"/>
        <v>0</v>
      </c>
      <c r="F331" s="1666">
        <f t="shared" si="45"/>
        <v>0</v>
      </c>
      <c r="G331" s="1689"/>
      <c r="H331" s="1690"/>
      <c r="I331" s="1746"/>
      <c r="J331" s="1690"/>
      <c r="K331" s="1745"/>
      <c r="L331" s="1669"/>
      <c r="M331" s="1790"/>
      <c r="N331" s="1885"/>
      <c r="O331" s="1747"/>
      <c r="P331" s="1745">
        <v>200</v>
      </c>
      <c r="Q331" s="1690"/>
      <c r="R331" s="897">
        <f t="shared" si="46"/>
        <v>0</v>
      </c>
    </row>
    <row r="332" spans="1:18" s="1735" customFormat="1" ht="55.5" customHeight="1" thickBot="1" thickTop="1">
      <c r="A332" s="1729">
        <v>754</v>
      </c>
      <c r="B332" s="1730" t="s">
        <v>619</v>
      </c>
      <c r="C332" s="1731">
        <f>C396+C364+C394+C333+C403</f>
        <v>5047970</v>
      </c>
      <c r="D332" s="876">
        <f t="shared" si="43"/>
        <v>5521370</v>
      </c>
      <c r="E332" s="876">
        <f t="shared" si="43"/>
        <v>2803688</v>
      </c>
      <c r="F332" s="1642">
        <f t="shared" si="45"/>
        <v>50.77884655438777</v>
      </c>
      <c r="G332" s="1731">
        <f>G396+G364+G394+G333+G403</f>
        <v>195970</v>
      </c>
      <c r="H332" s="1716">
        <f>SUM(H333+H364+H394+H396)+H403</f>
        <v>129354</v>
      </c>
      <c r="I332" s="1644">
        <f>H332/G332*100</f>
        <v>66.00704189416747</v>
      </c>
      <c r="J332" s="1716">
        <f>J396+J364+J394+J333</f>
        <v>6000</v>
      </c>
      <c r="K332" s="1716">
        <f>K396+K364+K394+K333</f>
        <v>0</v>
      </c>
      <c r="L332" s="1758">
        <f t="shared" si="42"/>
        <v>0</v>
      </c>
      <c r="M332" s="1886">
        <f>M333+M364</f>
        <v>313400</v>
      </c>
      <c r="N332" s="1716">
        <f>N333+N364</f>
        <v>167000</v>
      </c>
      <c r="O332" s="1649">
        <f>N332/M332*100</f>
        <v>53.286534779834085</v>
      </c>
      <c r="P332" s="1731">
        <f>P396+P364+P394+P333</f>
        <v>5006000</v>
      </c>
      <c r="Q332" s="1716">
        <f>Q396+Q364+Q394+Q333</f>
        <v>2507334</v>
      </c>
      <c r="R332" s="1649">
        <f t="shared" si="46"/>
        <v>50.086576108669604</v>
      </c>
    </row>
    <row r="333" spans="1:18" s="1735" customFormat="1" ht="28.5" customHeight="1" thickTop="1">
      <c r="A333" s="1931">
        <v>75405</v>
      </c>
      <c r="B333" s="1932" t="s">
        <v>278</v>
      </c>
      <c r="C333" s="1933"/>
      <c r="D333" s="906">
        <f t="shared" si="43"/>
        <v>247000</v>
      </c>
      <c r="E333" s="1836">
        <f t="shared" si="43"/>
        <v>167000</v>
      </c>
      <c r="F333" s="1654">
        <f t="shared" si="45"/>
        <v>67.61133603238866</v>
      </c>
      <c r="G333" s="1933"/>
      <c r="H333" s="1836"/>
      <c r="I333" s="2108"/>
      <c r="J333" s="1956"/>
      <c r="K333" s="1836"/>
      <c r="L333" s="1875"/>
      <c r="M333" s="1836">
        <f>M362+M363</f>
        <v>247000</v>
      </c>
      <c r="N333" s="1836">
        <f>N362+N363</f>
        <v>167000</v>
      </c>
      <c r="O333" s="1662">
        <f>N333/M333*100</f>
        <v>67.61133603238866</v>
      </c>
      <c r="P333" s="1836"/>
      <c r="Q333" s="1836"/>
      <c r="R333" s="1662"/>
    </row>
    <row r="334" spans="1:18" ht="36" hidden="1">
      <c r="A334" s="1743">
        <v>3020</v>
      </c>
      <c r="B334" s="1751" t="s">
        <v>164</v>
      </c>
      <c r="C334" s="1689"/>
      <c r="D334" s="884">
        <f t="shared" si="43"/>
        <v>0</v>
      </c>
      <c r="E334" s="1842">
        <f t="shared" si="43"/>
        <v>0</v>
      </c>
      <c r="F334" s="1719" t="e">
        <f t="shared" si="45"/>
        <v>#DIV/0!</v>
      </c>
      <c r="G334" s="1689"/>
      <c r="H334" s="1690"/>
      <c r="I334" s="1746"/>
      <c r="J334" s="1745"/>
      <c r="K334" s="1690"/>
      <c r="L334" s="1746"/>
      <c r="M334" s="1690"/>
      <c r="N334" s="1690"/>
      <c r="O334" s="1747"/>
      <c r="P334" s="1689"/>
      <c r="Q334" s="1690"/>
      <c r="R334" s="1695"/>
    </row>
    <row r="335" spans="1:18" ht="23.25" customHeight="1" hidden="1">
      <c r="A335" s="1743">
        <v>3030</v>
      </c>
      <c r="B335" s="1751" t="s">
        <v>102</v>
      </c>
      <c r="C335" s="1689"/>
      <c r="D335" s="906">
        <f t="shared" si="43"/>
        <v>0</v>
      </c>
      <c r="E335" s="1836">
        <f t="shared" si="43"/>
        <v>0</v>
      </c>
      <c r="F335" s="1719" t="e">
        <f t="shared" si="45"/>
        <v>#DIV/0!</v>
      </c>
      <c r="G335" s="1689"/>
      <c r="H335" s="1690"/>
      <c r="I335" s="1746"/>
      <c r="J335" s="1745"/>
      <c r="K335" s="1690"/>
      <c r="L335" s="1746"/>
      <c r="M335" s="1690"/>
      <c r="N335" s="1690"/>
      <c r="O335" s="1747"/>
      <c r="P335" s="1689"/>
      <c r="Q335" s="1690"/>
      <c r="R335" s="1695"/>
    </row>
    <row r="336" spans="1:18" ht="24.75" customHeight="1" hidden="1">
      <c r="A336" s="1743">
        <v>4010</v>
      </c>
      <c r="B336" s="1751" t="s">
        <v>279</v>
      </c>
      <c r="C336" s="1689"/>
      <c r="D336" s="906">
        <f t="shared" si="43"/>
        <v>0</v>
      </c>
      <c r="E336" s="1836">
        <f t="shared" si="43"/>
        <v>0</v>
      </c>
      <c r="F336" s="1719" t="e">
        <f t="shared" si="45"/>
        <v>#DIV/0!</v>
      </c>
      <c r="G336" s="1689"/>
      <c r="H336" s="1690"/>
      <c r="I336" s="1746"/>
      <c r="J336" s="1745"/>
      <c r="K336" s="1690"/>
      <c r="L336" s="1746"/>
      <c r="M336" s="1690"/>
      <c r="N336" s="1690"/>
      <c r="O336" s="1747"/>
      <c r="P336" s="1689"/>
      <c r="Q336" s="1690"/>
      <c r="R336" s="1695"/>
    </row>
    <row r="337" spans="1:18" ht="36.75" hidden="1" thickTop="1">
      <c r="A337" s="1743">
        <v>4020</v>
      </c>
      <c r="B337" s="1751" t="s">
        <v>280</v>
      </c>
      <c r="C337" s="1689"/>
      <c r="D337" s="906">
        <f t="shared" si="43"/>
        <v>0</v>
      </c>
      <c r="E337" s="1836">
        <f t="shared" si="43"/>
        <v>0</v>
      </c>
      <c r="F337" s="1719" t="e">
        <f t="shared" si="45"/>
        <v>#DIV/0!</v>
      </c>
      <c r="G337" s="1689"/>
      <c r="H337" s="1690"/>
      <c r="I337" s="1746"/>
      <c r="J337" s="1745"/>
      <c r="K337" s="1690"/>
      <c r="L337" s="1746"/>
      <c r="M337" s="1690"/>
      <c r="N337" s="1690"/>
      <c r="O337" s="1747"/>
      <c r="P337" s="1689"/>
      <c r="Q337" s="1690"/>
      <c r="R337" s="1695"/>
    </row>
    <row r="338" spans="1:18" ht="24.75" hidden="1" thickTop="1">
      <c r="A338" s="1743">
        <v>4040</v>
      </c>
      <c r="B338" s="1751" t="s">
        <v>108</v>
      </c>
      <c r="C338" s="1689"/>
      <c r="D338" s="906">
        <f t="shared" si="43"/>
        <v>0</v>
      </c>
      <c r="E338" s="1836">
        <f t="shared" si="43"/>
        <v>0</v>
      </c>
      <c r="F338" s="1719" t="e">
        <f t="shared" si="45"/>
        <v>#DIV/0!</v>
      </c>
      <c r="G338" s="1689"/>
      <c r="H338" s="1690"/>
      <c r="I338" s="1746"/>
      <c r="J338" s="1745"/>
      <c r="K338" s="1690"/>
      <c r="L338" s="1746"/>
      <c r="M338" s="1690"/>
      <c r="N338" s="1690"/>
      <c r="O338" s="1747"/>
      <c r="P338" s="1689"/>
      <c r="Q338" s="1690"/>
      <c r="R338" s="1695"/>
    </row>
    <row r="339" spans="1:18" ht="24.75" hidden="1" thickTop="1">
      <c r="A339" s="1743">
        <v>4050</v>
      </c>
      <c r="B339" s="1751" t="s">
        <v>281</v>
      </c>
      <c r="C339" s="1689"/>
      <c r="D339" s="906">
        <f t="shared" si="43"/>
        <v>0</v>
      </c>
      <c r="E339" s="1836">
        <f t="shared" si="43"/>
        <v>0</v>
      </c>
      <c r="F339" s="1719" t="e">
        <f t="shared" si="45"/>
        <v>#DIV/0!</v>
      </c>
      <c r="G339" s="1689"/>
      <c r="H339" s="1690"/>
      <c r="I339" s="1746"/>
      <c r="J339" s="1745"/>
      <c r="K339" s="1690"/>
      <c r="L339" s="1746"/>
      <c r="M339" s="1690"/>
      <c r="N339" s="1690"/>
      <c r="O339" s="1747"/>
      <c r="P339" s="1689"/>
      <c r="Q339" s="1690"/>
      <c r="R339" s="1695"/>
    </row>
    <row r="340" spans="1:18" ht="24.75" hidden="1" thickTop="1">
      <c r="A340" s="1743">
        <v>4060</v>
      </c>
      <c r="B340" s="1751" t="s">
        <v>282</v>
      </c>
      <c r="C340" s="1689"/>
      <c r="D340" s="906">
        <f t="shared" si="43"/>
        <v>0</v>
      </c>
      <c r="E340" s="1836">
        <f t="shared" si="43"/>
        <v>0</v>
      </c>
      <c r="F340" s="1719" t="e">
        <f t="shared" si="45"/>
        <v>#DIV/0!</v>
      </c>
      <c r="G340" s="1689"/>
      <c r="H340" s="1690"/>
      <c r="I340" s="1746"/>
      <c r="J340" s="1745"/>
      <c r="K340" s="1690"/>
      <c r="L340" s="1746"/>
      <c r="M340" s="1690"/>
      <c r="N340" s="1690"/>
      <c r="O340" s="1747"/>
      <c r="P340" s="1689"/>
      <c r="Q340" s="1690"/>
      <c r="R340" s="1695"/>
    </row>
    <row r="341" spans="1:18" ht="24.75" hidden="1" thickTop="1">
      <c r="A341" s="1743">
        <v>4070</v>
      </c>
      <c r="B341" s="1751" t="s">
        <v>283</v>
      </c>
      <c r="C341" s="1689"/>
      <c r="D341" s="906">
        <f t="shared" si="43"/>
        <v>0</v>
      </c>
      <c r="E341" s="1836">
        <f t="shared" si="43"/>
        <v>0</v>
      </c>
      <c r="F341" s="1719" t="e">
        <f t="shared" si="45"/>
        <v>#DIV/0!</v>
      </c>
      <c r="G341" s="1689"/>
      <c r="H341" s="1690"/>
      <c r="I341" s="1746"/>
      <c r="J341" s="1745"/>
      <c r="K341" s="1690"/>
      <c r="L341" s="1746"/>
      <c r="M341" s="1690"/>
      <c r="N341" s="1690"/>
      <c r="O341" s="1747"/>
      <c r="P341" s="1689"/>
      <c r="Q341" s="1690"/>
      <c r="R341" s="1695"/>
    </row>
    <row r="342" spans="1:18" ht="60.75" hidden="1" thickTop="1">
      <c r="A342" s="1743">
        <v>4080</v>
      </c>
      <c r="B342" s="1751" t="s">
        <v>284</v>
      </c>
      <c r="C342" s="1689"/>
      <c r="D342" s="906">
        <f t="shared" si="43"/>
        <v>0</v>
      </c>
      <c r="E342" s="1836">
        <f t="shared" si="43"/>
        <v>0</v>
      </c>
      <c r="F342" s="1719" t="e">
        <f t="shared" si="45"/>
        <v>#DIV/0!</v>
      </c>
      <c r="G342" s="1689"/>
      <c r="H342" s="1690"/>
      <c r="I342" s="1746"/>
      <c r="J342" s="1745"/>
      <c r="K342" s="1690"/>
      <c r="L342" s="1746"/>
      <c r="M342" s="1690"/>
      <c r="N342" s="1690"/>
      <c r="O342" s="1747"/>
      <c r="P342" s="1689"/>
      <c r="Q342" s="1690"/>
      <c r="R342" s="1695"/>
    </row>
    <row r="343" spans="1:18" ht="24.75" hidden="1" thickTop="1">
      <c r="A343" s="1743">
        <v>4110</v>
      </c>
      <c r="B343" s="1751" t="s">
        <v>110</v>
      </c>
      <c r="C343" s="1689"/>
      <c r="D343" s="906">
        <f t="shared" si="43"/>
        <v>0</v>
      </c>
      <c r="E343" s="1836">
        <f t="shared" si="43"/>
        <v>0</v>
      </c>
      <c r="F343" s="1719" t="e">
        <f t="shared" si="45"/>
        <v>#DIV/0!</v>
      </c>
      <c r="G343" s="1689"/>
      <c r="H343" s="1690"/>
      <c r="I343" s="1746"/>
      <c r="J343" s="1745"/>
      <c r="K343" s="1690"/>
      <c r="L343" s="1746"/>
      <c r="M343" s="1690"/>
      <c r="N343" s="1690"/>
      <c r="O343" s="1747"/>
      <c r="P343" s="1689"/>
      <c r="Q343" s="1690"/>
      <c r="R343" s="1695"/>
    </row>
    <row r="344" spans="1:18" ht="13.5" hidden="1" thickTop="1">
      <c r="A344" s="1743">
        <v>4120</v>
      </c>
      <c r="B344" s="1751" t="s">
        <v>198</v>
      </c>
      <c r="C344" s="1689"/>
      <c r="D344" s="906">
        <f t="shared" si="43"/>
        <v>0</v>
      </c>
      <c r="E344" s="1836">
        <f t="shared" si="43"/>
        <v>0</v>
      </c>
      <c r="F344" s="1719" t="e">
        <f t="shared" si="45"/>
        <v>#DIV/0!</v>
      </c>
      <c r="G344" s="1689"/>
      <c r="H344" s="1690"/>
      <c r="I344" s="1746"/>
      <c r="J344" s="1745"/>
      <c r="K344" s="1690"/>
      <c r="L344" s="1746"/>
      <c r="M344" s="1690"/>
      <c r="N344" s="1690"/>
      <c r="O344" s="1747"/>
      <c r="P344" s="1689"/>
      <c r="Q344" s="1690"/>
      <c r="R344" s="1695"/>
    </row>
    <row r="345" spans="1:18" s="1735" customFormat="1" ht="24.75" hidden="1" thickTop="1">
      <c r="A345" s="1743">
        <v>4210</v>
      </c>
      <c r="B345" s="1751" t="s">
        <v>114</v>
      </c>
      <c r="C345" s="1689"/>
      <c r="D345" s="906">
        <f t="shared" si="43"/>
        <v>0</v>
      </c>
      <c r="E345" s="1836">
        <f t="shared" si="43"/>
        <v>0</v>
      </c>
      <c r="F345" s="1719" t="e">
        <f t="shared" si="45"/>
        <v>#DIV/0!</v>
      </c>
      <c r="G345" s="1829"/>
      <c r="H345" s="893"/>
      <c r="I345" s="1746"/>
      <c r="J345" s="1831"/>
      <c r="K345" s="1830"/>
      <c r="L345" s="1832"/>
      <c r="M345" s="893"/>
      <c r="N345" s="893"/>
      <c r="O345" s="1695"/>
      <c r="P345" s="1689"/>
      <c r="Q345" s="1690"/>
      <c r="R345" s="1695"/>
    </row>
    <row r="346" spans="1:18" s="1735" customFormat="1" ht="13.5" hidden="1" thickTop="1">
      <c r="A346" s="1743">
        <v>4220</v>
      </c>
      <c r="B346" s="1751" t="s">
        <v>285</v>
      </c>
      <c r="C346" s="1689"/>
      <c r="D346" s="906">
        <f t="shared" si="43"/>
        <v>0</v>
      </c>
      <c r="E346" s="1836">
        <f t="shared" si="43"/>
        <v>0</v>
      </c>
      <c r="F346" s="1719" t="e">
        <f t="shared" si="45"/>
        <v>#DIV/0!</v>
      </c>
      <c r="G346" s="1829"/>
      <c r="H346" s="1830"/>
      <c r="I346" s="1746"/>
      <c r="J346" s="1831"/>
      <c r="K346" s="1830"/>
      <c r="L346" s="1832"/>
      <c r="M346" s="1830"/>
      <c r="N346" s="1830"/>
      <c r="O346" s="1747"/>
      <c r="P346" s="1689"/>
      <c r="Q346" s="1690"/>
      <c r="R346" s="1695"/>
    </row>
    <row r="347" spans="1:18" s="1735" customFormat="1" ht="13.5" hidden="1" thickTop="1">
      <c r="A347" s="1743">
        <v>4250</v>
      </c>
      <c r="B347" s="1751" t="s">
        <v>286</v>
      </c>
      <c r="C347" s="1689"/>
      <c r="D347" s="906">
        <f aca="true" t="shared" si="47" ref="D347:E363">G347+J347+P347+M347</f>
        <v>0</v>
      </c>
      <c r="E347" s="1836">
        <f t="shared" si="47"/>
        <v>0</v>
      </c>
      <c r="F347" s="1719" t="e">
        <f t="shared" si="45"/>
        <v>#DIV/0!</v>
      </c>
      <c r="G347" s="1829"/>
      <c r="H347" s="1830"/>
      <c r="I347" s="1746"/>
      <c r="J347" s="1831"/>
      <c r="K347" s="1830"/>
      <c r="L347" s="1832"/>
      <c r="M347" s="893"/>
      <c r="N347" s="893"/>
      <c r="O347" s="1695"/>
      <c r="P347" s="1689"/>
      <c r="Q347" s="1690"/>
      <c r="R347" s="1695"/>
    </row>
    <row r="348" spans="1:18" s="1735" customFormat="1" ht="13.5" hidden="1" thickTop="1">
      <c r="A348" s="1743">
        <v>4260</v>
      </c>
      <c r="B348" s="1751" t="s">
        <v>118</v>
      </c>
      <c r="C348" s="1689"/>
      <c r="D348" s="906">
        <f t="shared" si="47"/>
        <v>0</v>
      </c>
      <c r="E348" s="1836">
        <f t="shared" si="47"/>
        <v>0</v>
      </c>
      <c r="F348" s="1719" t="e">
        <f t="shared" si="45"/>
        <v>#DIV/0!</v>
      </c>
      <c r="G348" s="1829"/>
      <c r="H348" s="1830"/>
      <c r="I348" s="1746"/>
      <c r="J348" s="1831"/>
      <c r="K348" s="1830"/>
      <c r="L348" s="1832"/>
      <c r="M348" s="893"/>
      <c r="N348" s="893"/>
      <c r="O348" s="1695"/>
      <c r="P348" s="1689"/>
      <c r="Q348" s="1690"/>
      <c r="R348" s="1695"/>
    </row>
    <row r="349" spans="1:18" s="1735" customFormat="1" ht="30" customHeight="1" hidden="1">
      <c r="A349" s="1743">
        <v>2950</v>
      </c>
      <c r="B349" s="1751" t="s">
        <v>287</v>
      </c>
      <c r="C349" s="1689"/>
      <c r="D349" s="906">
        <f t="shared" si="47"/>
        <v>0</v>
      </c>
      <c r="E349" s="1836">
        <f t="shared" si="47"/>
        <v>0</v>
      </c>
      <c r="F349" s="1719" t="e">
        <f t="shared" si="45"/>
        <v>#DIV/0!</v>
      </c>
      <c r="G349" s="1829"/>
      <c r="H349" s="1830"/>
      <c r="I349" s="1746"/>
      <c r="J349" s="1831"/>
      <c r="K349" s="1830"/>
      <c r="L349" s="1832"/>
      <c r="M349" s="893"/>
      <c r="N349" s="893"/>
      <c r="O349" s="1669"/>
      <c r="P349" s="1790"/>
      <c r="Q349" s="1690"/>
      <c r="R349" s="1695"/>
    </row>
    <row r="350" spans="1:18" s="1735" customFormat="1" ht="18.75" customHeight="1" hidden="1">
      <c r="A350" s="1743">
        <v>4270</v>
      </c>
      <c r="B350" s="1751" t="s">
        <v>120</v>
      </c>
      <c r="C350" s="1689"/>
      <c r="D350" s="906">
        <f t="shared" si="47"/>
        <v>0</v>
      </c>
      <c r="E350" s="1836">
        <f t="shared" si="47"/>
        <v>0</v>
      </c>
      <c r="F350" s="1719" t="e">
        <f t="shared" si="45"/>
        <v>#DIV/0!</v>
      </c>
      <c r="G350" s="1829"/>
      <c r="H350" s="1830"/>
      <c r="I350" s="1746"/>
      <c r="J350" s="1831"/>
      <c r="K350" s="1830"/>
      <c r="L350" s="1832"/>
      <c r="M350" s="893"/>
      <c r="N350" s="893"/>
      <c r="O350" s="1669"/>
      <c r="P350" s="1689"/>
      <c r="Q350" s="1690"/>
      <c r="R350" s="1695"/>
    </row>
    <row r="351" spans="1:18" s="1735" customFormat="1" ht="13.5" hidden="1" thickTop="1">
      <c r="A351" s="1743">
        <v>4300</v>
      </c>
      <c r="B351" s="1751" t="s">
        <v>122</v>
      </c>
      <c r="C351" s="1689"/>
      <c r="D351" s="906">
        <f t="shared" si="47"/>
        <v>0</v>
      </c>
      <c r="E351" s="1836">
        <f t="shared" si="47"/>
        <v>0</v>
      </c>
      <c r="F351" s="1719" t="e">
        <f t="shared" si="45"/>
        <v>#DIV/0!</v>
      </c>
      <c r="G351" s="1829"/>
      <c r="H351" s="1830"/>
      <c r="I351" s="1746"/>
      <c r="J351" s="1831"/>
      <c r="K351" s="1830"/>
      <c r="L351" s="1832"/>
      <c r="M351" s="893"/>
      <c r="N351" s="893"/>
      <c r="O351" s="1695"/>
      <c r="P351" s="1689"/>
      <c r="Q351" s="1690"/>
      <c r="R351" s="1695"/>
    </row>
    <row r="352" spans="1:18" s="1735" customFormat="1" ht="13.5" hidden="1" thickTop="1">
      <c r="A352" s="1743">
        <v>4410</v>
      </c>
      <c r="B352" s="1751" t="s">
        <v>96</v>
      </c>
      <c r="C352" s="1689"/>
      <c r="D352" s="906">
        <f t="shared" si="47"/>
        <v>0</v>
      </c>
      <c r="E352" s="1836">
        <f t="shared" si="47"/>
        <v>0</v>
      </c>
      <c r="F352" s="1719" t="e">
        <f t="shared" si="45"/>
        <v>#DIV/0!</v>
      </c>
      <c r="G352" s="1829"/>
      <c r="H352" s="1830"/>
      <c r="I352" s="1746"/>
      <c r="J352" s="1831"/>
      <c r="K352" s="1830"/>
      <c r="L352" s="1832"/>
      <c r="M352" s="1830"/>
      <c r="N352" s="893"/>
      <c r="O352" s="1747"/>
      <c r="P352" s="1689"/>
      <c r="Q352" s="1690"/>
      <c r="R352" s="1695"/>
    </row>
    <row r="353" spans="1:18" s="1735" customFormat="1" ht="13.5" hidden="1" thickTop="1">
      <c r="A353" s="1743">
        <v>4430</v>
      </c>
      <c r="B353" s="1751" t="s">
        <v>124</v>
      </c>
      <c r="C353" s="1689"/>
      <c r="D353" s="906">
        <f t="shared" si="47"/>
        <v>0</v>
      </c>
      <c r="E353" s="1836">
        <f t="shared" si="47"/>
        <v>0</v>
      </c>
      <c r="F353" s="1719" t="e">
        <f t="shared" si="45"/>
        <v>#DIV/0!</v>
      </c>
      <c r="G353" s="1829"/>
      <c r="H353" s="1830"/>
      <c r="I353" s="1746"/>
      <c r="J353" s="1831"/>
      <c r="K353" s="1830"/>
      <c r="L353" s="1832"/>
      <c r="M353" s="1830"/>
      <c r="N353" s="893"/>
      <c r="O353" s="1747"/>
      <c r="P353" s="1689"/>
      <c r="Q353" s="1690"/>
      <c r="R353" s="1695"/>
    </row>
    <row r="354" spans="1:18" s="1735" customFormat="1" ht="13.5" hidden="1" thickTop="1">
      <c r="A354" s="1743">
        <v>4440</v>
      </c>
      <c r="B354" s="1751" t="s">
        <v>288</v>
      </c>
      <c r="C354" s="1689"/>
      <c r="D354" s="906">
        <f t="shared" si="47"/>
        <v>0</v>
      </c>
      <c r="E354" s="1836">
        <f t="shared" si="47"/>
        <v>0</v>
      </c>
      <c r="F354" s="1719" t="e">
        <f t="shared" si="45"/>
        <v>#DIV/0!</v>
      </c>
      <c r="G354" s="1829"/>
      <c r="H354" s="1830"/>
      <c r="I354" s="1746"/>
      <c r="J354" s="1831"/>
      <c r="K354" s="1830"/>
      <c r="L354" s="1832"/>
      <c r="M354" s="1830"/>
      <c r="N354" s="893"/>
      <c r="O354" s="1747"/>
      <c r="P354" s="1689"/>
      <c r="Q354" s="1690"/>
      <c r="R354" s="1695"/>
    </row>
    <row r="355" spans="1:18" s="1735" customFormat="1" ht="13.5" hidden="1" thickTop="1">
      <c r="A355" s="1743">
        <v>4480</v>
      </c>
      <c r="B355" s="1751" t="s">
        <v>688</v>
      </c>
      <c r="C355" s="1689"/>
      <c r="D355" s="906">
        <f t="shared" si="47"/>
        <v>0</v>
      </c>
      <c r="E355" s="1836">
        <f t="shared" si="47"/>
        <v>0</v>
      </c>
      <c r="F355" s="1719" t="e">
        <f t="shared" si="45"/>
        <v>#DIV/0!</v>
      </c>
      <c r="G355" s="1829"/>
      <c r="H355" s="1830"/>
      <c r="I355" s="1746"/>
      <c r="J355" s="1831"/>
      <c r="K355" s="1830"/>
      <c r="L355" s="1832"/>
      <c r="M355" s="893"/>
      <c r="N355" s="893"/>
      <c r="O355" s="1695"/>
      <c r="P355" s="1689"/>
      <c r="Q355" s="1690"/>
      <c r="R355" s="1695"/>
    </row>
    <row r="356" spans="1:18" s="1735" customFormat="1" ht="25.5" customHeight="1" hidden="1">
      <c r="A356" s="1743">
        <v>4500</v>
      </c>
      <c r="B356" s="1751" t="s">
        <v>289</v>
      </c>
      <c r="C356" s="1689"/>
      <c r="D356" s="906">
        <f t="shared" si="47"/>
        <v>0</v>
      </c>
      <c r="E356" s="1836">
        <f t="shared" si="47"/>
        <v>0</v>
      </c>
      <c r="F356" s="1719" t="e">
        <f t="shared" si="45"/>
        <v>#DIV/0!</v>
      </c>
      <c r="G356" s="1829"/>
      <c r="H356" s="1830"/>
      <c r="I356" s="1746"/>
      <c r="J356" s="1831"/>
      <c r="K356" s="1830"/>
      <c r="L356" s="1832"/>
      <c r="M356" s="1830"/>
      <c r="N356" s="1830"/>
      <c r="O356" s="1747"/>
      <c r="P356" s="1689"/>
      <c r="Q356" s="1690"/>
      <c r="R356" s="1695"/>
    </row>
    <row r="357" spans="1:18" s="1735" customFormat="1" ht="25.5" customHeight="1" hidden="1">
      <c r="A357" s="1743">
        <v>4510</v>
      </c>
      <c r="B357" s="1751" t="s">
        <v>290</v>
      </c>
      <c r="C357" s="1689"/>
      <c r="D357" s="906">
        <f t="shared" si="47"/>
        <v>0</v>
      </c>
      <c r="E357" s="1836">
        <f t="shared" si="47"/>
        <v>0</v>
      </c>
      <c r="F357" s="1719" t="e">
        <f t="shared" si="45"/>
        <v>#DIV/0!</v>
      </c>
      <c r="G357" s="1829"/>
      <c r="H357" s="1830"/>
      <c r="I357" s="1746"/>
      <c r="J357" s="1831"/>
      <c r="K357" s="1830"/>
      <c r="L357" s="1832"/>
      <c r="M357" s="1830"/>
      <c r="N357" s="1830"/>
      <c r="O357" s="1747"/>
      <c r="P357" s="1689"/>
      <c r="Q357" s="1690"/>
      <c r="R357" s="1695"/>
    </row>
    <row r="358" spans="1:18" s="1735" customFormat="1" ht="33" customHeight="1" hidden="1">
      <c r="A358" s="1743">
        <v>4520</v>
      </c>
      <c r="B358" s="1751" t="s">
        <v>291</v>
      </c>
      <c r="C358" s="1689"/>
      <c r="D358" s="906">
        <f t="shared" si="47"/>
        <v>0</v>
      </c>
      <c r="E358" s="1836">
        <f t="shared" si="47"/>
        <v>0</v>
      </c>
      <c r="F358" s="1719" t="e">
        <f t="shared" si="45"/>
        <v>#DIV/0!</v>
      </c>
      <c r="G358" s="1829"/>
      <c r="H358" s="1830"/>
      <c r="I358" s="1746"/>
      <c r="J358" s="1831"/>
      <c r="K358" s="1830"/>
      <c r="L358" s="1832"/>
      <c r="M358" s="893"/>
      <c r="N358" s="893"/>
      <c r="O358" s="1695"/>
      <c r="P358" s="1689"/>
      <c r="Q358" s="1690"/>
      <c r="R358" s="1695"/>
    </row>
    <row r="359" spans="1:18" s="1735" customFormat="1" ht="25.5" customHeight="1" hidden="1">
      <c r="A359" s="1743">
        <v>4550</v>
      </c>
      <c r="B359" s="1751" t="s">
        <v>129</v>
      </c>
      <c r="C359" s="1689"/>
      <c r="D359" s="906">
        <f t="shared" si="47"/>
        <v>0</v>
      </c>
      <c r="E359" s="1836">
        <f t="shared" si="47"/>
        <v>0</v>
      </c>
      <c r="F359" s="1719" t="e">
        <f t="shared" si="45"/>
        <v>#DIV/0!</v>
      </c>
      <c r="G359" s="1829"/>
      <c r="H359" s="1830"/>
      <c r="I359" s="1746"/>
      <c r="J359" s="1831"/>
      <c r="K359" s="1830"/>
      <c r="L359" s="1832"/>
      <c r="M359" s="1830"/>
      <c r="N359" s="893"/>
      <c r="O359" s="1747"/>
      <c r="P359" s="1689"/>
      <c r="Q359" s="1690"/>
      <c r="R359" s="1695"/>
    </row>
    <row r="360" spans="1:18" s="1735" customFormat="1" ht="41.25" customHeight="1" hidden="1">
      <c r="A360" s="1743">
        <v>4570</v>
      </c>
      <c r="B360" s="1751" t="s">
        <v>292</v>
      </c>
      <c r="C360" s="1689"/>
      <c r="D360" s="906">
        <f t="shared" si="47"/>
        <v>0</v>
      </c>
      <c r="E360" s="1836">
        <f t="shared" si="47"/>
        <v>0</v>
      </c>
      <c r="F360" s="1719" t="e">
        <f t="shared" si="45"/>
        <v>#DIV/0!</v>
      </c>
      <c r="G360" s="1829"/>
      <c r="H360" s="1830"/>
      <c r="I360" s="1746"/>
      <c r="J360" s="1831"/>
      <c r="K360" s="1830"/>
      <c r="L360" s="1832"/>
      <c r="M360" s="893"/>
      <c r="N360" s="893"/>
      <c r="O360" s="1695"/>
      <c r="P360" s="1689"/>
      <c r="Q360" s="1690"/>
      <c r="R360" s="1695"/>
    </row>
    <row r="361" spans="1:18" s="1735" customFormat="1" ht="41.25" customHeight="1" hidden="1">
      <c r="A361" s="1743">
        <v>6050</v>
      </c>
      <c r="B361" s="1751" t="s">
        <v>194</v>
      </c>
      <c r="C361" s="1689"/>
      <c r="D361" s="1764">
        <f t="shared" si="47"/>
        <v>0</v>
      </c>
      <c r="E361" s="1934">
        <f t="shared" si="47"/>
        <v>0</v>
      </c>
      <c r="F361" s="1666" t="e">
        <f t="shared" si="45"/>
        <v>#DIV/0!</v>
      </c>
      <c r="G361" s="1829"/>
      <c r="H361" s="1830"/>
      <c r="I361" s="1746"/>
      <c r="J361" s="1831"/>
      <c r="K361" s="1830"/>
      <c r="L361" s="1832"/>
      <c r="M361" s="893"/>
      <c r="N361" s="893"/>
      <c r="O361" s="1695"/>
      <c r="P361" s="1689"/>
      <c r="Q361" s="1690"/>
      <c r="R361" s="1695"/>
    </row>
    <row r="362" spans="1:18" s="1735" customFormat="1" ht="0.75" customHeight="1">
      <c r="A362" s="1798">
        <v>6060</v>
      </c>
      <c r="B362" s="1935" t="s">
        <v>293</v>
      </c>
      <c r="C362" s="1800"/>
      <c r="D362" s="919">
        <f t="shared" si="47"/>
        <v>0</v>
      </c>
      <c r="E362" s="919">
        <f t="shared" si="47"/>
        <v>0</v>
      </c>
      <c r="F362" s="1681" t="e">
        <f t="shared" si="45"/>
        <v>#DIV/0!</v>
      </c>
      <c r="G362" s="1839"/>
      <c r="H362" s="1830"/>
      <c r="I362" s="1746"/>
      <c r="J362" s="1831"/>
      <c r="K362" s="1830"/>
      <c r="L362" s="1832"/>
      <c r="M362" s="1690">
        <f>167000-167000</f>
        <v>0</v>
      </c>
      <c r="N362" s="1690"/>
      <c r="O362" s="1695" t="e">
        <f>N362/M362*100</f>
        <v>#DIV/0!</v>
      </c>
      <c r="P362" s="1689"/>
      <c r="Q362" s="1690"/>
      <c r="R362" s="1695"/>
    </row>
    <row r="363" spans="1:18" s="1735" customFormat="1" ht="72">
      <c r="A363" s="1798">
        <v>6170</v>
      </c>
      <c r="B363" s="1935" t="s">
        <v>294</v>
      </c>
      <c r="C363" s="1800"/>
      <c r="D363" s="925">
        <f t="shared" si="47"/>
        <v>247000</v>
      </c>
      <c r="E363" s="925">
        <f t="shared" si="47"/>
        <v>167000</v>
      </c>
      <c r="F363" s="1719">
        <f t="shared" si="45"/>
        <v>67.61133603238866</v>
      </c>
      <c r="G363" s="1839"/>
      <c r="H363" s="1843"/>
      <c r="I363" s="1857"/>
      <c r="J363" s="1843"/>
      <c r="K363" s="1842"/>
      <c r="L363" s="1844"/>
      <c r="M363" s="1791">
        <f>167000+80000</f>
        <v>247000</v>
      </c>
      <c r="N363" s="1791">
        <v>167000</v>
      </c>
      <c r="O363" s="1695">
        <f>N363/M363*100</f>
        <v>67.61133603238866</v>
      </c>
      <c r="P363" s="1800"/>
      <c r="Q363" s="1791"/>
      <c r="R363" s="1720"/>
    </row>
    <row r="364" spans="1:18" s="1735" customFormat="1" ht="36.75" customHeight="1">
      <c r="A364" s="1837">
        <v>75411</v>
      </c>
      <c r="B364" s="1838" t="s">
        <v>784</v>
      </c>
      <c r="C364" s="883">
        <f>SUM(C365:C393)</f>
        <v>5006000</v>
      </c>
      <c r="D364" s="884">
        <f aca="true" t="shared" si="48" ref="D364:E396">G364+J364+P364+M364</f>
        <v>5072400</v>
      </c>
      <c r="E364" s="884">
        <f aca="true" t="shared" si="49" ref="E364:E393">SUM(H364+K364+N364+Q364)</f>
        <v>2507334</v>
      </c>
      <c r="F364" s="1719">
        <f>E364/D364*100</f>
        <v>49.430920274426306</v>
      </c>
      <c r="G364" s="1839"/>
      <c r="H364" s="1740"/>
      <c r="I364" s="1881"/>
      <c r="J364" s="1740"/>
      <c r="K364" s="1680"/>
      <c r="L364" s="1741"/>
      <c r="M364" s="1680">
        <f>SUM(M365:M393)</f>
        <v>66400</v>
      </c>
      <c r="N364" s="1680"/>
      <c r="O364" s="1688">
        <f>N364/M364*100</f>
        <v>0</v>
      </c>
      <c r="P364" s="1738">
        <f>SUM(P365:P393)</f>
        <v>5006000</v>
      </c>
      <c r="Q364" s="1680">
        <f>SUM(Q365:Q393)</f>
        <v>2507334</v>
      </c>
      <c r="R364" s="1688">
        <f aca="true" t="shared" si="50" ref="R364:R390">Q364/P364*100</f>
        <v>50.086576108669604</v>
      </c>
    </row>
    <row r="365" spans="1:18" s="1735" customFormat="1" ht="48">
      <c r="A365" s="1818">
        <v>3070</v>
      </c>
      <c r="B365" s="1751" t="s">
        <v>295</v>
      </c>
      <c r="C365" s="1689">
        <v>465000</v>
      </c>
      <c r="D365" s="893">
        <f t="shared" si="48"/>
        <v>445000</v>
      </c>
      <c r="E365" s="1690">
        <f t="shared" si="49"/>
        <v>188992</v>
      </c>
      <c r="F365" s="1666">
        <f>E365/D365*100</f>
        <v>42.47011235955056</v>
      </c>
      <c r="G365" s="1829"/>
      <c r="H365" s="1830"/>
      <c r="I365" s="1746"/>
      <c r="J365" s="1936"/>
      <c r="K365" s="1830"/>
      <c r="L365" s="1832"/>
      <c r="M365" s="1830"/>
      <c r="N365" s="1831"/>
      <c r="O365" s="1747"/>
      <c r="P365" s="1689">
        <v>445000</v>
      </c>
      <c r="Q365" s="1690">
        <v>188992</v>
      </c>
      <c r="R365" s="1695">
        <f t="shared" si="50"/>
        <v>42.47011235955056</v>
      </c>
    </row>
    <row r="366" spans="1:18" s="1735" customFormat="1" ht="27.75" customHeight="1">
      <c r="A366" s="1818">
        <v>4010</v>
      </c>
      <c r="B366" s="1751" t="s">
        <v>279</v>
      </c>
      <c r="C366" s="1689">
        <v>83000</v>
      </c>
      <c r="D366" s="893">
        <f t="shared" si="48"/>
        <v>71000</v>
      </c>
      <c r="E366" s="1690">
        <f t="shared" si="49"/>
        <v>32916</v>
      </c>
      <c r="F366" s="1666">
        <f>E366/D366*100</f>
        <v>46.36056338028169</v>
      </c>
      <c r="G366" s="1829"/>
      <c r="H366" s="1830"/>
      <c r="I366" s="1746"/>
      <c r="J366" s="1936"/>
      <c r="K366" s="1830"/>
      <c r="L366" s="1832"/>
      <c r="M366" s="1830"/>
      <c r="N366" s="1831"/>
      <c r="O366" s="1747"/>
      <c r="P366" s="1689">
        <v>71000</v>
      </c>
      <c r="Q366" s="1690">
        <v>32916</v>
      </c>
      <c r="R366" s="1695">
        <f t="shared" si="50"/>
        <v>46.36056338028169</v>
      </c>
    </row>
    <row r="367" spans="1:18" s="1735" customFormat="1" ht="36">
      <c r="A367" s="1818">
        <v>4020</v>
      </c>
      <c r="B367" s="1751" t="s">
        <v>280</v>
      </c>
      <c r="C367" s="1689">
        <v>78000</v>
      </c>
      <c r="D367" s="893">
        <f t="shared" si="48"/>
        <v>81000</v>
      </c>
      <c r="E367" s="1690">
        <f t="shared" si="49"/>
        <v>25172</v>
      </c>
      <c r="F367" s="1666">
        <f aca="true" t="shared" si="51" ref="F367:F390">E367/D367*100</f>
        <v>31.076543209876544</v>
      </c>
      <c r="G367" s="1829"/>
      <c r="H367" s="1830"/>
      <c r="I367" s="1746"/>
      <c r="J367" s="1937"/>
      <c r="K367" s="1830"/>
      <c r="L367" s="1832"/>
      <c r="M367" s="1830"/>
      <c r="N367" s="1831"/>
      <c r="O367" s="1747"/>
      <c r="P367" s="1689">
        <v>81000</v>
      </c>
      <c r="Q367" s="1690">
        <v>25172</v>
      </c>
      <c r="R367" s="1695">
        <f t="shared" si="50"/>
        <v>31.076543209876544</v>
      </c>
    </row>
    <row r="368" spans="1:18" s="1735" customFormat="1" ht="24">
      <c r="A368" s="1818">
        <v>4040</v>
      </c>
      <c r="B368" s="1751" t="s">
        <v>108</v>
      </c>
      <c r="C368" s="1689">
        <v>11000</v>
      </c>
      <c r="D368" s="893">
        <f t="shared" si="48"/>
        <v>14000</v>
      </c>
      <c r="E368" s="1690">
        <f t="shared" si="49"/>
        <v>5607</v>
      </c>
      <c r="F368" s="1666">
        <f t="shared" si="51"/>
        <v>40.050000000000004</v>
      </c>
      <c r="G368" s="1829"/>
      <c r="H368" s="1830"/>
      <c r="I368" s="1746"/>
      <c r="J368" s="1936"/>
      <c r="K368" s="1830"/>
      <c r="L368" s="1832"/>
      <c r="M368" s="1830"/>
      <c r="N368" s="1831"/>
      <c r="O368" s="1747"/>
      <c r="P368" s="1689">
        <v>14000</v>
      </c>
      <c r="Q368" s="1690">
        <v>5607</v>
      </c>
      <c r="R368" s="1695">
        <f t="shared" si="50"/>
        <v>40.050000000000004</v>
      </c>
    </row>
    <row r="369" spans="1:18" s="1735" customFormat="1" ht="24">
      <c r="A369" s="1818">
        <v>4050</v>
      </c>
      <c r="B369" s="1751" t="s">
        <v>281</v>
      </c>
      <c r="C369" s="1689">
        <v>2910000</v>
      </c>
      <c r="D369" s="893">
        <f t="shared" si="48"/>
        <v>3012000</v>
      </c>
      <c r="E369" s="1690">
        <f t="shared" si="49"/>
        <v>1438586</v>
      </c>
      <c r="F369" s="1666">
        <f t="shared" si="51"/>
        <v>47.76181938911023</v>
      </c>
      <c r="G369" s="1829"/>
      <c r="H369" s="1830"/>
      <c r="I369" s="1746"/>
      <c r="J369" s="1937"/>
      <c r="K369" s="1830"/>
      <c r="L369" s="1832"/>
      <c r="M369" s="1830"/>
      <c r="N369" s="1831"/>
      <c r="O369" s="1747"/>
      <c r="P369" s="1689">
        <v>3012000</v>
      </c>
      <c r="Q369" s="1690">
        <v>1438586</v>
      </c>
      <c r="R369" s="1695">
        <f t="shared" si="50"/>
        <v>47.76181938911023</v>
      </c>
    </row>
    <row r="370" spans="1:18" s="1735" customFormat="1" ht="24">
      <c r="A370" s="1818">
        <v>4060</v>
      </c>
      <c r="B370" s="1751" t="s">
        <v>282</v>
      </c>
      <c r="C370" s="1689">
        <v>130000</v>
      </c>
      <c r="D370" s="893">
        <f t="shared" si="48"/>
        <v>73000</v>
      </c>
      <c r="E370" s="1690">
        <f t="shared" si="49"/>
        <v>53113</v>
      </c>
      <c r="F370" s="1666">
        <f t="shared" si="51"/>
        <v>72.75753424657535</v>
      </c>
      <c r="G370" s="1829"/>
      <c r="H370" s="1830"/>
      <c r="I370" s="1746"/>
      <c r="J370" s="1936"/>
      <c r="K370" s="1830"/>
      <c r="L370" s="1832"/>
      <c r="M370" s="1830"/>
      <c r="N370" s="1831"/>
      <c r="O370" s="1747"/>
      <c r="P370" s="1689">
        <v>73000</v>
      </c>
      <c r="Q370" s="1690">
        <v>53113</v>
      </c>
      <c r="R370" s="1695">
        <f t="shared" si="50"/>
        <v>72.75753424657535</v>
      </c>
    </row>
    <row r="371" spans="1:18" s="1735" customFormat="1" ht="24">
      <c r="A371" s="1818">
        <v>4070</v>
      </c>
      <c r="B371" s="1751" t="s">
        <v>283</v>
      </c>
      <c r="C371" s="1689">
        <v>260000</v>
      </c>
      <c r="D371" s="893">
        <f t="shared" si="48"/>
        <v>250000</v>
      </c>
      <c r="E371" s="1690">
        <f t="shared" si="49"/>
        <v>230876</v>
      </c>
      <c r="F371" s="1666">
        <f t="shared" si="51"/>
        <v>92.3504</v>
      </c>
      <c r="G371" s="1829"/>
      <c r="H371" s="1830"/>
      <c r="I371" s="1746"/>
      <c r="J371" s="1936"/>
      <c r="K371" s="1830"/>
      <c r="L371" s="1832"/>
      <c r="M371" s="1830"/>
      <c r="N371" s="1831"/>
      <c r="O371" s="1747"/>
      <c r="P371" s="1689">
        <v>250000</v>
      </c>
      <c r="Q371" s="1690">
        <v>230876</v>
      </c>
      <c r="R371" s="1695">
        <f t="shared" si="50"/>
        <v>92.3504</v>
      </c>
    </row>
    <row r="372" spans="1:18" s="1735" customFormat="1" ht="48">
      <c r="A372" s="1818">
        <v>4080</v>
      </c>
      <c r="B372" s="1751" t="s">
        <v>296</v>
      </c>
      <c r="C372" s="1689">
        <v>32000</v>
      </c>
      <c r="D372" s="893">
        <f t="shared" si="48"/>
        <v>31000</v>
      </c>
      <c r="E372" s="1690">
        <f t="shared" si="49"/>
        <v>0</v>
      </c>
      <c r="F372" s="1666">
        <f t="shared" si="51"/>
        <v>0</v>
      </c>
      <c r="G372" s="1829"/>
      <c r="H372" s="1830"/>
      <c r="I372" s="1746"/>
      <c r="J372" s="1936"/>
      <c r="K372" s="1830"/>
      <c r="L372" s="1832"/>
      <c r="M372" s="1830"/>
      <c r="N372" s="1831"/>
      <c r="O372" s="1747"/>
      <c r="P372" s="1689">
        <v>31000</v>
      </c>
      <c r="Q372" s="1690"/>
      <c r="R372" s="1695">
        <f t="shared" si="50"/>
        <v>0</v>
      </c>
    </row>
    <row r="373" spans="1:18" s="1735" customFormat="1" ht="24">
      <c r="A373" s="1818">
        <v>4110</v>
      </c>
      <c r="B373" s="1751" t="s">
        <v>110</v>
      </c>
      <c r="C373" s="1689">
        <v>27000</v>
      </c>
      <c r="D373" s="893">
        <f t="shared" si="48"/>
        <v>27000</v>
      </c>
      <c r="E373" s="1690">
        <f t="shared" si="49"/>
        <v>12168</v>
      </c>
      <c r="F373" s="1666">
        <f t="shared" si="51"/>
        <v>45.06666666666666</v>
      </c>
      <c r="G373" s="1829"/>
      <c r="H373" s="1830"/>
      <c r="I373" s="1746"/>
      <c r="J373" s="1937"/>
      <c r="K373" s="1830"/>
      <c r="L373" s="1832"/>
      <c r="M373" s="1830"/>
      <c r="N373" s="1831"/>
      <c r="O373" s="1747"/>
      <c r="P373" s="1689">
        <v>27000</v>
      </c>
      <c r="Q373" s="1690">
        <v>12168</v>
      </c>
      <c r="R373" s="1695">
        <f t="shared" si="50"/>
        <v>45.06666666666666</v>
      </c>
    </row>
    <row r="374" spans="1:18" s="1735" customFormat="1" ht="12.75">
      <c r="A374" s="1818">
        <v>4120</v>
      </c>
      <c r="B374" s="1751" t="s">
        <v>198</v>
      </c>
      <c r="C374" s="1689">
        <v>4000</v>
      </c>
      <c r="D374" s="893">
        <f t="shared" si="48"/>
        <v>4000</v>
      </c>
      <c r="E374" s="1690">
        <f t="shared" si="49"/>
        <v>1545</v>
      </c>
      <c r="F374" s="1666">
        <f t="shared" si="51"/>
        <v>38.625</v>
      </c>
      <c r="G374" s="1829"/>
      <c r="H374" s="1830"/>
      <c r="I374" s="1746"/>
      <c r="J374" s="1936"/>
      <c r="K374" s="1830"/>
      <c r="L374" s="1832"/>
      <c r="M374" s="1830"/>
      <c r="N374" s="1831"/>
      <c r="O374" s="1747"/>
      <c r="P374" s="1689">
        <v>4000</v>
      </c>
      <c r="Q374" s="1690">
        <v>1545</v>
      </c>
      <c r="R374" s="1695">
        <f t="shared" si="50"/>
        <v>38.625</v>
      </c>
    </row>
    <row r="375" spans="1:18" s="1735" customFormat="1" ht="24">
      <c r="A375" s="1818">
        <v>4170</v>
      </c>
      <c r="B375" s="1751" t="s">
        <v>169</v>
      </c>
      <c r="C375" s="1689">
        <v>1000</v>
      </c>
      <c r="D375" s="893">
        <f t="shared" si="48"/>
        <v>2236</v>
      </c>
      <c r="E375" s="1690">
        <f t="shared" si="49"/>
        <v>2236</v>
      </c>
      <c r="F375" s="1666">
        <f t="shared" si="51"/>
        <v>100</v>
      </c>
      <c r="G375" s="895"/>
      <c r="H375" s="893"/>
      <c r="I375" s="1746"/>
      <c r="J375" s="1936"/>
      <c r="K375" s="1830"/>
      <c r="L375" s="1832"/>
      <c r="M375" s="1830"/>
      <c r="N375" s="1831"/>
      <c r="O375" s="1747"/>
      <c r="P375" s="1689">
        <f>1500+736</f>
        <v>2236</v>
      </c>
      <c r="Q375" s="1690">
        <v>2236</v>
      </c>
      <c r="R375" s="1695">
        <f t="shared" si="50"/>
        <v>100</v>
      </c>
    </row>
    <row r="376" spans="1:18" s="1735" customFormat="1" ht="36">
      <c r="A376" s="1818">
        <v>4180</v>
      </c>
      <c r="B376" s="1751" t="s">
        <v>297</v>
      </c>
      <c r="C376" s="1689">
        <v>228000</v>
      </c>
      <c r="D376" s="893">
        <f t="shared" si="48"/>
        <v>220000</v>
      </c>
      <c r="E376" s="1690">
        <f t="shared" si="49"/>
        <v>208983</v>
      </c>
      <c r="F376" s="1666">
        <f t="shared" si="51"/>
        <v>94.99227272727273</v>
      </c>
      <c r="G376" s="895"/>
      <c r="H376" s="893"/>
      <c r="I376" s="1746"/>
      <c r="J376" s="1936"/>
      <c r="K376" s="1830"/>
      <c r="L376" s="1832"/>
      <c r="M376" s="1830"/>
      <c r="N376" s="1831"/>
      <c r="O376" s="1747"/>
      <c r="P376" s="1689">
        <v>220000</v>
      </c>
      <c r="Q376" s="1690">
        <v>208983</v>
      </c>
      <c r="R376" s="1695">
        <f t="shared" si="50"/>
        <v>94.99227272727273</v>
      </c>
    </row>
    <row r="377" spans="1:18" s="1735" customFormat="1" ht="24">
      <c r="A377" s="1743">
        <v>4210</v>
      </c>
      <c r="B377" s="1751" t="s">
        <v>114</v>
      </c>
      <c r="C377" s="1689">
        <v>219000</v>
      </c>
      <c r="D377" s="893">
        <f>G377+J377+P377+M377</f>
        <v>280000</v>
      </c>
      <c r="E377" s="1690">
        <f t="shared" si="49"/>
        <v>74431</v>
      </c>
      <c r="F377" s="1666">
        <f t="shared" si="51"/>
        <v>26.582499999999996</v>
      </c>
      <c r="G377" s="895"/>
      <c r="H377" s="893"/>
      <c r="I377" s="1746"/>
      <c r="J377" s="1936"/>
      <c r="K377" s="1830"/>
      <c r="L377" s="1832"/>
      <c r="M377" s="893">
        <f>32000+30000</f>
        <v>62000</v>
      </c>
      <c r="N377" s="1820"/>
      <c r="O377" s="1695">
        <f>N377/M377*100</f>
        <v>0</v>
      </c>
      <c r="P377" s="1689">
        <v>218000</v>
      </c>
      <c r="Q377" s="1690">
        <v>74431</v>
      </c>
      <c r="R377" s="1695">
        <f t="shared" si="50"/>
        <v>34.142660550458714</v>
      </c>
    </row>
    <row r="378" spans="1:18" s="1735" customFormat="1" ht="12.75" hidden="1">
      <c r="A378" s="1743">
        <v>4250</v>
      </c>
      <c r="B378" s="1751" t="s">
        <v>298</v>
      </c>
      <c r="C378" s="1689"/>
      <c r="D378" s="893">
        <f t="shared" si="48"/>
        <v>0</v>
      </c>
      <c r="E378" s="1690">
        <f t="shared" si="49"/>
        <v>0</v>
      </c>
      <c r="F378" s="1666" t="e">
        <f t="shared" si="51"/>
        <v>#DIV/0!</v>
      </c>
      <c r="G378" s="895"/>
      <c r="H378" s="893"/>
      <c r="I378" s="1746" t="e">
        <f>H378/G378*100</f>
        <v>#DIV/0!</v>
      </c>
      <c r="J378" s="1936"/>
      <c r="K378" s="1830"/>
      <c r="L378" s="1832"/>
      <c r="M378" s="893"/>
      <c r="N378" s="1820"/>
      <c r="O378" s="1695"/>
      <c r="P378" s="1689"/>
      <c r="Q378" s="1690"/>
      <c r="R378" s="1695" t="e">
        <f t="shared" si="50"/>
        <v>#DIV/0!</v>
      </c>
    </row>
    <row r="379" spans="1:18" s="1735" customFormat="1" ht="12.75">
      <c r="A379" s="1743">
        <v>4220</v>
      </c>
      <c r="B379" s="1751" t="s">
        <v>285</v>
      </c>
      <c r="C379" s="1689">
        <v>1000</v>
      </c>
      <c r="D379" s="893">
        <f t="shared" si="48"/>
        <v>1767</v>
      </c>
      <c r="E379" s="1690">
        <f t="shared" si="49"/>
        <v>994</v>
      </c>
      <c r="F379" s="1666">
        <f t="shared" si="51"/>
        <v>56.25353706847764</v>
      </c>
      <c r="G379" s="895"/>
      <c r="H379" s="893"/>
      <c r="I379" s="1746"/>
      <c r="J379" s="1936"/>
      <c r="K379" s="1830"/>
      <c r="L379" s="1832"/>
      <c r="M379" s="893"/>
      <c r="N379" s="1820"/>
      <c r="O379" s="1695"/>
      <c r="P379" s="1689">
        <f>2000-233</f>
        <v>1767</v>
      </c>
      <c r="Q379" s="1690">
        <v>994</v>
      </c>
      <c r="R379" s="1695">
        <f t="shared" si="50"/>
        <v>56.25353706847764</v>
      </c>
    </row>
    <row r="380" spans="1:18" s="1735" customFormat="1" ht="24">
      <c r="A380" s="1743">
        <v>4230</v>
      </c>
      <c r="B380" s="1751" t="s">
        <v>116</v>
      </c>
      <c r="C380" s="1689">
        <v>1000</v>
      </c>
      <c r="D380" s="893">
        <f t="shared" si="48"/>
        <v>1000</v>
      </c>
      <c r="E380" s="1690">
        <f t="shared" si="49"/>
        <v>0</v>
      </c>
      <c r="F380" s="1666">
        <f t="shared" si="51"/>
        <v>0</v>
      </c>
      <c r="G380" s="895"/>
      <c r="H380" s="893"/>
      <c r="I380" s="1746"/>
      <c r="J380" s="1936"/>
      <c r="K380" s="1830"/>
      <c r="L380" s="1832"/>
      <c r="M380" s="893"/>
      <c r="N380" s="1820"/>
      <c r="O380" s="1695"/>
      <c r="P380" s="1689">
        <v>1000</v>
      </c>
      <c r="Q380" s="1690"/>
      <c r="R380" s="1695">
        <f t="shared" si="50"/>
        <v>0</v>
      </c>
    </row>
    <row r="381" spans="1:18" s="1735" customFormat="1" ht="12.75">
      <c r="A381" s="1743">
        <v>4250</v>
      </c>
      <c r="B381" s="1751" t="s">
        <v>286</v>
      </c>
      <c r="C381" s="1689">
        <v>10000</v>
      </c>
      <c r="D381" s="893">
        <f t="shared" si="48"/>
        <v>10000</v>
      </c>
      <c r="E381" s="1690">
        <f t="shared" si="49"/>
        <v>5121</v>
      </c>
      <c r="F381" s="1666">
        <f t="shared" si="51"/>
        <v>51.21</v>
      </c>
      <c r="G381" s="895"/>
      <c r="H381" s="893"/>
      <c r="I381" s="1746"/>
      <c r="J381" s="1936"/>
      <c r="K381" s="1830"/>
      <c r="L381" s="1832"/>
      <c r="M381" s="893"/>
      <c r="N381" s="1820"/>
      <c r="O381" s="1695"/>
      <c r="P381" s="1689">
        <v>10000</v>
      </c>
      <c r="Q381" s="1690">
        <v>5121</v>
      </c>
      <c r="R381" s="1695">
        <f t="shared" si="50"/>
        <v>51.21</v>
      </c>
    </row>
    <row r="382" spans="1:18" s="1735" customFormat="1" ht="12.75">
      <c r="A382" s="1743">
        <v>4260</v>
      </c>
      <c r="B382" s="1751" t="s">
        <v>118</v>
      </c>
      <c r="C382" s="1689">
        <v>225000</v>
      </c>
      <c r="D382" s="893">
        <f t="shared" si="48"/>
        <v>225000</v>
      </c>
      <c r="E382" s="1690">
        <f t="shared" si="49"/>
        <v>127628</v>
      </c>
      <c r="F382" s="1666">
        <f t="shared" si="51"/>
        <v>56.72355555555556</v>
      </c>
      <c r="G382" s="895"/>
      <c r="H382" s="893"/>
      <c r="I382" s="1746"/>
      <c r="J382" s="1937"/>
      <c r="K382" s="1830"/>
      <c r="L382" s="1832"/>
      <c r="M382" s="893"/>
      <c r="N382" s="1820"/>
      <c r="O382" s="1695"/>
      <c r="P382" s="1689">
        <v>225000</v>
      </c>
      <c r="Q382" s="1690">
        <v>127628</v>
      </c>
      <c r="R382" s="1695">
        <f t="shared" si="50"/>
        <v>56.72355555555556</v>
      </c>
    </row>
    <row r="383" spans="1:18" s="1735" customFormat="1" ht="12.75">
      <c r="A383" s="1743">
        <v>4270</v>
      </c>
      <c r="B383" s="1751" t="s">
        <v>120</v>
      </c>
      <c r="C383" s="1689">
        <v>47000</v>
      </c>
      <c r="D383" s="893">
        <f t="shared" si="48"/>
        <v>47000</v>
      </c>
      <c r="E383" s="1690">
        <f t="shared" si="49"/>
        <v>18426</v>
      </c>
      <c r="F383" s="1666">
        <f t="shared" si="51"/>
        <v>39.204255319148935</v>
      </c>
      <c r="G383" s="895"/>
      <c r="H383" s="893"/>
      <c r="I383" s="1746"/>
      <c r="J383" s="1936"/>
      <c r="K383" s="1830"/>
      <c r="L383" s="1832"/>
      <c r="M383" s="893"/>
      <c r="N383" s="1820"/>
      <c r="O383" s="1695"/>
      <c r="P383" s="1689">
        <v>47000</v>
      </c>
      <c r="Q383" s="1690">
        <v>18426</v>
      </c>
      <c r="R383" s="1695">
        <f t="shared" si="50"/>
        <v>39.204255319148935</v>
      </c>
    </row>
    <row r="384" spans="1:18" s="1735" customFormat="1" ht="12.75">
      <c r="A384" s="1743">
        <v>4280</v>
      </c>
      <c r="B384" s="1751" t="s">
        <v>170</v>
      </c>
      <c r="C384" s="1689">
        <v>20000</v>
      </c>
      <c r="D384" s="893">
        <f t="shared" si="48"/>
        <v>20000</v>
      </c>
      <c r="E384" s="1690">
        <f t="shared" si="49"/>
        <v>4267</v>
      </c>
      <c r="F384" s="1666">
        <f t="shared" si="51"/>
        <v>21.335</v>
      </c>
      <c r="G384" s="895"/>
      <c r="H384" s="893"/>
      <c r="I384" s="1746"/>
      <c r="J384" s="1936"/>
      <c r="K384" s="1830"/>
      <c r="L384" s="1832"/>
      <c r="M384" s="893"/>
      <c r="N384" s="1820"/>
      <c r="O384" s="1695"/>
      <c r="P384" s="1689">
        <v>20000</v>
      </c>
      <c r="Q384" s="1690">
        <v>4267</v>
      </c>
      <c r="R384" s="1695">
        <f t="shared" si="50"/>
        <v>21.335</v>
      </c>
    </row>
    <row r="385" spans="1:18" s="1735" customFormat="1" ht="12.75">
      <c r="A385" s="1743">
        <v>4300</v>
      </c>
      <c r="B385" s="1751" t="s">
        <v>122</v>
      </c>
      <c r="C385" s="1689">
        <v>105000</v>
      </c>
      <c r="D385" s="893">
        <f t="shared" si="48"/>
        <v>101900</v>
      </c>
      <c r="E385" s="1690">
        <f t="shared" si="49"/>
        <v>49883</v>
      </c>
      <c r="F385" s="1666">
        <f t="shared" si="51"/>
        <v>48.952894995093224</v>
      </c>
      <c r="G385" s="895"/>
      <c r="H385" s="893"/>
      <c r="I385" s="1746"/>
      <c r="J385" s="1936"/>
      <c r="K385" s="1830"/>
      <c r="L385" s="1832"/>
      <c r="M385" s="893">
        <v>4400</v>
      </c>
      <c r="N385" s="1820"/>
      <c r="O385" s="1695">
        <f>N385/M385*100</f>
        <v>0</v>
      </c>
      <c r="P385" s="1689">
        <v>97500</v>
      </c>
      <c r="Q385" s="1690">
        <v>49883</v>
      </c>
      <c r="R385" s="1695">
        <f t="shared" si="50"/>
        <v>51.16205128205128</v>
      </c>
    </row>
    <row r="386" spans="1:18" s="1735" customFormat="1" ht="24">
      <c r="A386" s="1743">
        <v>4350</v>
      </c>
      <c r="B386" s="1751" t="s">
        <v>172</v>
      </c>
      <c r="C386" s="1689"/>
      <c r="D386" s="893">
        <f t="shared" si="48"/>
        <v>6331</v>
      </c>
      <c r="E386" s="1690">
        <f t="shared" si="49"/>
        <v>293</v>
      </c>
      <c r="F386" s="1666">
        <f t="shared" si="51"/>
        <v>4.628020849786763</v>
      </c>
      <c r="G386" s="895"/>
      <c r="H386" s="893"/>
      <c r="I386" s="1746"/>
      <c r="J386" s="1936"/>
      <c r="K386" s="1830"/>
      <c r="L386" s="1832"/>
      <c r="M386" s="893"/>
      <c r="N386" s="1820"/>
      <c r="O386" s="1695"/>
      <c r="P386" s="1689">
        <f>7000-669</f>
        <v>6331</v>
      </c>
      <c r="Q386" s="1690">
        <v>293</v>
      </c>
      <c r="R386" s="1695">
        <f t="shared" si="50"/>
        <v>4.628020849786763</v>
      </c>
    </row>
    <row r="387" spans="1:18" s="1735" customFormat="1" ht="12.75" customHeight="1">
      <c r="A387" s="1743">
        <v>4410</v>
      </c>
      <c r="B387" s="1751" t="s">
        <v>96</v>
      </c>
      <c r="C387" s="1689">
        <v>8000</v>
      </c>
      <c r="D387" s="893">
        <f t="shared" si="48"/>
        <v>8000</v>
      </c>
      <c r="E387" s="1690">
        <f t="shared" si="49"/>
        <v>3570</v>
      </c>
      <c r="F387" s="1666">
        <f t="shared" si="51"/>
        <v>44.625</v>
      </c>
      <c r="G387" s="895"/>
      <c r="H387" s="893"/>
      <c r="I387" s="1746"/>
      <c r="J387" s="1936"/>
      <c r="K387" s="1830"/>
      <c r="L387" s="1832"/>
      <c r="M387" s="1830"/>
      <c r="N387" s="1831"/>
      <c r="O387" s="1695"/>
      <c r="P387" s="1689">
        <v>8000</v>
      </c>
      <c r="Q387" s="1690">
        <v>3570</v>
      </c>
      <c r="R387" s="1695">
        <f t="shared" si="50"/>
        <v>44.625</v>
      </c>
    </row>
    <row r="388" spans="1:18" s="1735" customFormat="1" ht="11.25" customHeight="1">
      <c r="A388" s="1743">
        <v>4430</v>
      </c>
      <c r="B388" s="1751" t="s">
        <v>124</v>
      </c>
      <c r="C388" s="1689">
        <v>1000</v>
      </c>
      <c r="D388" s="893">
        <f t="shared" si="48"/>
        <v>1000</v>
      </c>
      <c r="E388" s="1690">
        <f t="shared" si="49"/>
        <v>11</v>
      </c>
      <c r="F388" s="1666">
        <f t="shared" si="51"/>
        <v>1.0999999999999999</v>
      </c>
      <c r="G388" s="895"/>
      <c r="H388" s="893"/>
      <c r="I388" s="1746"/>
      <c r="J388" s="1936"/>
      <c r="K388" s="1830"/>
      <c r="L388" s="1832"/>
      <c r="M388" s="1830"/>
      <c r="N388" s="1831"/>
      <c r="O388" s="1695"/>
      <c r="P388" s="1689">
        <v>1000</v>
      </c>
      <c r="Q388" s="1690">
        <v>11</v>
      </c>
      <c r="R388" s="1695">
        <f t="shared" si="50"/>
        <v>1.0999999999999999</v>
      </c>
    </row>
    <row r="389" spans="1:18" s="1735" customFormat="1" ht="11.25" customHeight="1">
      <c r="A389" s="1743">
        <v>4440</v>
      </c>
      <c r="B389" s="1751" t="s">
        <v>299</v>
      </c>
      <c r="C389" s="1689">
        <v>3000</v>
      </c>
      <c r="D389" s="893">
        <f t="shared" si="48"/>
        <v>2933</v>
      </c>
      <c r="E389" s="1690">
        <f t="shared" si="49"/>
        <v>2933</v>
      </c>
      <c r="F389" s="1666">
        <f t="shared" si="51"/>
        <v>100</v>
      </c>
      <c r="G389" s="895"/>
      <c r="H389" s="893"/>
      <c r="I389" s="1746"/>
      <c r="J389" s="1936"/>
      <c r="K389" s="1830"/>
      <c r="L389" s="1832"/>
      <c r="M389" s="1830"/>
      <c r="N389" s="1831"/>
      <c r="O389" s="1695"/>
      <c r="P389" s="1689">
        <f>3000-67</f>
        <v>2933</v>
      </c>
      <c r="Q389" s="1938">
        <v>2933</v>
      </c>
      <c r="R389" s="1695">
        <f t="shared" si="50"/>
        <v>100</v>
      </c>
    </row>
    <row r="390" spans="1:18" s="1735" customFormat="1" ht="24">
      <c r="A390" s="1743">
        <v>6050</v>
      </c>
      <c r="B390" s="1751" t="s">
        <v>144</v>
      </c>
      <c r="C390" s="1689">
        <v>100000</v>
      </c>
      <c r="D390" s="893">
        <f t="shared" si="48"/>
        <v>100000</v>
      </c>
      <c r="E390" s="1690">
        <f t="shared" si="49"/>
        <v>0</v>
      </c>
      <c r="F390" s="1666">
        <f t="shared" si="51"/>
        <v>0</v>
      </c>
      <c r="G390" s="895"/>
      <c r="H390" s="893"/>
      <c r="I390" s="1746"/>
      <c r="J390" s="1936"/>
      <c r="K390" s="1830"/>
      <c r="L390" s="1832"/>
      <c r="M390" s="893"/>
      <c r="N390" s="1820"/>
      <c r="O390" s="1695"/>
      <c r="P390" s="1689">
        <v>100000</v>
      </c>
      <c r="Q390" s="1938"/>
      <c r="R390" s="1695">
        <f t="shared" si="50"/>
        <v>0</v>
      </c>
    </row>
    <row r="391" spans="1:18" s="1735" customFormat="1" ht="40.5" customHeight="1">
      <c r="A391" s="1743">
        <v>4500</v>
      </c>
      <c r="B391" s="1751" t="s">
        <v>300</v>
      </c>
      <c r="C391" s="1689">
        <v>36000</v>
      </c>
      <c r="D391" s="893">
        <f t="shared" si="48"/>
        <v>36000</v>
      </c>
      <c r="E391" s="1690">
        <f t="shared" si="49"/>
        <v>18350</v>
      </c>
      <c r="F391" s="1666">
        <f>E391/D391*100</f>
        <v>50.97222222222222</v>
      </c>
      <c r="G391" s="895"/>
      <c r="H391" s="893"/>
      <c r="I391" s="1746"/>
      <c r="J391" s="1936"/>
      <c r="K391" s="1830"/>
      <c r="L391" s="1832"/>
      <c r="M391" s="1830"/>
      <c r="N391" s="1820"/>
      <c r="O391" s="1747"/>
      <c r="P391" s="1689">
        <v>36000</v>
      </c>
      <c r="Q391" s="1938">
        <v>18350</v>
      </c>
      <c r="R391" s="1695">
        <f>Q391/P391*100</f>
        <v>50.97222222222222</v>
      </c>
    </row>
    <row r="392" spans="1:18" s="1735" customFormat="1" ht="24" hidden="1">
      <c r="A392" s="1743">
        <v>4520</v>
      </c>
      <c r="B392" s="1751" t="s">
        <v>301</v>
      </c>
      <c r="C392" s="1689"/>
      <c r="D392" s="893">
        <f t="shared" si="48"/>
        <v>0</v>
      </c>
      <c r="E392" s="1690">
        <f t="shared" si="49"/>
        <v>0</v>
      </c>
      <c r="F392" s="1666" t="e">
        <f>E392/D392*100</f>
        <v>#DIV/0!</v>
      </c>
      <c r="G392" s="1829"/>
      <c r="H392" s="1830"/>
      <c r="I392" s="1746"/>
      <c r="J392" s="1936"/>
      <c r="K392" s="1830"/>
      <c r="L392" s="1832"/>
      <c r="M392" s="1830"/>
      <c r="N392" s="1820"/>
      <c r="O392" s="1747"/>
      <c r="P392" s="1689"/>
      <c r="Q392" s="1938"/>
      <c r="R392" s="1695" t="e">
        <f>Q392/P392*100</f>
        <v>#DIV/0!</v>
      </c>
    </row>
    <row r="393" spans="1:18" s="1735" customFormat="1" ht="22.5" customHeight="1">
      <c r="A393" s="1798">
        <v>4510</v>
      </c>
      <c r="B393" s="1799" t="s">
        <v>290</v>
      </c>
      <c r="C393" s="1800">
        <v>1000</v>
      </c>
      <c r="D393" s="925">
        <f t="shared" si="48"/>
        <v>1233</v>
      </c>
      <c r="E393" s="1791">
        <f t="shared" si="49"/>
        <v>1233</v>
      </c>
      <c r="F393" s="1719">
        <f>E393/D393*100</f>
        <v>100</v>
      </c>
      <c r="G393" s="1839"/>
      <c r="H393" s="1842"/>
      <c r="I393" s="1857"/>
      <c r="J393" s="1939"/>
      <c r="K393" s="1842"/>
      <c r="L393" s="1844"/>
      <c r="M393" s="1842"/>
      <c r="N393" s="1822"/>
      <c r="O393" s="1804"/>
      <c r="P393" s="1800">
        <f>1000+233</f>
        <v>1233</v>
      </c>
      <c r="Q393" s="1791">
        <v>1233</v>
      </c>
      <c r="R393" s="1695">
        <f>Q393/P393*100</f>
        <v>100</v>
      </c>
    </row>
    <row r="394" spans="1:18" ht="24" customHeight="1">
      <c r="A394" s="1736">
        <v>75412</v>
      </c>
      <c r="B394" s="1835" t="s">
        <v>831</v>
      </c>
      <c r="C394" s="1738">
        <f>SUM(C395)</f>
        <v>10000</v>
      </c>
      <c r="D394" s="908">
        <f t="shared" si="48"/>
        <v>30000</v>
      </c>
      <c r="E394" s="1680">
        <f>SUM(E395)</f>
        <v>5000</v>
      </c>
      <c r="F394" s="1681">
        <f aca="true" t="shared" si="52" ref="F394:F457">E394/D394*100</f>
        <v>16.666666666666664</v>
      </c>
      <c r="G394" s="1738">
        <f>SUM(G395)</f>
        <v>30000</v>
      </c>
      <c r="H394" s="908">
        <f>SUM(H395)</f>
        <v>5000</v>
      </c>
      <c r="I394" s="1776">
        <f aca="true" t="shared" si="53" ref="I394:I451">H394/G394*100</f>
        <v>16.666666666666664</v>
      </c>
      <c r="J394" s="1740"/>
      <c r="K394" s="1680"/>
      <c r="L394" s="1741"/>
      <c r="M394" s="919"/>
      <c r="N394" s="1680"/>
      <c r="O394" s="1742"/>
      <c r="P394" s="1738"/>
      <c r="Q394" s="1680"/>
      <c r="R394" s="1782"/>
    </row>
    <row r="395" spans="1:18" ht="48.75" customHeight="1">
      <c r="A395" s="1798">
        <v>2820</v>
      </c>
      <c r="B395" s="1799" t="s">
        <v>302</v>
      </c>
      <c r="C395" s="1689">
        <v>10000</v>
      </c>
      <c r="D395" s="893">
        <f t="shared" si="48"/>
        <v>30000</v>
      </c>
      <c r="E395" s="1690">
        <f>SUM(H395+K395+N395+Q395)</f>
        <v>5000</v>
      </c>
      <c r="F395" s="1666">
        <f t="shared" si="52"/>
        <v>16.666666666666664</v>
      </c>
      <c r="G395" s="1940">
        <f>10000+20000</f>
        <v>30000</v>
      </c>
      <c r="H395" s="1802">
        <v>5000</v>
      </c>
      <c r="I395" s="1669">
        <f t="shared" si="53"/>
        <v>16.666666666666664</v>
      </c>
      <c r="J395" s="1941"/>
      <c r="K395" s="1802"/>
      <c r="L395" s="1803"/>
      <c r="M395" s="1802"/>
      <c r="N395" s="1802"/>
      <c r="O395" s="1942"/>
      <c r="P395" s="1940"/>
      <c r="Q395" s="1802"/>
      <c r="R395" s="1943"/>
    </row>
    <row r="396" spans="1:18" ht="12.75" customHeight="1">
      <c r="A396" s="1736">
        <v>75414</v>
      </c>
      <c r="B396" s="1835" t="s">
        <v>744</v>
      </c>
      <c r="C396" s="1738">
        <f>SUM(C397:C402)</f>
        <v>31970</v>
      </c>
      <c r="D396" s="908">
        <f t="shared" si="48"/>
        <v>31970</v>
      </c>
      <c r="E396" s="908">
        <f t="shared" si="48"/>
        <v>2598</v>
      </c>
      <c r="F396" s="1681">
        <f t="shared" si="52"/>
        <v>8.126368470441038</v>
      </c>
      <c r="G396" s="1738">
        <f>SUM(G397:G402)</f>
        <v>25970</v>
      </c>
      <c r="H396" s="1680">
        <f>SUM(H397:H402)</f>
        <v>2598</v>
      </c>
      <c r="I396" s="1776">
        <f t="shared" si="53"/>
        <v>10.00385059684251</v>
      </c>
      <c r="J396" s="1680">
        <f>SUM(J397:J402)</f>
        <v>6000</v>
      </c>
      <c r="K396" s="1680">
        <f>SUM(K397:K402)</f>
        <v>0</v>
      </c>
      <c r="L396" s="1776">
        <f>K396/J396*100</f>
        <v>0</v>
      </c>
      <c r="M396" s="1680"/>
      <c r="N396" s="1680"/>
      <c r="O396" s="1742"/>
      <c r="P396" s="1738"/>
      <c r="Q396" s="1680"/>
      <c r="R396" s="1782"/>
    </row>
    <row r="397" spans="1:18" ht="36" hidden="1">
      <c r="A397" s="1743">
        <v>3020</v>
      </c>
      <c r="B397" s="1751" t="s">
        <v>164</v>
      </c>
      <c r="C397" s="1689">
        <v>0</v>
      </c>
      <c r="D397" s="893">
        <f>G397+J397+P397+M397</f>
        <v>0</v>
      </c>
      <c r="E397" s="1690">
        <f aca="true" t="shared" si="54" ref="E397:E404">SUM(H397+K397+N397+Q397)</f>
        <v>0</v>
      </c>
      <c r="F397" s="1666" t="e">
        <f t="shared" si="52"/>
        <v>#DIV/0!</v>
      </c>
      <c r="G397" s="1689">
        <v>0</v>
      </c>
      <c r="H397" s="1690"/>
      <c r="I397" s="1669" t="e">
        <f t="shared" si="53"/>
        <v>#DIV/0!</v>
      </c>
      <c r="J397" s="1745"/>
      <c r="K397" s="1749"/>
      <c r="L397" s="1776" t="e">
        <f aca="true" t="shared" si="55" ref="L397:L402">K397/J397*100</f>
        <v>#DIV/0!</v>
      </c>
      <c r="M397" s="1690"/>
      <c r="N397" s="1690"/>
      <c r="O397" s="1747"/>
      <c r="P397" s="1689"/>
      <c r="Q397" s="1690"/>
      <c r="R397" s="1754"/>
    </row>
    <row r="398" spans="1:18" ht="24" hidden="1">
      <c r="A398" s="1743">
        <v>4110</v>
      </c>
      <c r="B398" s="1751" t="s">
        <v>110</v>
      </c>
      <c r="C398" s="1689">
        <v>0</v>
      </c>
      <c r="D398" s="893">
        <f>G398+J398+P398+M398</f>
        <v>0</v>
      </c>
      <c r="E398" s="1690">
        <f t="shared" si="54"/>
        <v>0</v>
      </c>
      <c r="F398" s="1666" t="e">
        <f t="shared" si="52"/>
        <v>#DIV/0!</v>
      </c>
      <c r="G398" s="1689">
        <v>0</v>
      </c>
      <c r="H398" s="1690"/>
      <c r="I398" s="1669" t="e">
        <f t="shared" si="53"/>
        <v>#DIV/0!</v>
      </c>
      <c r="J398" s="1745"/>
      <c r="K398" s="1749"/>
      <c r="L398" s="1776" t="e">
        <f t="shared" si="55"/>
        <v>#DIV/0!</v>
      </c>
      <c r="M398" s="1690"/>
      <c r="N398" s="1690"/>
      <c r="O398" s="1747"/>
      <c r="P398" s="1689"/>
      <c r="Q398" s="1690"/>
      <c r="R398" s="1754"/>
    </row>
    <row r="399" spans="1:18" ht="48" hidden="1">
      <c r="A399" s="1743">
        <v>6060</v>
      </c>
      <c r="B399" s="1751" t="s">
        <v>303</v>
      </c>
      <c r="C399" s="1689"/>
      <c r="D399" s="893">
        <f>G399+J399+P399+M399</f>
        <v>0</v>
      </c>
      <c r="E399" s="1690">
        <f t="shared" si="54"/>
        <v>0</v>
      </c>
      <c r="F399" s="1666" t="e">
        <f t="shared" si="52"/>
        <v>#DIV/0!</v>
      </c>
      <c r="G399" s="1689"/>
      <c r="H399" s="1690"/>
      <c r="I399" s="1669"/>
      <c r="J399" s="1745"/>
      <c r="K399" s="1749"/>
      <c r="L399" s="1710"/>
      <c r="M399" s="1690"/>
      <c r="N399" s="1690"/>
      <c r="O399" s="1747"/>
      <c r="P399" s="1689"/>
      <c r="Q399" s="1690"/>
      <c r="R399" s="1754" t="e">
        <f>Q399/P399*100</f>
        <v>#DIV/0!</v>
      </c>
    </row>
    <row r="400" spans="1:18" ht="23.25" customHeight="1">
      <c r="A400" s="1743">
        <v>4210</v>
      </c>
      <c r="B400" s="1751" t="s">
        <v>114</v>
      </c>
      <c r="C400" s="1689">
        <v>15000</v>
      </c>
      <c r="D400" s="893">
        <f>G400+J400+P400+M400</f>
        <v>15000</v>
      </c>
      <c r="E400" s="1690">
        <f t="shared" si="54"/>
        <v>898</v>
      </c>
      <c r="F400" s="1666">
        <f t="shared" si="52"/>
        <v>5.986666666666666</v>
      </c>
      <c r="G400" s="1689">
        <v>15000</v>
      </c>
      <c r="H400" s="1690">
        <v>898</v>
      </c>
      <c r="I400" s="1669">
        <f t="shared" si="53"/>
        <v>5.986666666666666</v>
      </c>
      <c r="J400" s="1745"/>
      <c r="K400" s="1749"/>
      <c r="L400" s="1669"/>
      <c r="M400" s="1690"/>
      <c r="N400" s="1690"/>
      <c r="O400" s="1747"/>
      <c r="P400" s="1689"/>
      <c r="Q400" s="1690"/>
      <c r="R400" s="1754"/>
    </row>
    <row r="401" spans="1:18" ht="15" customHeight="1" hidden="1">
      <c r="A401" s="1743">
        <v>4270</v>
      </c>
      <c r="B401" s="1751" t="s">
        <v>120</v>
      </c>
      <c r="C401" s="1689"/>
      <c r="D401" s="893"/>
      <c r="E401" s="1690"/>
      <c r="F401" s="1666"/>
      <c r="G401" s="1689"/>
      <c r="H401" s="1690"/>
      <c r="I401" s="1669"/>
      <c r="J401" s="1745"/>
      <c r="K401" s="1749"/>
      <c r="L401" s="1669"/>
      <c r="M401" s="1690"/>
      <c r="N401" s="1690"/>
      <c r="O401" s="1747"/>
      <c r="P401" s="1689"/>
      <c r="Q401" s="1690"/>
      <c r="R401" s="1754"/>
    </row>
    <row r="402" spans="1:18" ht="34.5">
      <c r="A402" s="1743">
        <v>4300</v>
      </c>
      <c r="B402" s="1744" t="s">
        <v>304</v>
      </c>
      <c r="C402" s="1689">
        <v>16970</v>
      </c>
      <c r="D402" s="925">
        <f>G402+J402+P402+M402</f>
        <v>16970</v>
      </c>
      <c r="E402" s="1791">
        <f t="shared" si="54"/>
        <v>1700</v>
      </c>
      <c r="F402" s="1739">
        <f t="shared" si="52"/>
        <v>10.017678255745432</v>
      </c>
      <c r="G402" s="1689">
        <v>10970</v>
      </c>
      <c r="H402" s="1749">
        <v>1700</v>
      </c>
      <c r="I402" s="1739">
        <f t="shared" si="53"/>
        <v>15.496809480401094</v>
      </c>
      <c r="J402" s="1788">
        <v>6000</v>
      </c>
      <c r="K402" s="1749"/>
      <c r="L402" s="1669">
        <f t="shared" si="55"/>
        <v>0</v>
      </c>
      <c r="M402" s="1749"/>
      <c r="N402" s="1749"/>
      <c r="O402" s="1944"/>
      <c r="P402" s="1748"/>
      <c r="Q402" s="1749"/>
      <c r="R402" s="1750"/>
    </row>
    <row r="403" spans="1:18" s="1771" customFormat="1" ht="12.75">
      <c r="A403" s="1783">
        <v>75495</v>
      </c>
      <c r="B403" s="1784" t="s">
        <v>829</v>
      </c>
      <c r="C403" s="886"/>
      <c r="D403" s="908">
        <f>G403+J403+P403+M403</f>
        <v>140000</v>
      </c>
      <c r="E403" s="908">
        <f t="shared" si="54"/>
        <v>121756</v>
      </c>
      <c r="F403" s="1776">
        <f t="shared" si="52"/>
        <v>86.96857142857142</v>
      </c>
      <c r="G403" s="886">
        <f>SUM(G404)</f>
        <v>140000</v>
      </c>
      <c r="H403" s="1679">
        <f>SUM(H404)</f>
        <v>121756</v>
      </c>
      <c r="I403" s="1776">
        <f t="shared" si="53"/>
        <v>86.96857142857142</v>
      </c>
      <c r="J403" s="1785"/>
      <c r="K403" s="1679"/>
      <c r="L403" s="1700"/>
      <c r="M403" s="1679"/>
      <c r="N403" s="1679"/>
      <c r="O403" s="1945"/>
      <c r="P403" s="939"/>
      <c r="Q403" s="1679"/>
      <c r="R403" s="941"/>
    </row>
    <row r="404" spans="1:18" ht="36.75" thickBot="1">
      <c r="A404" s="1743">
        <v>6060</v>
      </c>
      <c r="B404" s="1744" t="s">
        <v>179</v>
      </c>
      <c r="C404" s="1689"/>
      <c r="D404" s="893">
        <f>G404+J404+P404+M404</f>
        <v>140000</v>
      </c>
      <c r="E404" s="1690">
        <f t="shared" si="54"/>
        <v>121756</v>
      </c>
      <c r="F404" s="1666">
        <f t="shared" si="52"/>
        <v>86.96857142857142</v>
      </c>
      <c r="G404" s="1689">
        <v>140000</v>
      </c>
      <c r="H404" s="1749">
        <v>121756</v>
      </c>
      <c r="I404" s="1669">
        <f t="shared" si="53"/>
        <v>86.96857142857142</v>
      </c>
      <c r="J404" s="1788"/>
      <c r="K404" s="1749"/>
      <c r="L404" s="1669"/>
      <c r="M404" s="1749"/>
      <c r="N404" s="1749"/>
      <c r="O404" s="1944"/>
      <c r="P404" s="1748"/>
      <c r="Q404" s="1749"/>
      <c r="R404" s="1750"/>
    </row>
    <row r="405" spans="1:18" s="1771" customFormat="1" ht="109.5" customHeight="1" thickBot="1" thickTop="1">
      <c r="A405" s="1755">
        <v>756</v>
      </c>
      <c r="B405" s="1946" t="s">
        <v>621</v>
      </c>
      <c r="C405" s="875">
        <f>C406</f>
        <v>399200</v>
      </c>
      <c r="D405" s="876">
        <f>G405</f>
        <v>459200</v>
      </c>
      <c r="E405" s="876">
        <f>H405</f>
        <v>185152</v>
      </c>
      <c r="F405" s="1757">
        <f>E405/D405*100</f>
        <v>40.3205574912892</v>
      </c>
      <c r="G405" s="875">
        <f>G406</f>
        <v>459200</v>
      </c>
      <c r="H405" s="1947">
        <f>H406</f>
        <v>185152</v>
      </c>
      <c r="I405" s="1758">
        <f>H405/G405*100</f>
        <v>40.3205574912892</v>
      </c>
      <c r="J405" s="1948"/>
      <c r="K405" s="1947"/>
      <c r="L405" s="1758"/>
      <c r="M405" s="1947"/>
      <c r="N405" s="1947"/>
      <c r="O405" s="1949"/>
      <c r="P405" s="1950"/>
      <c r="Q405" s="1947"/>
      <c r="R405" s="1951"/>
    </row>
    <row r="406" spans="1:18" ht="36.75" thickTop="1">
      <c r="A406" s="1923">
        <v>75647</v>
      </c>
      <c r="B406" s="1859" t="s">
        <v>305</v>
      </c>
      <c r="C406" s="883">
        <f>SUM(C407:C416)</f>
        <v>399200</v>
      </c>
      <c r="D406" s="884">
        <f aca="true" t="shared" si="56" ref="D406:D416">G406+J406+P406+M406</f>
        <v>459200</v>
      </c>
      <c r="E406" s="884">
        <f>H406+K406+Q406+N406</f>
        <v>185152</v>
      </c>
      <c r="F406" s="1952">
        <f>E406/D406*100</f>
        <v>40.3205574912892</v>
      </c>
      <c r="G406" s="883">
        <f>SUM(G407:G416)</f>
        <v>459200</v>
      </c>
      <c r="H406" s="884">
        <f>SUM(H407:H416)</f>
        <v>185152</v>
      </c>
      <c r="I406" s="1739">
        <f>H406/G406*100</f>
        <v>40.3205574912892</v>
      </c>
      <c r="J406" s="1860"/>
      <c r="K406" s="884"/>
      <c r="L406" s="1887"/>
      <c r="M406" s="884"/>
      <c r="N406" s="884"/>
      <c r="O406" s="1861"/>
      <c r="P406" s="884"/>
      <c r="Q406" s="884"/>
      <c r="R406" s="1953"/>
    </row>
    <row r="407" spans="1:18" s="1586" customFormat="1" ht="36" hidden="1">
      <c r="A407" s="1920">
        <v>4010</v>
      </c>
      <c r="B407" s="1847" t="s">
        <v>306</v>
      </c>
      <c r="C407" s="927"/>
      <c r="D407" s="893">
        <f t="shared" si="56"/>
        <v>0</v>
      </c>
      <c r="E407" s="1690">
        <f aca="true" t="shared" si="57" ref="E407:E416">SUM(H407+K407+N407+Q407)</f>
        <v>0</v>
      </c>
      <c r="F407" s="1666" t="e">
        <f aca="true" t="shared" si="58" ref="F407:F416">E407/D407*100</f>
        <v>#DIV/0!</v>
      </c>
      <c r="G407" s="927"/>
      <c r="H407" s="932"/>
      <c r="I407" s="1669" t="e">
        <f aca="true" t="shared" si="59" ref="I407:I416">H407/G407*100</f>
        <v>#DIV/0!</v>
      </c>
      <c r="J407" s="1848"/>
      <c r="K407" s="932"/>
      <c r="L407" s="1710"/>
      <c r="M407" s="932"/>
      <c r="N407" s="932"/>
      <c r="O407" s="1850"/>
      <c r="P407" s="932"/>
      <c r="Q407" s="932"/>
      <c r="R407" s="1921"/>
    </row>
    <row r="408" spans="1:18" ht="24">
      <c r="A408" s="1833">
        <v>4100</v>
      </c>
      <c r="B408" s="1751" t="s">
        <v>307</v>
      </c>
      <c r="C408" s="1689">
        <v>32000</v>
      </c>
      <c r="D408" s="893">
        <f t="shared" si="56"/>
        <v>54400</v>
      </c>
      <c r="E408" s="1690">
        <f t="shared" si="57"/>
        <v>26919</v>
      </c>
      <c r="F408" s="1666">
        <f t="shared" si="58"/>
        <v>49.48345588235294</v>
      </c>
      <c r="G408" s="1689">
        <v>54400</v>
      </c>
      <c r="H408" s="1954">
        <v>26919</v>
      </c>
      <c r="I408" s="1669">
        <f t="shared" si="59"/>
        <v>49.48345588235294</v>
      </c>
      <c r="J408" s="1745"/>
      <c r="K408" s="1690"/>
      <c r="L408" s="1669"/>
      <c r="M408" s="1690"/>
      <c r="N408" s="1690"/>
      <c r="O408" s="1747"/>
      <c r="P408" s="1690"/>
      <c r="Q408" s="1690"/>
      <c r="R408" s="1695"/>
    </row>
    <row r="409" spans="1:18" ht="24">
      <c r="A409" s="1833">
        <v>4100</v>
      </c>
      <c r="B409" s="1751" t="s">
        <v>308</v>
      </c>
      <c r="C409" s="1689">
        <v>42000</v>
      </c>
      <c r="D409" s="893">
        <f t="shared" si="56"/>
        <v>42000</v>
      </c>
      <c r="E409" s="1690">
        <f t="shared" si="57"/>
        <v>12567</v>
      </c>
      <c r="F409" s="1666">
        <f t="shared" si="58"/>
        <v>29.92142857142857</v>
      </c>
      <c r="G409" s="1689">
        <v>42000</v>
      </c>
      <c r="H409" s="1690">
        <v>12567</v>
      </c>
      <c r="I409" s="1669">
        <f t="shared" si="59"/>
        <v>29.92142857142857</v>
      </c>
      <c r="J409" s="1745"/>
      <c r="K409" s="1690"/>
      <c r="L409" s="1669"/>
      <c r="M409" s="1690"/>
      <c r="N409" s="1690"/>
      <c r="O409" s="1747"/>
      <c r="P409" s="1690"/>
      <c r="Q409" s="1690"/>
      <c r="R409" s="1695"/>
    </row>
    <row r="410" spans="1:18" ht="24">
      <c r="A410" s="1743">
        <v>4110</v>
      </c>
      <c r="B410" s="1751" t="s">
        <v>309</v>
      </c>
      <c r="C410" s="1689">
        <v>10000</v>
      </c>
      <c r="D410" s="893">
        <f t="shared" si="56"/>
        <v>10000</v>
      </c>
      <c r="E410" s="1690">
        <f t="shared" si="57"/>
        <v>718</v>
      </c>
      <c r="F410" s="1666">
        <f t="shared" si="58"/>
        <v>7.180000000000001</v>
      </c>
      <c r="G410" s="1689">
        <v>10000</v>
      </c>
      <c r="H410" s="1690">
        <v>718</v>
      </c>
      <c r="I410" s="1669">
        <f t="shared" si="59"/>
        <v>7.180000000000001</v>
      </c>
      <c r="J410" s="1745"/>
      <c r="K410" s="1690"/>
      <c r="L410" s="1669"/>
      <c r="M410" s="1690"/>
      <c r="N410" s="1690"/>
      <c r="O410" s="1747"/>
      <c r="P410" s="1690"/>
      <c r="Q410" s="1690"/>
      <c r="R410" s="1695"/>
    </row>
    <row r="411" spans="1:18" ht="24">
      <c r="A411" s="1743">
        <v>4110</v>
      </c>
      <c r="B411" s="1751" t="s">
        <v>310</v>
      </c>
      <c r="C411" s="1689">
        <v>8000</v>
      </c>
      <c r="D411" s="893">
        <f t="shared" si="56"/>
        <v>8000</v>
      </c>
      <c r="E411" s="1690">
        <f t="shared" si="57"/>
        <v>3124</v>
      </c>
      <c r="F411" s="1666">
        <f t="shared" si="58"/>
        <v>39.050000000000004</v>
      </c>
      <c r="G411" s="1689">
        <v>8000</v>
      </c>
      <c r="H411" s="1690">
        <v>3124</v>
      </c>
      <c r="I411" s="1669">
        <f t="shared" si="59"/>
        <v>39.050000000000004</v>
      </c>
      <c r="J411" s="1745"/>
      <c r="K411" s="1690"/>
      <c r="L411" s="1669"/>
      <c r="M411" s="1690"/>
      <c r="N411" s="1690"/>
      <c r="O411" s="1747"/>
      <c r="P411" s="1690"/>
      <c r="Q411" s="1690"/>
      <c r="R411" s="1695"/>
    </row>
    <row r="412" spans="1:18" ht="12.75">
      <c r="A412" s="1743">
        <v>4120</v>
      </c>
      <c r="B412" s="1751" t="s">
        <v>311</v>
      </c>
      <c r="C412" s="1689">
        <v>1600</v>
      </c>
      <c r="D412" s="893">
        <f t="shared" si="56"/>
        <v>1600</v>
      </c>
      <c r="E412" s="1690">
        <f t="shared" si="57"/>
        <v>0</v>
      </c>
      <c r="F412" s="1666">
        <f t="shared" si="58"/>
        <v>0</v>
      </c>
      <c r="G412" s="1689">
        <v>1600</v>
      </c>
      <c r="H412" s="1690"/>
      <c r="I412" s="1669">
        <f t="shared" si="59"/>
        <v>0</v>
      </c>
      <c r="J412" s="1745"/>
      <c r="K412" s="1690"/>
      <c r="L412" s="1669"/>
      <c r="M412" s="1690"/>
      <c r="N412" s="1690"/>
      <c r="O412" s="1747"/>
      <c r="P412" s="1690"/>
      <c r="Q412" s="1690"/>
      <c r="R412" s="1695"/>
    </row>
    <row r="413" spans="1:18" ht="12.75">
      <c r="A413" s="1743">
        <v>4120</v>
      </c>
      <c r="B413" s="1751" t="s">
        <v>312</v>
      </c>
      <c r="C413" s="1689">
        <v>1200</v>
      </c>
      <c r="D413" s="893">
        <f t="shared" si="56"/>
        <v>1200</v>
      </c>
      <c r="E413" s="1690">
        <f t="shared" si="57"/>
        <v>444</v>
      </c>
      <c r="F413" s="1666">
        <f t="shared" si="58"/>
        <v>37</v>
      </c>
      <c r="G413" s="1689">
        <v>1200</v>
      </c>
      <c r="H413" s="1690">
        <v>444</v>
      </c>
      <c r="I413" s="1669">
        <f t="shared" si="59"/>
        <v>37</v>
      </c>
      <c r="J413" s="1745"/>
      <c r="K413" s="1690"/>
      <c r="L413" s="1669"/>
      <c r="M413" s="1690"/>
      <c r="N413" s="1690"/>
      <c r="O413" s="1747"/>
      <c r="P413" s="1690"/>
      <c r="Q413" s="1690"/>
      <c r="R413" s="1695"/>
    </row>
    <row r="414" spans="1:18" ht="24">
      <c r="A414" s="1743">
        <v>4170</v>
      </c>
      <c r="B414" s="1751" t="s">
        <v>313</v>
      </c>
      <c r="C414" s="1689"/>
      <c r="D414" s="893">
        <f t="shared" si="56"/>
        <v>12000</v>
      </c>
      <c r="E414" s="1690">
        <f t="shared" si="57"/>
        <v>5035</v>
      </c>
      <c r="F414" s="1666">
        <f t="shared" si="58"/>
        <v>41.95833333333333</v>
      </c>
      <c r="G414" s="1689">
        <v>12000</v>
      </c>
      <c r="H414" s="1690">
        <v>5035</v>
      </c>
      <c r="I414" s="1669">
        <f t="shared" si="59"/>
        <v>41.95833333333333</v>
      </c>
      <c r="J414" s="1745"/>
      <c r="K414" s="1690"/>
      <c r="L414" s="1669"/>
      <c r="M414" s="1690"/>
      <c r="N414" s="1690"/>
      <c r="O414" s="1747"/>
      <c r="P414" s="1690"/>
      <c r="Q414" s="1690"/>
      <c r="R414" s="1695"/>
    </row>
    <row r="415" spans="1:18" ht="24">
      <c r="A415" s="1743">
        <v>4300</v>
      </c>
      <c r="B415" s="1751" t="s">
        <v>314</v>
      </c>
      <c r="C415" s="1689">
        <v>22400</v>
      </c>
      <c r="D415" s="893">
        <f t="shared" si="56"/>
        <v>80000</v>
      </c>
      <c r="E415" s="1690">
        <f t="shared" si="57"/>
        <v>24892</v>
      </c>
      <c r="F415" s="1666">
        <f t="shared" si="58"/>
        <v>31.115</v>
      </c>
      <c r="G415" s="1689">
        <f>20000+60000</f>
        <v>80000</v>
      </c>
      <c r="H415" s="1690">
        <v>24892</v>
      </c>
      <c r="I415" s="1669">
        <f t="shared" si="59"/>
        <v>31.115</v>
      </c>
      <c r="J415" s="1745"/>
      <c r="K415" s="1690"/>
      <c r="L415" s="1669"/>
      <c r="M415" s="1690"/>
      <c r="N415" s="1690"/>
      <c r="O415" s="1747"/>
      <c r="P415" s="1690"/>
      <c r="Q415" s="1690"/>
      <c r="R415" s="1695"/>
    </row>
    <row r="416" spans="1:18" ht="24.75" thickBot="1">
      <c r="A416" s="1743">
        <v>4300</v>
      </c>
      <c r="B416" s="1751" t="s">
        <v>315</v>
      </c>
      <c r="C416" s="1800">
        <v>282000</v>
      </c>
      <c r="D416" s="893">
        <f t="shared" si="56"/>
        <v>250000</v>
      </c>
      <c r="E416" s="1690">
        <f t="shared" si="57"/>
        <v>111453</v>
      </c>
      <c r="F416" s="1666">
        <f t="shared" si="58"/>
        <v>44.581199999999995</v>
      </c>
      <c r="G416" s="1800">
        <f>270000-20000</f>
        <v>250000</v>
      </c>
      <c r="H416" s="1791">
        <v>111453</v>
      </c>
      <c r="I416" s="1669">
        <f t="shared" si="59"/>
        <v>44.581199999999995</v>
      </c>
      <c r="J416" s="1801"/>
      <c r="K416" s="1791"/>
      <c r="L416" s="1739"/>
      <c r="M416" s="1791"/>
      <c r="N416" s="1791"/>
      <c r="O416" s="1804"/>
      <c r="P416" s="1791"/>
      <c r="Q416" s="1791"/>
      <c r="R416" s="1720"/>
    </row>
    <row r="417" spans="1:18" s="1735" customFormat="1" ht="27" customHeight="1" thickBot="1" thickTop="1">
      <c r="A417" s="1729">
        <v>757</v>
      </c>
      <c r="B417" s="1730" t="s">
        <v>623</v>
      </c>
      <c r="C417" s="1731">
        <f>SUM(C418)</f>
        <v>4050000</v>
      </c>
      <c r="D417" s="876">
        <f>G417+J417+P417+M417</f>
        <v>4050000</v>
      </c>
      <c r="E417" s="1716">
        <f>H417+K417+Q417+N417</f>
        <v>1323066</v>
      </c>
      <c r="F417" s="1642">
        <f t="shared" si="52"/>
        <v>32.6682962962963</v>
      </c>
      <c r="G417" s="1731">
        <f>SUM(G418)</f>
        <v>4050000</v>
      </c>
      <c r="H417" s="1716">
        <f>SUM(H418)</f>
        <v>1323066</v>
      </c>
      <c r="I417" s="1644">
        <f t="shared" si="53"/>
        <v>32.6682962962963</v>
      </c>
      <c r="J417" s="1732"/>
      <c r="K417" s="1716"/>
      <c r="L417" s="1733"/>
      <c r="M417" s="1716"/>
      <c r="N417" s="1716"/>
      <c r="O417" s="1734"/>
      <c r="P417" s="1731"/>
      <c r="Q417" s="1716"/>
      <c r="R417" s="1834"/>
    </row>
    <row r="418" spans="1:18" ht="24.75" thickTop="1">
      <c r="A418" s="1736">
        <v>75705</v>
      </c>
      <c r="B418" s="1835" t="s">
        <v>316</v>
      </c>
      <c r="C418" s="1738">
        <f>SUM(C419)</f>
        <v>4050000</v>
      </c>
      <c r="D418" s="884">
        <f>G418+J418+P418+M418</f>
        <v>4050000</v>
      </c>
      <c r="E418" s="1836">
        <f>H418+K418+Q418+N418</f>
        <v>1323066</v>
      </c>
      <c r="F418" s="1719">
        <f t="shared" si="52"/>
        <v>32.6682962962963</v>
      </c>
      <c r="G418" s="1738">
        <f>SUM(G419)</f>
        <v>4050000</v>
      </c>
      <c r="H418" s="1680">
        <f>SUM(H419:H419)</f>
        <v>1323066</v>
      </c>
      <c r="I418" s="1739">
        <f t="shared" si="53"/>
        <v>32.6682962962963</v>
      </c>
      <c r="J418" s="1740"/>
      <c r="K418" s="1680"/>
      <c r="L418" s="1741"/>
      <c r="M418" s="1680"/>
      <c r="N418" s="1680"/>
      <c r="O418" s="1742"/>
      <c r="P418" s="1738"/>
      <c r="Q418" s="1680"/>
      <c r="R418" s="1782"/>
    </row>
    <row r="419" spans="1:18" s="1735" customFormat="1" ht="48.75" thickBot="1">
      <c r="A419" s="1798">
        <v>8070</v>
      </c>
      <c r="B419" s="1799" t="s">
        <v>317</v>
      </c>
      <c r="C419" s="1752">
        <v>4050000</v>
      </c>
      <c r="D419" s="1753">
        <f aca="true" t="shared" si="60" ref="D419:E444">G419+J419+P419+M419</f>
        <v>4050000</v>
      </c>
      <c r="E419" s="1885">
        <f>SUM(H419+K419+N419+Q419)</f>
        <v>1323066</v>
      </c>
      <c r="F419" s="1666">
        <f t="shared" si="52"/>
        <v>32.6682962962963</v>
      </c>
      <c r="G419" s="1800">
        <v>4050000</v>
      </c>
      <c r="H419" s="1791">
        <v>1323066</v>
      </c>
      <c r="I419" s="1669">
        <f t="shared" si="53"/>
        <v>32.6682962962963</v>
      </c>
      <c r="J419" s="1801"/>
      <c r="K419" s="1791"/>
      <c r="L419" s="1857"/>
      <c r="M419" s="1791"/>
      <c r="N419" s="1791"/>
      <c r="O419" s="1747"/>
      <c r="P419" s="1800"/>
      <c r="Q419" s="1791"/>
      <c r="R419" s="1845"/>
    </row>
    <row r="420" spans="1:18" ht="19.5" customHeight="1" thickBot="1" thickTop="1">
      <c r="A420" s="1729">
        <v>758</v>
      </c>
      <c r="B420" s="1730" t="s">
        <v>625</v>
      </c>
      <c r="C420" s="1731">
        <f>C423+C421</f>
        <v>4238910</v>
      </c>
      <c r="D420" s="876">
        <f t="shared" si="60"/>
        <v>3907438</v>
      </c>
      <c r="E420" s="1716">
        <f>E423+E421</f>
        <v>869460</v>
      </c>
      <c r="F420" s="1642">
        <f t="shared" si="52"/>
        <v>22.25140872356772</v>
      </c>
      <c r="G420" s="1886">
        <f>G423+G421</f>
        <v>2168528</v>
      </c>
      <c r="H420" s="1716">
        <f>H423+H421</f>
        <v>0</v>
      </c>
      <c r="I420" s="1644">
        <f t="shared" si="53"/>
        <v>0</v>
      </c>
      <c r="J420" s="1732"/>
      <c r="K420" s="1716"/>
      <c r="L420" s="1733"/>
      <c r="M420" s="1716">
        <f>M421</f>
        <v>1738910</v>
      </c>
      <c r="N420" s="1716">
        <f>N421</f>
        <v>869460</v>
      </c>
      <c r="O420" s="1955">
        <f>N420/M420*100</f>
        <v>50.00028753644524</v>
      </c>
      <c r="P420" s="1731"/>
      <c r="Q420" s="1716"/>
      <c r="R420" s="1834"/>
    </row>
    <row r="421" spans="1:18" ht="36.75" thickTop="1">
      <c r="A421" s="1931">
        <v>75832</v>
      </c>
      <c r="B421" s="1932" t="s">
        <v>318</v>
      </c>
      <c r="C421" s="1933">
        <f>C422</f>
        <v>1738910</v>
      </c>
      <c r="D421" s="906">
        <f t="shared" si="60"/>
        <v>1738910</v>
      </c>
      <c r="E421" s="1836">
        <f>E422</f>
        <v>869460</v>
      </c>
      <c r="F421" s="1654">
        <f t="shared" si="52"/>
        <v>50.00028753644524</v>
      </c>
      <c r="G421" s="1933"/>
      <c r="H421" s="1956"/>
      <c r="I421" s="1657"/>
      <c r="J421" s="1956"/>
      <c r="K421" s="1836"/>
      <c r="L421" s="1875"/>
      <c r="M421" s="1836">
        <f>M422</f>
        <v>1738910</v>
      </c>
      <c r="N421" s="1836">
        <f>N422</f>
        <v>869460</v>
      </c>
      <c r="O421" s="1957">
        <f>N421/M421*100</f>
        <v>50.00028753644524</v>
      </c>
      <c r="P421" s="1933"/>
      <c r="Q421" s="1836"/>
      <c r="R421" s="1958"/>
    </row>
    <row r="422" spans="1:18" s="1586" customFormat="1" ht="36">
      <c r="A422" s="1818">
        <v>2930</v>
      </c>
      <c r="B422" s="1880" t="s">
        <v>319</v>
      </c>
      <c r="C422" s="895">
        <v>1738910</v>
      </c>
      <c r="D422" s="925">
        <f t="shared" si="60"/>
        <v>1738910</v>
      </c>
      <c r="E422" s="1707">
        <f>SUM(H422+K422+N422+Q422)</f>
        <v>869460</v>
      </c>
      <c r="F422" s="1719">
        <f t="shared" si="52"/>
        <v>50.00028753644524</v>
      </c>
      <c r="G422" s="895"/>
      <c r="H422" s="893"/>
      <c r="I422" s="1739"/>
      <c r="J422" s="1820"/>
      <c r="K422" s="893"/>
      <c r="L422" s="1746"/>
      <c r="M422" s="893">
        <v>1738910</v>
      </c>
      <c r="N422" s="893">
        <v>869460</v>
      </c>
      <c r="O422" s="1821">
        <f>N422/M422*100</f>
        <v>50.00028753644524</v>
      </c>
      <c r="P422" s="895"/>
      <c r="Q422" s="893"/>
      <c r="R422" s="897"/>
    </row>
    <row r="423" spans="1:18" ht="12.75">
      <c r="A423" s="1736">
        <v>75818</v>
      </c>
      <c r="B423" s="1835" t="s">
        <v>320</v>
      </c>
      <c r="C423" s="1738">
        <f>SUM(C424:C425)</f>
        <v>2500000</v>
      </c>
      <c r="D423" s="884">
        <f t="shared" si="60"/>
        <v>2168528</v>
      </c>
      <c r="E423" s="1840">
        <f>SUM(H423+K423+N423+Q423)</f>
        <v>0</v>
      </c>
      <c r="F423" s="1719">
        <f t="shared" si="52"/>
        <v>0</v>
      </c>
      <c r="G423" s="1738">
        <f>SUM(G424:G425)</f>
        <v>2168528</v>
      </c>
      <c r="H423" s="1740">
        <f>SUM(H424:H425)</f>
        <v>0</v>
      </c>
      <c r="I423" s="1739">
        <f t="shared" si="53"/>
        <v>0</v>
      </c>
      <c r="J423" s="1740"/>
      <c r="K423" s="1680"/>
      <c r="L423" s="1741"/>
      <c r="M423" s="1680"/>
      <c r="N423" s="1680"/>
      <c r="O423" s="1742"/>
      <c r="P423" s="1738"/>
      <c r="Q423" s="1680"/>
      <c r="R423" s="1782"/>
    </row>
    <row r="424" spans="1:18" s="1586" customFormat="1" ht="24">
      <c r="A424" s="1846">
        <v>4810</v>
      </c>
      <c r="B424" s="1847" t="s">
        <v>321</v>
      </c>
      <c r="C424" s="927">
        <v>500000</v>
      </c>
      <c r="D424" s="932">
        <f t="shared" si="60"/>
        <v>180538</v>
      </c>
      <c r="E424" s="932">
        <f>SUM(H424+K424+N424+Q424)</f>
        <v>0</v>
      </c>
      <c r="F424" s="1691">
        <f t="shared" si="52"/>
        <v>0</v>
      </c>
      <c r="G424" s="927">
        <f>500000-69462-250000</f>
        <v>180538</v>
      </c>
      <c r="H424" s="932"/>
      <c r="I424" s="1710">
        <f t="shared" si="53"/>
        <v>0</v>
      </c>
      <c r="J424" s="1848"/>
      <c r="K424" s="932"/>
      <c r="L424" s="1849"/>
      <c r="M424" s="932"/>
      <c r="N424" s="932"/>
      <c r="O424" s="1850"/>
      <c r="P424" s="927"/>
      <c r="Q424" s="932"/>
      <c r="R424" s="950"/>
    </row>
    <row r="425" spans="1:18" ht="24.75" thickBot="1">
      <c r="A425" s="1743">
        <v>4810</v>
      </c>
      <c r="B425" s="1751" t="s">
        <v>322</v>
      </c>
      <c r="C425" s="1689">
        <v>2000000</v>
      </c>
      <c r="D425" s="893">
        <f t="shared" si="60"/>
        <v>1987990</v>
      </c>
      <c r="E425" s="1690">
        <f>SUM(H425+K425+N425+Q425)</f>
        <v>0</v>
      </c>
      <c r="F425" s="1666">
        <f t="shared" si="52"/>
        <v>0</v>
      </c>
      <c r="G425" s="1689">
        <f>2000000-12010</f>
        <v>1987990</v>
      </c>
      <c r="H425" s="1690">
        <v>0</v>
      </c>
      <c r="I425" s="1669">
        <f t="shared" si="53"/>
        <v>0</v>
      </c>
      <c r="J425" s="1745"/>
      <c r="K425" s="1690"/>
      <c r="L425" s="1746"/>
      <c r="M425" s="1690"/>
      <c r="N425" s="1690"/>
      <c r="O425" s="1747"/>
      <c r="P425" s="1689"/>
      <c r="Q425" s="1690"/>
      <c r="R425" s="1754"/>
    </row>
    <row r="426" spans="1:18" s="1735" customFormat="1" ht="27" customHeight="1" thickBot="1" thickTop="1">
      <c r="A426" s="1729">
        <v>801</v>
      </c>
      <c r="B426" s="1730" t="s">
        <v>627</v>
      </c>
      <c r="C426" s="1731">
        <f>C427+C452+C478+C502+C522+C538+C560+C577+C597+C613+C628+C644+C647+C657+C488+C469</f>
        <v>93872617</v>
      </c>
      <c r="D426" s="876">
        <f t="shared" si="60"/>
        <v>94596388</v>
      </c>
      <c r="E426" s="876">
        <f>H426+K426+Q426+N426</f>
        <v>48664865</v>
      </c>
      <c r="F426" s="1642">
        <f t="shared" si="52"/>
        <v>51.44473909511217</v>
      </c>
      <c r="G426" s="1731">
        <f>G427+G452+G478+G502+G522+G538+G560+G577+G597+G613+G628+G644+G647+G657+G488+G469</f>
        <v>55029597</v>
      </c>
      <c r="H426" s="1716">
        <f>H427+H452+H478+H502+H522+H538+H560+H577+H597+H613+H628+H644+H647+H657+H488+H469</f>
        <v>29127936</v>
      </c>
      <c r="I426" s="1644">
        <f t="shared" si="53"/>
        <v>52.9313998065441</v>
      </c>
      <c r="J426" s="1716"/>
      <c r="K426" s="1716"/>
      <c r="L426" s="1644"/>
      <c r="M426" s="1716">
        <f>M427+M452+M478+M502+M522+M538+M560+M577+M597+M613+M628+M644+M647+M657+M488</f>
        <v>39566791</v>
      </c>
      <c r="N426" s="1716">
        <f>N427+N452+N478+N502+N522+N538+N560+N577+N597+N613+N628+N644+N647+N657+N488</f>
        <v>19536929</v>
      </c>
      <c r="O426" s="1649">
        <f>N426/M426*100</f>
        <v>49.37708746711352</v>
      </c>
      <c r="P426" s="1731"/>
      <c r="Q426" s="1716"/>
      <c r="R426" s="1834"/>
    </row>
    <row r="427" spans="1:18" ht="18.75" customHeight="1" thickTop="1">
      <c r="A427" s="1736">
        <v>80101</v>
      </c>
      <c r="B427" s="1835" t="s">
        <v>833</v>
      </c>
      <c r="C427" s="1738">
        <f>SUM(C428:C449)</f>
        <v>24566200</v>
      </c>
      <c r="D427" s="884">
        <f t="shared" si="60"/>
        <v>24473083</v>
      </c>
      <c r="E427" s="1836">
        <f>H427+K427+Q427+N427</f>
        <v>13329743</v>
      </c>
      <c r="F427" s="1719">
        <f t="shared" si="52"/>
        <v>54.466954572090486</v>
      </c>
      <c r="G427" s="1738">
        <f>SUM(G428:G449)</f>
        <v>24473083</v>
      </c>
      <c r="H427" s="1680">
        <f>SUM(H428:H449)</f>
        <v>13329743</v>
      </c>
      <c r="I427" s="1739">
        <f t="shared" si="53"/>
        <v>54.466954572090486</v>
      </c>
      <c r="J427" s="1680"/>
      <c r="K427" s="1680"/>
      <c r="L427" s="1739"/>
      <c r="M427" s="1680"/>
      <c r="N427" s="1680"/>
      <c r="O427" s="1742"/>
      <c r="P427" s="1738"/>
      <c r="Q427" s="1680"/>
      <c r="R427" s="1782"/>
    </row>
    <row r="428" spans="1:18" ht="36">
      <c r="A428" s="1743">
        <v>2540</v>
      </c>
      <c r="B428" s="1751" t="s">
        <v>323</v>
      </c>
      <c r="C428" s="1689">
        <v>650000</v>
      </c>
      <c r="D428" s="893">
        <f t="shared" si="60"/>
        <v>623250</v>
      </c>
      <c r="E428" s="1690">
        <f>SUM(H428+K428+N428+Q428)</f>
        <v>314309</v>
      </c>
      <c r="F428" s="1666">
        <f t="shared" si="52"/>
        <v>50.430645808263144</v>
      </c>
      <c r="G428" s="1689">
        <f>650000-26750</f>
        <v>623250</v>
      </c>
      <c r="H428" s="1690">
        <v>314309</v>
      </c>
      <c r="I428" s="1669">
        <f t="shared" si="53"/>
        <v>50.430645808263144</v>
      </c>
      <c r="J428" s="1745"/>
      <c r="K428" s="1690"/>
      <c r="L428" s="1746"/>
      <c r="M428" s="1690"/>
      <c r="N428" s="1690"/>
      <c r="O428" s="1747"/>
      <c r="P428" s="1689"/>
      <c r="Q428" s="1690"/>
      <c r="R428" s="1754"/>
    </row>
    <row r="429" spans="1:18" ht="24">
      <c r="A429" s="1743">
        <v>3020</v>
      </c>
      <c r="B429" s="1751" t="s">
        <v>324</v>
      </c>
      <c r="C429" s="1689">
        <v>66500</v>
      </c>
      <c r="D429" s="893">
        <f t="shared" si="60"/>
        <v>65500</v>
      </c>
      <c r="E429" s="1690">
        <f aca="true" t="shared" si="61" ref="E429:E442">SUM(H429+K429+N429+Q429)</f>
        <v>23294</v>
      </c>
      <c r="F429" s="1666">
        <f t="shared" si="52"/>
        <v>35.563358778625954</v>
      </c>
      <c r="G429" s="1689">
        <v>65500</v>
      </c>
      <c r="H429" s="1690">
        <v>23294</v>
      </c>
      <c r="I429" s="1669">
        <f t="shared" si="53"/>
        <v>35.563358778625954</v>
      </c>
      <c r="J429" s="1745"/>
      <c r="K429" s="1690"/>
      <c r="L429" s="1746"/>
      <c r="M429" s="1690"/>
      <c r="N429" s="1690"/>
      <c r="O429" s="1747"/>
      <c r="P429" s="1689"/>
      <c r="Q429" s="1690"/>
      <c r="R429" s="1754"/>
    </row>
    <row r="430" spans="1:18" ht="24.75" customHeight="1">
      <c r="A430" s="1743">
        <v>4010</v>
      </c>
      <c r="B430" s="1751" t="s">
        <v>104</v>
      </c>
      <c r="C430" s="1689">
        <v>15183000</v>
      </c>
      <c r="D430" s="893">
        <f t="shared" si="60"/>
        <v>15206347</v>
      </c>
      <c r="E430" s="1690">
        <f t="shared" si="61"/>
        <v>7612289</v>
      </c>
      <c r="F430" s="1666">
        <f t="shared" si="52"/>
        <v>50.05994536360377</v>
      </c>
      <c r="G430" s="1689">
        <f>15187240+2860+16247</f>
        <v>15206347</v>
      </c>
      <c r="H430" s="1690">
        <v>7612289</v>
      </c>
      <c r="I430" s="1669">
        <f t="shared" si="53"/>
        <v>50.05994536360377</v>
      </c>
      <c r="J430" s="1745"/>
      <c r="K430" s="1690"/>
      <c r="L430" s="1746"/>
      <c r="M430" s="1690"/>
      <c r="N430" s="1690"/>
      <c r="O430" s="1747"/>
      <c r="P430" s="1689"/>
      <c r="Q430" s="1690"/>
      <c r="R430" s="1754"/>
    </row>
    <row r="431" spans="1:18" ht="24.75" customHeight="1">
      <c r="A431" s="1743">
        <v>4040</v>
      </c>
      <c r="B431" s="1751" t="s">
        <v>165</v>
      </c>
      <c r="C431" s="1689">
        <v>1243000</v>
      </c>
      <c r="D431" s="893">
        <f t="shared" si="60"/>
        <v>1206294</v>
      </c>
      <c r="E431" s="1690">
        <f t="shared" si="61"/>
        <v>1203098</v>
      </c>
      <c r="F431" s="1666">
        <f t="shared" si="52"/>
        <v>99.73505629639209</v>
      </c>
      <c r="G431" s="1689">
        <f>1240280-3300-30686</f>
        <v>1206294</v>
      </c>
      <c r="H431" s="1690">
        <v>1203098</v>
      </c>
      <c r="I431" s="1669">
        <f t="shared" si="53"/>
        <v>99.73505629639209</v>
      </c>
      <c r="J431" s="1745"/>
      <c r="K431" s="1690"/>
      <c r="L431" s="1746"/>
      <c r="M431" s="1690"/>
      <c r="N431" s="1690"/>
      <c r="O431" s="1747"/>
      <c r="P431" s="1689"/>
      <c r="Q431" s="1690"/>
      <c r="R431" s="1754"/>
    </row>
    <row r="432" spans="1:18" ht="23.25" customHeight="1">
      <c r="A432" s="1743">
        <v>4110</v>
      </c>
      <c r="B432" s="1751" t="s">
        <v>110</v>
      </c>
      <c r="C432" s="1689">
        <v>2893000</v>
      </c>
      <c r="D432" s="893">
        <f t="shared" si="60"/>
        <v>2893000</v>
      </c>
      <c r="E432" s="1690">
        <f>SUM(H432+K432+N432+Q432)</f>
        <v>1518128</v>
      </c>
      <c r="F432" s="1666">
        <f t="shared" si="52"/>
        <v>52.475907362599386</v>
      </c>
      <c r="G432" s="1689">
        <v>2893000</v>
      </c>
      <c r="H432" s="1690">
        <v>1518128</v>
      </c>
      <c r="I432" s="1669">
        <f t="shared" si="53"/>
        <v>52.475907362599386</v>
      </c>
      <c r="J432" s="1745"/>
      <c r="K432" s="1690"/>
      <c r="L432" s="1746"/>
      <c r="M432" s="1690"/>
      <c r="N432" s="1690"/>
      <c r="O432" s="1747"/>
      <c r="P432" s="1689"/>
      <c r="Q432" s="1690"/>
      <c r="R432" s="1754"/>
    </row>
    <row r="433" spans="1:18" ht="15" customHeight="1">
      <c r="A433" s="1743">
        <v>4120</v>
      </c>
      <c r="B433" s="1751" t="s">
        <v>208</v>
      </c>
      <c r="C433" s="1689">
        <v>390000</v>
      </c>
      <c r="D433" s="893">
        <f t="shared" si="60"/>
        <v>390000</v>
      </c>
      <c r="E433" s="1690">
        <f>SUM(H433+K433+N433+Q433)</f>
        <v>207078</v>
      </c>
      <c r="F433" s="1666">
        <f t="shared" si="52"/>
        <v>53.096923076923076</v>
      </c>
      <c r="G433" s="1689">
        <v>390000</v>
      </c>
      <c r="H433" s="1690">
        <v>207078</v>
      </c>
      <c r="I433" s="1669">
        <f t="shared" si="53"/>
        <v>53.096923076923076</v>
      </c>
      <c r="J433" s="1745"/>
      <c r="K433" s="1690"/>
      <c r="L433" s="1746"/>
      <c r="M433" s="1690"/>
      <c r="N433" s="1690"/>
      <c r="O433" s="1747"/>
      <c r="P433" s="1689"/>
      <c r="Q433" s="1690"/>
      <c r="R433" s="1754"/>
    </row>
    <row r="434" spans="1:18" ht="15" customHeight="1">
      <c r="A434" s="1743">
        <v>4140</v>
      </c>
      <c r="B434" s="1751" t="s">
        <v>168</v>
      </c>
      <c r="C434" s="1689">
        <v>70000</v>
      </c>
      <c r="D434" s="893">
        <f t="shared" si="60"/>
        <v>84800</v>
      </c>
      <c r="E434" s="1690">
        <f>SUM(H434+K434+N434+Q434)</f>
        <v>45168</v>
      </c>
      <c r="F434" s="1666">
        <f t="shared" si="52"/>
        <v>53.264150943396224</v>
      </c>
      <c r="G434" s="1689">
        <f>70000+4900+8800+1100</f>
        <v>84800</v>
      </c>
      <c r="H434" s="1690">
        <v>45168</v>
      </c>
      <c r="I434" s="1669">
        <f t="shared" si="53"/>
        <v>53.264150943396224</v>
      </c>
      <c r="J434" s="1745"/>
      <c r="K434" s="1690"/>
      <c r="L434" s="1746"/>
      <c r="M434" s="1690"/>
      <c r="N434" s="1690"/>
      <c r="O434" s="1747"/>
      <c r="P434" s="1689"/>
      <c r="Q434" s="1690"/>
      <c r="R434" s="1754"/>
    </row>
    <row r="435" spans="1:18" ht="24">
      <c r="A435" s="1743">
        <v>4170</v>
      </c>
      <c r="B435" s="1751" t="s">
        <v>169</v>
      </c>
      <c r="C435" s="1689"/>
      <c r="D435" s="893">
        <f t="shared" si="60"/>
        <v>2000</v>
      </c>
      <c r="E435" s="1690">
        <f>SUM(H435+K435+N435+Q435)</f>
        <v>936</v>
      </c>
      <c r="F435" s="1666">
        <f t="shared" si="52"/>
        <v>46.800000000000004</v>
      </c>
      <c r="G435" s="1689">
        <v>2000</v>
      </c>
      <c r="H435" s="1690">
        <v>936</v>
      </c>
      <c r="I435" s="1669">
        <f t="shared" si="53"/>
        <v>46.800000000000004</v>
      </c>
      <c r="J435" s="1745"/>
      <c r="K435" s="1690"/>
      <c r="L435" s="1746"/>
      <c r="M435" s="1690"/>
      <c r="N435" s="1690"/>
      <c r="O435" s="1747"/>
      <c r="P435" s="1689"/>
      <c r="Q435" s="1690"/>
      <c r="R435" s="1754"/>
    </row>
    <row r="436" spans="1:18" ht="24" customHeight="1">
      <c r="A436" s="1743">
        <v>4210</v>
      </c>
      <c r="B436" s="1751" t="s">
        <v>114</v>
      </c>
      <c r="C436" s="1689">
        <v>538700</v>
      </c>
      <c r="D436" s="893">
        <f t="shared" si="60"/>
        <v>548812</v>
      </c>
      <c r="E436" s="1690">
        <f t="shared" si="61"/>
        <v>278725</v>
      </c>
      <c r="F436" s="1666">
        <f t="shared" si="52"/>
        <v>50.78697258806294</v>
      </c>
      <c r="G436" s="1689">
        <f>538700-460+10572</f>
        <v>548812</v>
      </c>
      <c r="H436" s="1690">
        <v>278725</v>
      </c>
      <c r="I436" s="1669">
        <f t="shared" si="53"/>
        <v>50.78697258806294</v>
      </c>
      <c r="J436" s="1745"/>
      <c r="K436" s="1690"/>
      <c r="L436" s="1669"/>
      <c r="M436" s="1690"/>
      <c r="N436" s="1690"/>
      <c r="O436" s="1747"/>
      <c r="P436" s="1689"/>
      <c r="Q436" s="1690"/>
      <c r="R436" s="1754"/>
    </row>
    <row r="437" spans="1:18" ht="36" customHeight="1">
      <c r="A437" s="1743">
        <v>4240</v>
      </c>
      <c r="B437" s="1751" t="s">
        <v>325</v>
      </c>
      <c r="C437" s="1689">
        <v>78100</v>
      </c>
      <c r="D437" s="893">
        <f t="shared" si="60"/>
        <v>83400</v>
      </c>
      <c r="E437" s="1690">
        <f>SUM(H437+K437+N437+Q437)</f>
        <v>41929</v>
      </c>
      <c r="F437" s="1666">
        <f t="shared" si="52"/>
        <v>50.274580335731414</v>
      </c>
      <c r="G437" s="1689">
        <f>78100-3000+8300</f>
        <v>83400</v>
      </c>
      <c r="H437" s="1690">
        <v>41929</v>
      </c>
      <c r="I437" s="1669">
        <f t="shared" si="53"/>
        <v>50.274580335731414</v>
      </c>
      <c r="J437" s="1745"/>
      <c r="K437" s="1690"/>
      <c r="L437" s="1746"/>
      <c r="M437" s="1690"/>
      <c r="N437" s="1690"/>
      <c r="O437" s="1747"/>
      <c r="P437" s="1689"/>
      <c r="Q437" s="1690"/>
      <c r="R437" s="1754"/>
    </row>
    <row r="438" spans="1:18" ht="15" customHeight="1">
      <c r="A438" s="1743">
        <v>4260</v>
      </c>
      <c r="B438" s="1877" t="s">
        <v>118</v>
      </c>
      <c r="C438" s="1689">
        <v>1680200</v>
      </c>
      <c r="D438" s="893">
        <f t="shared" si="60"/>
        <v>1577700</v>
      </c>
      <c r="E438" s="1690">
        <f t="shared" si="61"/>
        <v>984233</v>
      </c>
      <c r="F438" s="1666">
        <f t="shared" si="52"/>
        <v>62.38404005831273</v>
      </c>
      <c r="G438" s="1689">
        <v>1577700</v>
      </c>
      <c r="H438" s="1690">
        <v>984233</v>
      </c>
      <c r="I438" s="1669">
        <f t="shared" si="53"/>
        <v>62.38404005831273</v>
      </c>
      <c r="J438" s="1745"/>
      <c r="K438" s="1690"/>
      <c r="L438" s="1746"/>
      <c r="M438" s="1690"/>
      <c r="N438" s="1690"/>
      <c r="O438" s="1747"/>
      <c r="P438" s="1689"/>
      <c r="Q438" s="1690"/>
      <c r="R438" s="1754"/>
    </row>
    <row r="439" spans="1:18" ht="15" customHeight="1">
      <c r="A439" s="1743">
        <v>4270</v>
      </c>
      <c r="B439" s="1751" t="s">
        <v>120</v>
      </c>
      <c r="C439" s="1689">
        <v>88800</v>
      </c>
      <c r="D439" s="893">
        <f t="shared" si="60"/>
        <v>97275</v>
      </c>
      <c r="E439" s="1690">
        <f t="shared" si="61"/>
        <v>37624</v>
      </c>
      <c r="F439" s="1666">
        <f t="shared" si="52"/>
        <v>38.67797481367258</v>
      </c>
      <c r="G439" s="1689">
        <f>88800+25700-17225</f>
        <v>97275</v>
      </c>
      <c r="H439" s="1690">
        <v>37624</v>
      </c>
      <c r="I439" s="1669">
        <f t="shared" si="53"/>
        <v>38.67797481367258</v>
      </c>
      <c r="J439" s="1745"/>
      <c r="K439" s="1690"/>
      <c r="L439" s="1746"/>
      <c r="M439" s="1690"/>
      <c r="N439" s="1690"/>
      <c r="O439" s="1747"/>
      <c r="P439" s="1689"/>
      <c r="Q439" s="1690"/>
      <c r="R439" s="1754"/>
    </row>
    <row r="440" spans="1:18" ht="15" customHeight="1">
      <c r="A440" s="1743">
        <v>4280</v>
      </c>
      <c r="B440" s="1751" t="s">
        <v>170</v>
      </c>
      <c r="C440" s="1689">
        <v>24800</v>
      </c>
      <c r="D440" s="893">
        <f t="shared" si="60"/>
        <v>24800</v>
      </c>
      <c r="E440" s="1690">
        <f t="shared" si="61"/>
        <v>4004</v>
      </c>
      <c r="F440" s="1666">
        <f t="shared" si="52"/>
        <v>16.14516129032258</v>
      </c>
      <c r="G440" s="1689">
        <v>24800</v>
      </c>
      <c r="H440" s="1690">
        <v>4004</v>
      </c>
      <c r="I440" s="1669">
        <f t="shared" si="53"/>
        <v>16.14516129032258</v>
      </c>
      <c r="J440" s="1745"/>
      <c r="K440" s="1690"/>
      <c r="L440" s="1746"/>
      <c r="M440" s="1690"/>
      <c r="N440" s="1690"/>
      <c r="O440" s="1747"/>
      <c r="P440" s="1689"/>
      <c r="Q440" s="1690"/>
      <c r="R440" s="1754"/>
    </row>
    <row r="441" spans="1:18" ht="14.25" customHeight="1">
      <c r="A441" s="1743">
        <v>4300</v>
      </c>
      <c r="B441" s="1751" t="s">
        <v>122</v>
      </c>
      <c r="C441" s="1689">
        <v>674400</v>
      </c>
      <c r="D441" s="893">
        <f t="shared" si="60"/>
        <v>638360</v>
      </c>
      <c r="E441" s="1690">
        <f t="shared" si="61"/>
        <v>276474</v>
      </c>
      <c r="F441" s="1666">
        <f t="shared" si="52"/>
        <v>43.31004448900307</v>
      </c>
      <c r="G441" s="1689">
        <f>639410-1100+50</f>
        <v>638360</v>
      </c>
      <c r="H441" s="1690">
        <v>276474</v>
      </c>
      <c r="I441" s="1669">
        <f t="shared" si="53"/>
        <v>43.31004448900307</v>
      </c>
      <c r="J441" s="1745"/>
      <c r="K441" s="1690"/>
      <c r="L441" s="1746"/>
      <c r="M441" s="1690"/>
      <c r="N441" s="1690"/>
      <c r="O441" s="1747"/>
      <c r="P441" s="1689"/>
      <c r="Q441" s="1690"/>
      <c r="R441" s="1754"/>
    </row>
    <row r="442" spans="1:18" ht="24">
      <c r="A442" s="1743">
        <v>4350</v>
      </c>
      <c r="B442" s="1751" t="s">
        <v>326</v>
      </c>
      <c r="C442" s="1689"/>
      <c r="D442" s="893">
        <f t="shared" si="60"/>
        <v>33720</v>
      </c>
      <c r="E442" s="1690">
        <f t="shared" si="61"/>
        <v>12829</v>
      </c>
      <c r="F442" s="1666">
        <f t="shared" si="52"/>
        <v>38.04567022538553</v>
      </c>
      <c r="G442" s="1689">
        <f>32470+1250</f>
        <v>33720</v>
      </c>
      <c r="H442" s="1690">
        <v>12829</v>
      </c>
      <c r="I442" s="1669">
        <f t="shared" si="53"/>
        <v>38.04567022538553</v>
      </c>
      <c r="J442" s="1745"/>
      <c r="K442" s="1690"/>
      <c r="L442" s="1746"/>
      <c r="M442" s="1690"/>
      <c r="N442" s="1690"/>
      <c r="O442" s="1747"/>
      <c r="P442" s="1689"/>
      <c r="Q442" s="1690"/>
      <c r="R442" s="1754"/>
    </row>
    <row r="443" spans="1:18" ht="13.5" customHeight="1">
      <c r="A443" s="1743">
        <v>4410</v>
      </c>
      <c r="B443" s="1751" t="s">
        <v>96</v>
      </c>
      <c r="C443" s="1689">
        <v>41000</v>
      </c>
      <c r="D443" s="893">
        <f t="shared" si="60"/>
        <v>40500</v>
      </c>
      <c r="E443" s="1690">
        <f>SUM(H443+K443+N443+Q443)</f>
        <v>13794</v>
      </c>
      <c r="F443" s="1666">
        <f t="shared" si="52"/>
        <v>34.059259259259264</v>
      </c>
      <c r="G443" s="1689">
        <f>41000-1000+500</f>
        <v>40500</v>
      </c>
      <c r="H443" s="1690">
        <v>13794</v>
      </c>
      <c r="I443" s="1669">
        <f t="shared" si="53"/>
        <v>34.059259259259264</v>
      </c>
      <c r="J443" s="1745"/>
      <c r="K443" s="1690"/>
      <c r="L443" s="1746"/>
      <c r="M443" s="1690"/>
      <c r="N443" s="1690"/>
      <c r="O443" s="1747"/>
      <c r="P443" s="1689"/>
      <c r="Q443" s="1690"/>
      <c r="R443" s="1754"/>
    </row>
    <row r="444" spans="1:18" ht="23.25" customHeight="1">
      <c r="A444" s="1743">
        <v>4420</v>
      </c>
      <c r="B444" s="1751" t="s">
        <v>212</v>
      </c>
      <c r="C444" s="1689">
        <v>1300</v>
      </c>
      <c r="D444" s="893">
        <f t="shared" si="60"/>
        <v>1300</v>
      </c>
      <c r="E444" s="893">
        <f t="shared" si="60"/>
        <v>0</v>
      </c>
      <c r="F444" s="1666">
        <f>E444/D444*100</f>
        <v>0</v>
      </c>
      <c r="G444" s="1689">
        <v>1300</v>
      </c>
      <c r="H444" s="1690"/>
      <c r="I444" s="1669">
        <f t="shared" si="53"/>
        <v>0</v>
      </c>
      <c r="J444" s="1745"/>
      <c r="K444" s="1690"/>
      <c r="L444" s="1746"/>
      <c r="M444" s="1690"/>
      <c r="N444" s="1690"/>
      <c r="O444" s="1747"/>
      <c r="P444" s="1689"/>
      <c r="Q444" s="1690"/>
      <c r="R444" s="1754"/>
    </row>
    <row r="445" spans="1:18" ht="36.75" customHeight="1" hidden="1">
      <c r="A445" s="1743">
        <v>4570</v>
      </c>
      <c r="B445" s="1751" t="s">
        <v>327</v>
      </c>
      <c r="C445" s="1689"/>
      <c r="D445" s="893">
        <f aca="true" t="shared" si="62" ref="D445:E465">G445+J445+P445+M445</f>
        <v>0</v>
      </c>
      <c r="E445" s="1690">
        <f aca="true" t="shared" si="63" ref="E445:E451">SUM(H445+K445+N445+Q445)</f>
        <v>0</v>
      </c>
      <c r="F445" s="1666" t="e">
        <f t="shared" si="52"/>
        <v>#DIV/0!</v>
      </c>
      <c r="G445" s="1689">
        <f>1100-1100</f>
        <v>0</v>
      </c>
      <c r="H445" s="1690"/>
      <c r="I445" s="1669" t="e">
        <f t="shared" si="53"/>
        <v>#DIV/0!</v>
      </c>
      <c r="J445" s="1745"/>
      <c r="K445" s="1690"/>
      <c r="L445" s="1746"/>
      <c r="M445" s="1690"/>
      <c r="N445" s="1690"/>
      <c r="O445" s="1747"/>
      <c r="P445" s="1689"/>
      <c r="Q445" s="1690"/>
      <c r="R445" s="1754"/>
    </row>
    <row r="446" spans="1:18" ht="36">
      <c r="A446" s="1743">
        <v>6060</v>
      </c>
      <c r="B446" s="1751" t="s">
        <v>293</v>
      </c>
      <c r="C446" s="1689"/>
      <c r="D446" s="893">
        <f t="shared" si="62"/>
        <v>12625</v>
      </c>
      <c r="E446" s="1690">
        <f t="shared" si="63"/>
        <v>12625</v>
      </c>
      <c r="F446" s="1666">
        <f t="shared" si="52"/>
        <v>100</v>
      </c>
      <c r="G446" s="1689">
        <v>12625</v>
      </c>
      <c r="H446" s="1690">
        <v>12625</v>
      </c>
      <c r="I446" s="1669">
        <f t="shared" si="53"/>
        <v>100</v>
      </c>
      <c r="J446" s="1745"/>
      <c r="K446" s="1690"/>
      <c r="L446" s="1746"/>
      <c r="M446" s="1690"/>
      <c r="N446" s="1690"/>
      <c r="O446" s="1747"/>
      <c r="P446" s="1689"/>
      <c r="Q446" s="1690"/>
      <c r="R446" s="1754"/>
    </row>
    <row r="447" spans="1:18" ht="12.75" customHeight="1">
      <c r="A447" s="1743">
        <v>4440</v>
      </c>
      <c r="B447" s="1751" t="s">
        <v>126</v>
      </c>
      <c r="C447" s="1689">
        <v>943400</v>
      </c>
      <c r="D447" s="893">
        <f t="shared" si="62"/>
        <v>943400</v>
      </c>
      <c r="E447" s="1690">
        <f t="shared" si="63"/>
        <v>743206</v>
      </c>
      <c r="F447" s="1666">
        <f t="shared" si="52"/>
        <v>78.77952088191648</v>
      </c>
      <c r="G447" s="1689">
        <v>943400</v>
      </c>
      <c r="H447" s="1690">
        <v>743206</v>
      </c>
      <c r="I447" s="1669">
        <f t="shared" si="53"/>
        <v>78.77952088191648</v>
      </c>
      <c r="J447" s="1745"/>
      <c r="K447" s="1690"/>
      <c r="L447" s="1746"/>
      <c r="M447" s="1690"/>
      <c r="N447" s="1690"/>
      <c r="O447" s="1747"/>
      <c r="P447" s="1689"/>
      <c r="Q447" s="1690"/>
      <c r="R447" s="1754"/>
    </row>
    <row r="448" spans="1:18" ht="36" hidden="1">
      <c r="A448" s="1743">
        <v>4610</v>
      </c>
      <c r="B448" s="1751" t="s">
        <v>193</v>
      </c>
      <c r="C448" s="1689"/>
      <c r="D448" s="893">
        <f t="shared" si="62"/>
        <v>0</v>
      </c>
      <c r="E448" s="1690">
        <f t="shared" si="63"/>
        <v>0</v>
      </c>
      <c r="F448" s="1666" t="e">
        <f t="shared" si="52"/>
        <v>#DIV/0!</v>
      </c>
      <c r="G448" s="1689"/>
      <c r="H448" s="1690"/>
      <c r="I448" s="1669" t="e">
        <f t="shared" si="53"/>
        <v>#DIV/0!</v>
      </c>
      <c r="J448" s="1745"/>
      <c r="K448" s="1690"/>
      <c r="L448" s="1746"/>
      <c r="M448" s="1690"/>
      <c r="N448" s="1690"/>
      <c r="O448" s="1747"/>
      <c r="P448" s="1689"/>
      <c r="Q448" s="1690"/>
      <c r="R448" s="1754"/>
    </row>
    <row r="449" spans="1:18" s="1735" customFormat="1" ht="24" hidden="1">
      <c r="A449" s="1959">
        <v>6050</v>
      </c>
      <c r="B449" s="1799" t="s">
        <v>194</v>
      </c>
      <c r="C449" s="1800"/>
      <c r="D449" s="925">
        <f t="shared" si="62"/>
        <v>0</v>
      </c>
      <c r="E449" s="1791">
        <f t="shared" si="63"/>
        <v>0</v>
      </c>
      <c r="F449" s="1719" t="e">
        <f t="shared" si="52"/>
        <v>#DIV/0!</v>
      </c>
      <c r="G449" s="1800"/>
      <c r="H449" s="925"/>
      <c r="I449" s="1739" t="e">
        <f t="shared" si="53"/>
        <v>#DIV/0!</v>
      </c>
      <c r="J449" s="1801"/>
      <c r="K449" s="1791"/>
      <c r="L449" s="1857"/>
      <c r="M449" s="1791"/>
      <c r="N449" s="1791"/>
      <c r="O449" s="1804"/>
      <c r="P449" s="1800"/>
      <c r="Q449" s="1791"/>
      <c r="R449" s="1845"/>
    </row>
    <row r="450" spans="1:18" s="1962" customFormat="1" ht="20.25" customHeight="1" hidden="1">
      <c r="A450" s="1960"/>
      <c r="B450" s="1961" t="s">
        <v>328</v>
      </c>
      <c r="C450" s="1807">
        <v>600000</v>
      </c>
      <c r="D450" s="1808">
        <f t="shared" si="62"/>
        <v>0</v>
      </c>
      <c r="E450" s="1808">
        <f t="shared" si="63"/>
        <v>0</v>
      </c>
      <c r="F450" s="1666" t="e">
        <f t="shared" si="52"/>
        <v>#DIV/0!</v>
      </c>
      <c r="G450" s="1807"/>
      <c r="H450" s="1808"/>
      <c r="I450" s="1669" t="e">
        <f t="shared" si="53"/>
        <v>#DIV/0!</v>
      </c>
      <c r="J450" s="1810"/>
      <c r="K450" s="1808"/>
      <c r="L450" s="1809"/>
      <c r="M450" s="1808"/>
      <c r="N450" s="1808"/>
      <c r="O450" s="1812"/>
      <c r="P450" s="1807"/>
      <c r="Q450" s="1808"/>
      <c r="R450" s="1813"/>
    </row>
    <row r="451" spans="1:18" s="1962" customFormat="1" ht="14.25" customHeight="1" hidden="1">
      <c r="A451" s="1963"/>
      <c r="B451" s="1964" t="s">
        <v>329</v>
      </c>
      <c r="C451" s="1965">
        <v>300000</v>
      </c>
      <c r="D451" s="1808">
        <f t="shared" si="62"/>
        <v>0</v>
      </c>
      <c r="E451" s="1808">
        <f t="shared" si="63"/>
        <v>0</v>
      </c>
      <c r="F451" s="1719"/>
      <c r="G451" s="1965"/>
      <c r="H451" s="1966"/>
      <c r="I451" s="1669" t="e">
        <f t="shared" si="53"/>
        <v>#DIV/0!</v>
      </c>
      <c r="J451" s="1967"/>
      <c r="K451" s="1966"/>
      <c r="L451" s="1968"/>
      <c r="M451" s="1966"/>
      <c r="N451" s="1966"/>
      <c r="O451" s="1969"/>
      <c r="P451" s="1965"/>
      <c r="Q451" s="1966"/>
      <c r="R451" s="1970"/>
    </row>
    <row r="452" spans="1:18" s="1735" customFormat="1" ht="24">
      <c r="A452" s="1736">
        <v>80102</v>
      </c>
      <c r="B452" s="1835" t="s">
        <v>330</v>
      </c>
      <c r="C452" s="1738">
        <f>SUM(C453:C468)</f>
        <v>2148800</v>
      </c>
      <c r="D452" s="908">
        <f t="shared" si="62"/>
        <v>2148520</v>
      </c>
      <c r="E452" s="1680">
        <f t="shared" si="62"/>
        <v>1054667</v>
      </c>
      <c r="F452" s="1681">
        <f t="shared" si="52"/>
        <v>49.0880699272057</v>
      </c>
      <c r="G452" s="1774"/>
      <c r="H452" s="1781"/>
      <c r="I452" s="1881"/>
      <c r="J452" s="1777"/>
      <c r="K452" s="1781"/>
      <c r="L452" s="1881"/>
      <c r="M452" s="1680">
        <f>SUM(M453:M468)</f>
        <v>2148520</v>
      </c>
      <c r="N452" s="1680">
        <f>SUM(N453:N468)</f>
        <v>1054667</v>
      </c>
      <c r="O452" s="1688">
        <f aca="true" t="shared" si="64" ref="O452:O468">N452/M452*100</f>
        <v>49.0880699272057</v>
      </c>
      <c r="P452" s="1738"/>
      <c r="Q452" s="1680"/>
      <c r="R452" s="1782"/>
    </row>
    <row r="453" spans="1:18" s="1735" customFormat="1" ht="36">
      <c r="A453" s="1743">
        <v>3020</v>
      </c>
      <c r="B453" s="1751" t="s">
        <v>164</v>
      </c>
      <c r="C453" s="1689">
        <v>8300</v>
      </c>
      <c r="D453" s="893">
        <f t="shared" si="62"/>
        <v>6300</v>
      </c>
      <c r="E453" s="1690">
        <f aca="true" t="shared" si="65" ref="E453:E468">SUM(H453+K453+N453+Q453)</f>
        <v>1664</v>
      </c>
      <c r="F453" s="1666">
        <f t="shared" si="52"/>
        <v>26.412698412698415</v>
      </c>
      <c r="G453" s="1689"/>
      <c r="H453" s="1690"/>
      <c r="I453" s="1746"/>
      <c r="J453" s="1745"/>
      <c r="K453" s="1690"/>
      <c r="L453" s="1746"/>
      <c r="M453" s="1790">
        <f>8300-2000</f>
        <v>6300</v>
      </c>
      <c r="N453" s="1707">
        <v>1664</v>
      </c>
      <c r="O453" s="1695">
        <f t="shared" si="64"/>
        <v>26.412698412698415</v>
      </c>
      <c r="P453" s="1689"/>
      <c r="Q453" s="1690"/>
      <c r="R453" s="1754"/>
    </row>
    <row r="454" spans="1:18" s="1735" customFormat="1" ht="24">
      <c r="A454" s="1743">
        <v>4010</v>
      </c>
      <c r="B454" s="1751" t="s">
        <v>104</v>
      </c>
      <c r="C454" s="1689">
        <v>1465700</v>
      </c>
      <c r="D454" s="893">
        <f t="shared" si="62"/>
        <v>1465700</v>
      </c>
      <c r="E454" s="1690">
        <f t="shared" si="65"/>
        <v>668831</v>
      </c>
      <c r="F454" s="1666">
        <f t="shared" si="52"/>
        <v>45.63218939755748</v>
      </c>
      <c r="G454" s="1689"/>
      <c r="H454" s="1690"/>
      <c r="I454" s="1746"/>
      <c r="J454" s="1745"/>
      <c r="K454" s="1690"/>
      <c r="L454" s="1746"/>
      <c r="M454" s="1790">
        <v>1465700</v>
      </c>
      <c r="N454" s="1690">
        <v>668831</v>
      </c>
      <c r="O454" s="1695">
        <f t="shared" si="64"/>
        <v>45.63218939755748</v>
      </c>
      <c r="P454" s="1689"/>
      <c r="Q454" s="1690"/>
      <c r="R454" s="1754"/>
    </row>
    <row r="455" spans="1:18" s="1735" customFormat="1" ht="24">
      <c r="A455" s="1743">
        <v>4040</v>
      </c>
      <c r="B455" s="1751" t="s">
        <v>108</v>
      </c>
      <c r="C455" s="1689">
        <v>104400</v>
      </c>
      <c r="D455" s="893">
        <f t="shared" si="62"/>
        <v>109920</v>
      </c>
      <c r="E455" s="1690">
        <f t="shared" si="65"/>
        <v>109920</v>
      </c>
      <c r="F455" s="1666">
        <f t="shared" si="52"/>
        <v>100</v>
      </c>
      <c r="G455" s="1689"/>
      <c r="H455" s="1690"/>
      <c r="I455" s="1746"/>
      <c r="J455" s="1745"/>
      <c r="K455" s="1690"/>
      <c r="L455" s="1746"/>
      <c r="M455" s="1790">
        <v>109920</v>
      </c>
      <c r="N455" s="1690">
        <v>109920</v>
      </c>
      <c r="O455" s="1891">
        <f t="shared" si="64"/>
        <v>100</v>
      </c>
      <c r="P455" s="1689"/>
      <c r="Q455" s="1690"/>
      <c r="R455" s="1754"/>
    </row>
    <row r="456" spans="1:18" s="1735" customFormat="1" ht="24">
      <c r="A456" s="1743">
        <v>4110</v>
      </c>
      <c r="B456" s="1751" t="s">
        <v>110</v>
      </c>
      <c r="C456" s="1689">
        <v>267500</v>
      </c>
      <c r="D456" s="893">
        <f t="shared" si="62"/>
        <v>268020</v>
      </c>
      <c r="E456" s="1690">
        <f t="shared" si="65"/>
        <v>107012</v>
      </c>
      <c r="F456" s="1666">
        <f t="shared" si="52"/>
        <v>39.92687112902023</v>
      </c>
      <c r="G456" s="1689"/>
      <c r="H456" s="1690"/>
      <c r="I456" s="1746"/>
      <c r="J456" s="1745"/>
      <c r="K456" s="1690"/>
      <c r="L456" s="1746"/>
      <c r="M456" s="1790">
        <v>268020</v>
      </c>
      <c r="N456" s="1690">
        <v>107012</v>
      </c>
      <c r="O456" s="1695">
        <f t="shared" si="64"/>
        <v>39.92687112902023</v>
      </c>
      <c r="P456" s="1689"/>
      <c r="Q456" s="1690"/>
      <c r="R456" s="1754"/>
    </row>
    <row r="457" spans="1:18" s="1735" customFormat="1" ht="15" customHeight="1">
      <c r="A457" s="1743">
        <v>4120</v>
      </c>
      <c r="B457" s="1751" t="s">
        <v>208</v>
      </c>
      <c r="C457" s="1689">
        <v>36700</v>
      </c>
      <c r="D457" s="893">
        <f t="shared" si="62"/>
        <v>36830</v>
      </c>
      <c r="E457" s="1690">
        <f t="shared" si="65"/>
        <v>14637</v>
      </c>
      <c r="F457" s="1666">
        <f t="shared" si="52"/>
        <v>39.742058104805864</v>
      </c>
      <c r="G457" s="1689"/>
      <c r="H457" s="1690"/>
      <c r="I457" s="1746"/>
      <c r="J457" s="1745"/>
      <c r="K457" s="1690"/>
      <c r="L457" s="1746"/>
      <c r="M457" s="1790">
        <v>36830</v>
      </c>
      <c r="N457" s="1690">
        <v>14637</v>
      </c>
      <c r="O457" s="1695">
        <f t="shared" si="64"/>
        <v>39.742058104805864</v>
      </c>
      <c r="P457" s="1689"/>
      <c r="Q457" s="1690"/>
      <c r="R457" s="1754"/>
    </row>
    <row r="458" spans="1:18" s="1735" customFormat="1" ht="24">
      <c r="A458" s="1743">
        <v>4130</v>
      </c>
      <c r="B458" s="1751" t="s">
        <v>331</v>
      </c>
      <c r="C458" s="1689"/>
      <c r="D458" s="893">
        <f t="shared" si="62"/>
        <v>400</v>
      </c>
      <c r="E458" s="1690">
        <f t="shared" si="65"/>
        <v>143</v>
      </c>
      <c r="F458" s="1666">
        <f aca="true" t="shared" si="66" ref="F458:F499">E458/D458*100</f>
        <v>35.75</v>
      </c>
      <c r="G458" s="1689"/>
      <c r="H458" s="1690"/>
      <c r="I458" s="1746"/>
      <c r="J458" s="1745"/>
      <c r="K458" s="1690"/>
      <c r="L458" s="1746"/>
      <c r="M458" s="1790">
        <v>400</v>
      </c>
      <c r="N458" s="1690">
        <v>143</v>
      </c>
      <c r="O458" s="1695">
        <f t="shared" si="64"/>
        <v>35.75</v>
      </c>
      <c r="P458" s="1689"/>
      <c r="Q458" s="1690"/>
      <c r="R458" s="1754"/>
    </row>
    <row r="459" spans="1:18" s="1735" customFormat="1" ht="24">
      <c r="A459" s="1743">
        <v>4210</v>
      </c>
      <c r="B459" s="1751" t="s">
        <v>114</v>
      </c>
      <c r="C459" s="1689">
        <v>29900</v>
      </c>
      <c r="D459" s="893">
        <f t="shared" si="62"/>
        <v>31900</v>
      </c>
      <c r="E459" s="1690">
        <f t="shared" si="65"/>
        <v>19420</v>
      </c>
      <c r="F459" s="1666">
        <f t="shared" si="66"/>
        <v>60.877742946708466</v>
      </c>
      <c r="G459" s="1689"/>
      <c r="H459" s="1690"/>
      <c r="I459" s="1746"/>
      <c r="J459" s="1745"/>
      <c r="K459" s="1690"/>
      <c r="L459" s="1746"/>
      <c r="M459" s="1790">
        <f>29900+2000</f>
        <v>31900</v>
      </c>
      <c r="N459" s="1690">
        <v>19420</v>
      </c>
      <c r="O459" s="1695">
        <f t="shared" si="64"/>
        <v>60.877742946708466</v>
      </c>
      <c r="P459" s="1689"/>
      <c r="Q459" s="1690"/>
      <c r="R459" s="1754"/>
    </row>
    <row r="460" spans="1:18" s="1735" customFormat="1" ht="36">
      <c r="A460" s="1743">
        <v>4240</v>
      </c>
      <c r="B460" s="1751" t="s">
        <v>185</v>
      </c>
      <c r="C460" s="1689">
        <v>9200</v>
      </c>
      <c r="D460" s="893">
        <f t="shared" si="62"/>
        <v>9200</v>
      </c>
      <c r="E460" s="1690">
        <f t="shared" si="65"/>
        <v>6093</v>
      </c>
      <c r="F460" s="1666">
        <f t="shared" si="66"/>
        <v>66.22826086956522</v>
      </c>
      <c r="G460" s="1689"/>
      <c r="H460" s="1690"/>
      <c r="I460" s="1746"/>
      <c r="J460" s="1745"/>
      <c r="K460" s="1690"/>
      <c r="L460" s="1746"/>
      <c r="M460" s="1790">
        <v>9200</v>
      </c>
      <c r="N460" s="1690">
        <v>6093</v>
      </c>
      <c r="O460" s="1695">
        <f t="shared" si="64"/>
        <v>66.22826086956522</v>
      </c>
      <c r="P460" s="1689"/>
      <c r="Q460" s="1690"/>
      <c r="R460" s="1754"/>
    </row>
    <row r="461" spans="1:18" s="1735" customFormat="1" ht="13.5" customHeight="1">
      <c r="A461" s="1743">
        <v>4260</v>
      </c>
      <c r="B461" s="1751" t="s">
        <v>118</v>
      </c>
      <c r="C461" s="1689">
        <v>97400</v>
      </c>
      <c r="D461" s="893">
        <f t="shared" si="62"/>
        <v>87400</v>
      </c>
      <c r="E461" s="1690">
        <f t="shared" si="65"/>
        <v>44330</v>
      </c>
      <c r="F461" s="1666">
        <f t="shared" si="66"/>
        <v>50.720823798627</v>
      </c>
      <c r="G461" s="1689"/>
      <c r="H461" s="1690"/>
      <c r="I461" s="1746"/>
      <c r="J461" s="1745"/>
      <c r="K461" s="1690"/>
      <c r="L461" s="1746"/>
      <c r="M461" s="1790">
        <v>87400</v>
      </c>
      <c r="N461" s="1690">
        <v>44330</v>
      </c>
      <c r="O461" s="1695">
        <f t="shared" si="64"/>
        <v>50.720823798627</v>
      </c>
      <c r="P461" s="1689"/>
      <c r="Q461" s="1690"/>
      <c r="R461" s="1754"/>
    </row>
    <row r="462" spans="1:18" s="1735" customFormat="1" ht="13.5" customHeight="1">
      <c r="A462" s="1743">
        <v>4270</v>
      </c>
      <c r="B462" s="1751" t="s">
        <v>120</v>
      </c>
      <c r="C462" s="1689">
        <v>2000</v>
      </c>
      <c r="D462" s="893">
        <f t="shared" si="62"/>
        <v>2000</v>
      </c>
      <c r="E462" s="1690">
        <f t="shared" si="65"/>
        <v>0</v>
      </c>
      <c r="F462" s="1666">
        <f t="shared" si="66"/>
        <v>0</v>
      </c>
      <c r="G462" s="1689"/>
      <c r="H462" s="1690"/>
      <c r="I462" s="1746"/>
      <c r="J462" s="1745"/>
      <c r="K462" s="1690"/>
      <c r="L462" s="1746"/>
      <c r="M462" s="1790">
        <v>2000</v>
      </c>
      <c r="N462" s="1690"/>
      <c r="O462" s="1891">
        <f t="shared" si="64"/>
        <v>0</v>
      </c>
      <c r="P462" s="1689"/>
      <c r="Q462" s="1690"/>
      <c r="R462" s="1754"/>
    </row>
    <row r="463" spans="1:18" s="1735" customFormat="1" ht="13.5" customHeight="1">
      <c r="A463" s="1743">
        <v>4280</v>
      </c>
      <c r="B463" s="1751" t="s">
        <v>170</v>
      </c>
      <c r="C463" s="1689">
        <v>2400</v>
      </c>
      <c r="D463" s="893">
        <f t="shared" si="62"/>
        <v>3000</v>
      </c>
      <c r="E463" s="1690">
        <f t="shared" si="65"/>
        <v>1244</v>
      </c>
      <c r="F463" s="1666">
        <f t="shared" si="66"/>
        <v>41.46666666666667</v>
      </c>
      <c r="G463" s="1689"/>
      <c r="H463" s="1690"/>
      <c r="I463" s="1746"/>
      <c r="J463" s="1745"/>
      <c r="K463" s="1690"/>
      <c r="L463" s="1746"/>
      <c r="M463" s="1790">
        <v>3000</v>
      </c>
      <c r="N463" s="1690">
        <v>1244</v>
      </c>
      <c r="O463" s="1891">
        <f t="shared" si="64"/>
        <v>41.46666666666667</v>
      </c>
      <c r="P463" s="1689"/>
      <c r="Q463" s="1690"/>
      <c r="R463" s="1754"/>
    </row>
    <row r="464" spans="1:18" s="1735" customFormat="1" ht="16.5" customHeight="1">
      <c r="A464" s="1743">
        <v>4300</v>
      </c>
      <c r="B464" s="1751" t="s">
        <v>122</v>
      </c>
      <c r="C464" s="1689">
        <v>55000</v>
      </c>
      <c r="D464" s="893">
        <f t="shared" si="62"/>
        <v>55900</v>
      </c>
      <c r="E464" s="1690">
        <f t="shared" si="65"/>
        <v>28990</v>
      </c>
      <c r="F464" s="1666">
        <f t="shared" si="66"/>
        <v>51.86046511627907</v>
      </c>
      <c r="G464" s="1689"/>
      <c r="H464" s="1690"/>
      <c r="I464" s="1746"/>
      <c r="J464" s="1745"/>
      <c r="K464" s="1690"/>
      <c r="L464" s="1746"/>
      <c r="M464" s="1790">
        <v>55900</v>
      </c>
      <c r="N464" s="1690">
        <v>28990</v>
      </c>
      <c r="O464" s="1695">
        <f t="shared" si="64"/>
        <v>51.86046511627907</v>
      </c>
      <c r="P464" s="1689"/>
      <c r="Q464" s="1690"/>
      <c r="R464" s="1754"/>
    </row>
    <row r="465" spans="1:18" s="1735" customFormat="1" ht="24">
      <c r="A465" s="1743">
        <v>4350</v>
      </c>
      <c r="B465" s="1751" t="s">
        <v>326</v>
      </c>
      <c r="C465" s="1689"/>
      <c r="D465" s="893">
        <f t="shared" si="62"/>
        <v>1650</v>
      </c>
      <c r="E465" s="1690">
        <f t="shared" si="65"/>
        <v>569</v>
      </c>
      <c r="F465" s="1666">
        <f t="shared" si="66"/>
        <v>34.484848484848484</v>
      </c>
      <c r="G465" s="1689"/>
      <c r="H465" s="1690"/>
      <c r="I465" s="1746"/>
      <c r="J465" s="1745"/>
      <c r="K465" s="1690"/>
      <c r="L465" s="1746"/>
      <c r="M465" s="1790">
        <v>1650</v>
      </c>
      <c r="N465" s="1690">
        <v>569</v>
      </c>
      <c r="O465" s="1695">
        <f t="shared" si="64"/>
        <v>34.484848484848484</v>
      </c>
      <c r="P465" s="1689"/>
      <c r="Q465" s="1690"/>
      <c r="R465" s="1754"/>
    </row>
    <row r="466" spans="1:18" s="1735" customFormat="1" ht="18" customHeight="1">
      <c r="A466" s="1743">
        <v>4410</v>
      </c>
      <c r="B466" s="1751" t="s">
        <v>96</v>
      </c>
      <c r="C466" s="1689">
        <v>1900</v>
      </c>
      <c r="D466" s="893">
        <f aca="true" t="shared" si="67" ref="D466:D499">G466+J466+P466+M466</f>
        <v>1900</v>
      </c>
      <c r="E466" s="1690">
        <f t="shared" si="65"/>
        <v>439</v>
      </c>
      <c r="F466" s="1666">
        <f t="shared" si="66"/>
        <v>23.105263157894736</v>
      </c>
      <c r="G466" s="1689"/>
      <c r="H466" s="1690"/>
      <c r="I466" s="1746"/>
      <c r="J466" s="1745"/>
      <c r="K466" s="1690"/>
      <c r="L466" s="1746"/>
      <c r="M466" s="1790">
        <v>1900</v>
      </c>
      <c r="N466" s="1690">
        <v>439</v>
      </c>
      <c r="O466" s="1695">
        <f t="shared" si="64"/>
        <v>23.105263157894736</v>
      </c>
      <c r="P466" s="1689"/>
      <c r="Q466" s="1690"/>
      <c r="R466" s="1754"/>
    </row>
    <row r="467" spans="1:18" s="1735" customFormat="1" ht="15" customHeight="1" hidden="1">
      <c r="A467" s="1743">
        <v>4430</v>
      </c>
      <c r="B467" s="1751" t="s">
        <v>124</v>
      </c>
      <c r="C467" s="1689"/>
      <c r="D467" s="893">
        <f t="shared" si="67"/>
        <v>0</v>
      </c>
      <c r="E467" s="1690">
        <f t="shared" si="65"/>
        <v>0</v>
      </c>
      <c r="F467" s="1666" t="e">
        <f t="shared" si="66"/>
        <v>#DIV/0!</v>
      </c>
      <c r="G467" s="1689"/>
      <c r="H467" s="1690"/>
      <c r="I467" s="1746"/>
      <c r="J467" s="1745"/>
      <c r="K467" s="1690"/>
      <c r="L467" s="1746"/>
      <c r="M467" s="1790"/>
      <c r="N467" s="1690"/>
      <c r="O467" s="1695" t="e">
        <f t="shared" si="64"/>
        <v>#DIV/0!</v>
      </c>
      <c r="P467" s="1689"/>
      <c r="Q467" s="1690"/>
      <c r="R467" s="1754"/>
    </row>
    <row r="468" spans="1:18" s="1735" customFormat="1" ht="12.75" customHeight="1">
      <c r="A468" s="1743">
        <v>4440</v>
      </c>
      <c r="B468" s="1751" t="s">
        <v>126</v>
      </c>
      <c r="C468" s="1689">
        <v>68400</v>
      </c>
      <c r="D468" s="925">
        <f t="shared" si="67"/>
        <v>68400</v>
      </c>
      <c r="E468" s="1791">
        <f t="shared" si="65"/>
        <v>51375</v>
      </c>
      <c r="F468" s="1719">
        <f t="shared" si="66"/>
        <v>75.10964912280701</v>
      </c>
      <c r="G468" s="1689"/>
      <c r="H468" s="1690"/>
      <c r="I468" s="1746"/>
      <c r="J468" s="1745"/>
      <c r="K468" s="1690"/>
      <c r="L468" s="1746"/>
      <c r="M468" s="1790">
        <v>68400</v>
      </c>
      <c r="N468" s="1690">
        <v>51375</v>
      </c>
      <c r="O468" s="1891">
        <f t="shared" si="64"/>
        <v>75.10964912280701</v>
      </c>
      <c r="P468" s="1689"/>
      <c r="Q468" s="1690"/>
      <c r="R468" s="1754"/>
    </row>
    <row r="469" spans="1:18" s="1735" customFormat="1" ht="24">
      <c r="A469" s="1783">
        <v>80103</v>
      </c>
      <c r="B469" s="1882" t="s">
        <v>835</v>
      </c>
      <c r="C469" s="886"/>
      <c r="D469" s="884">
        <f t="shared" si="67"/>
        <v>206610</v>
      </c>
      <c r="E469" s="884">
        <f>SUM(H469+K469+N469+Q469)</f>
        <v>107511</v>
      </c>
      <c r="F469" s="1719">
        <f>E469/D469*100</f>
        <v>52.03571947146798</v>
      </c>
      <c r="G469" s="886">
        <f>SUM(G470:G477)</f>
        <v>206610</v>
      </c>
      <c r="H469" s="908">
        <f>SUM(H470:H477)</f>
        <v>107511</v>
      </c>
      <c r="I469" s="1741">
        <f>H469/G469*100</f>
        <v>52.03571947146798</v>
      </c>
      <c r="J469" s="1816"/>
      <c r="K469" s="908"/>
      <c r="L469" s="1741"/>
      <c r="M469" s="1883"/>
      <c r="N469" s="908"/>
      <c r="O469" s="1971"/>
      <c r="P469" s="886"/>
      <c r="Q469" s="908"/>
      <c r="R469" s="889"/>
    </row>
    <row r="470" spans="1:18" s="1735" customFormat="1" ht="36">
      <c r="A470" s="1833">
        <v>2540</v>
      </c>
      <c r="B470" s="1751" t="s">
        <v>836</v>
      </c>
      <c r="C470" s="895"/>
      <c r="D470" s="893">
        <f t="shared" si="67"/>
        <v>66480</v>
      </c>
      <c r="E470" s="1690">
        <f aca="true" t="shared" si="68" ref="E470:E477">SUM(H470+K470+N470+Q470)</f>
        <v>33420</v>
      </c>
      <c r="F470" s="1666">
        <f t="shared" si="66"/>
        <v>50.270758122743686</v>
      </c>
      <c r="G470" s="895">
        <v>66480</v>
      </c>
      <c r="H470" s="1690">
        <v>33420</v>
      </c>
      <c r="I470" s="1746">
        <f>H470/G470*100</f>
        <v>50.270758122743686</v>
      </c>
      <c r="J470" s="1820"/>
      <c r="K470" s="893"/>
      <c r="L470" s="1746"/>
      <c r="M470" s="1890"/>
      <c r="N470" s="893"/>
      <c r="O470" s="1891"/>
      <c r="P470" s="895"/>
      <c r="Q470" s="893"/>
      <c r="R470" s="897"/>
    </row>
    <row r="471" spans="1:18" s="1735" customFormat="1" ht="24">
      <c r="A471" s="1972">
        <v>3020</v>
      </c>
      <c r="B471" s="1751" t="s">
        <v>332</v>
      </c>
      <c r="C471" s="895"/>
      <c r="D471" s="893">
        <f t="shared" si="67"/>
        <v>300</v>
      </c>
      <c r="E471" s="1690">
        <f t="shared" si="68"/>
        <v>0</v>
      </c>
      <c r="F471" s="1666">
        <f>E471/D471*100</f>
        <v>0</v>
      </c>
      <c r="G471" s="895">
        <v>300</v>
      </c>
      <c r="H471" s="893"/>
      <c r="I471" s="1746">
        <f>H471/G471*100</f>
        <v>0</v>
      </c>
      <c r="J471" s="1820"/>
      <c r="K471" s="893"/>
      <c r="L471" s="1746"/>
      <c r="M471" s="1890"/>
      <c r="N471" s="893"/>
      <c r="O471" s="1891"/>
      <c r="P471" s="895"/>
      <c r="Q471" s="893"/>
      <c r="R471" s="897"/>
    </row>
    <row r="472" spans="1:18" s="1735" customFormat="1" ht="24">
      <c r="A472" s="1972">
        <v>4010</v>
      </c>
      <c r="B472" s="1751" t="s">
        <v>104</v>
      </c>
      <c r="C472" s="895"/>
      <c r="D472" s="893">
        <f t="shared" si="67"/>
        <v>102600</v>
      </c>
      <c r="E472" s="1690">
        <f t="shared" si="68"/>
        <v>50724</v>
      </c>
      <c r="F472" s="1666">
        <f t="shared" si="66"/>
        <v>49.43859649122807</v>
      </c>
      <c r="G472" s="895">
        <v>102600</v>
      </c>
      <c r="H472" s="1690">
        <v>50724</v>
      </c>
      <c r="I472" s="1746">
        <f aca="true" t="shared" si="69" ref="I472:I521">H472/G472*100</f>
        <v>49.43859649122807</v>
      </c>
      <c r="J472" s="1820"/>
      <c r="K472" s="893"/>
      <c r="L472" s="1746"/>
      <c r="M472" s="1890"/>
      <c r="N472" s="893"/>
      <c r="O472" s="1891"/>
      <c r="P472" s="895"/>
      <c r="Q472" s="893"/>
      <c r="R472" s="897"/>
    </row>
    <row r="473" spans="1:18" s="1735" customFormat="1" ht="24">
      <c r="A473" s="1972">
        <v>4040</v>
      </c>
      <c r="B473" s="1751" t="s">
        <v>165</v>
      </c>
      <c r="C473" s="895"/>
      <c r="D473" s="893">
        <f t="shared" si="67"/>
        <v>6530</v>
      </c>
      <c r="E473" s="1690">
        <f t="shared" si="68"/>
        <v>6529</v>
      </c>
      <c r="F473" s="1666">
        <f t="shared" si="66"/>
        <v>99.98468606431852</v>
      </c>
      <c r="G473" s="895">
        <v>6530</v>
      </c>
      <c r="H473" s="1690">
        <v>6529</v>
      </c>
      <c r="I473" s="1746">
        <f t="shared" si="69"/>
        <v>99.98468606431852</v>
      </c>
      <c r="J473" s="1820"/>
      <c r="K473" s="893"/>
      <c r="L473" s="1746"/>
      <c r="M473" s="1890"/>
      <c r="N473" s="893"/>
      <c r="O473" s="1891"/>
      <c r="P473" s="895"/>
      <c r="Q473" s="893"/>
      <c r="R473" s="897"/>
    </row>
    <row r="474" spans="1:18" s="1735" customFormat="1" ht="24">
      <c r="A474" s="1972">
        <v>4110</v>
      </c>
      <c r="B474" s="1751" t="s">
        <v>110</v>
      </c>
      <c r="C474" s="895"/>
      <c r="D474" s="893">
        <f t="shared" si="67"/>
        <v>20200</v>
      </c>
      <c r="E474" s="1690">
        <f t="shared" si="68"/>
        <v>9709</v>
      </c>
      <c r="F474" s="1666">
        <f t="shared" si="66"/>
        <v>48.06435643564356</v>
      </c>
      <c r="G474" s="895">
        <v>20200</v>
      </c>
      <c r="H474" s="1690">
        <v>9709</v>
      </c>
      <c r="I474" s="1746">
        <f t="shared" si="69"/>
        <v>48.06435643564356</v>
      </c>
      <c r="J474" s="1820"/>
      <c r="K474" s="893"/>
      <c r="L474" s="1746"/>
      <c r="M474" s="1890"/>
      <c r="N474" s="893"/>
      <c r="O474" s="1891"/>
      <c r="P474" s="895"/>
      <c r="Q474" s="893"/>
      <c r="R474" s="897"/>
    </row>
    <row r="475" spans="1:18" s="1735" customFormat="1" ht="12.75" customHeight="1">
      <c r="A475" s="1972">
        <v>4120</v>
      </c>
      <c r="B475" s="1751" t="s">
        <v>208</v>
      </c>
      <c r="C475" s="895"/>
      <c r="D475" s="893">
        <f t="shared" si="67"/>
        <v>2900</v>
      </c>
      <c r="E475" s="1690">
        <f t="shared" si="68"/>
        <v>1331</v>
      </c>
      <c r="F475" s="1666">
        <f t="shared" si="66"/>
        <v>45.89655172413793</v>
      </c>
      <c r="G475" s="895">
        <v>2900</v>
      </c>
      <c r="H475" s="1690">
        <v>1331</v>
      </c>
      <c r="I475" s="1746">
        <f t="shared" si="69"/>
        <v>45.89655172413793</v>
      </c>
      <c r="J475" s="1820"/>
      <c r="K475" s="893"/>
      <c r="L475" s="1746"/>
      <c r="M475" s="1890"/>
      <c r="N475" s="893"/>
      <c r="O475" s="1891"/>
      <c r="P475" s="895"/>
      <c r="Q475" s="893"/>
      <c r="R475" s="897"/>
    </row>
    <row r="476" spans="1:18" s="1735" customFormat="1" ht="12.75" customHeight="1">
      <c r="A476" s="1972">
        <v>4140</v>
      </c>
      <c r="B476" s="1751" t="s">
        <v>168</v>
      </c>
      <c r="C476" s="895"/>
      <c r="D476" s="893">
        <f t="shared" si="67"/>
        <v>300</v>
      </c>
      <c r="E476" s="1690">
        <f t="shared" si="68"/>
        <v>153</v>
      </c>
      <c r="F476" s="1666">
        <f t="shared" si="66"/>
        <v>51</v>
      </c>
      <c r="G476" s="895">
        <v>300</v>
      </c>
      <c r="H476" s="1690">
        <v>153</v>
      </c>
      <c r="I476" s="1746">
        <f t="shared" si="69"/>
        <v>51</v>
      </c>
      <c r="J476" s="1820"/>
      <c r="K476" s="893"/>
      <c r="L476" s="1746"/>
      <c r="M476" s="1890"/>
      <c r="N476" s="893"/>
      <c r="O476" s="1891"/>
      <c r="P476" s="895"/>
      <c r="Q476" s="893"/>
      <c r="R476" s="897"/>
    </row>
    <row r="477" spans="1:18" s="1735" customFormat="1" ht="12.75" customHeight="1">
      <c r="A477" s="1959">
        <v>4440</v>
      </c>
      <c r="B477" s="1799" t="s">
        <v>126</v>
      </c>
      <c r="C477" s="924"/>
      <c r="D477" s="893">
        <f t="shared" si="67"/>
        <v>7300</v>
      </c>
      <c r="E477" s="1690">
        <f t="shared" si="68"/>
        <v>5645</v>
      </c>
      <c r="F477" s="1666">
        <f t="shared" si="66"/>
        <v>77.32876712328766</v>
      </c>
      <c r="G477" s="924">
        <v>7300</v>
      </c>
      <c r="H477" s="1791">
        <v>5645</v>
      </c>
      <c r="I477" s="1746">
        <f t="shared" si="69"/>
        <v>77.32876712328766</v>
      </c>
      <c r="J477" s="1822"/>
      <c r="K477" s="925"/>
      <c r="L477" s="1857"/>
      <c r="M477" s="1973"/>
      <c r="N477" s="925"/>
      <c r="O477" s="1974"/>
      <c r="P477" s="924"/>
      <c r="Q477" s="925"/>
      <c r="R477" s="1825"/>
    </row>
    <row r="478" spans="1:18" ht="12.75">
      <c r="A478" s="1975">
        <v>80104</v>
      </c>
      <c r="B478" s="1835" t="s">
        <v>333</v>
      </c>
      <c r="C478" s="1738">
        <f>SUM(C479:C487)</f>
        <v>9707600</v>
      </c>
      <c r="D478" s="908">
        <f t="shared" si="67"/>
        <v>9533500</v>
      </c>
      <c r="E478" s="1680">
        <f>H478+K478+Q478+N478</f>
        <v>5265700</v>
      </c>
      <c r="F478" s="1681">
        <f t="shared" si="66"/>
        <v>55.23364976136781</v>
      </c>
      <c r="G478" s="1738">
        <f>SUM(G479:G487)</f>
        <v>9533500</v>
      </c>
      <c r="H478" s="1680">
        <f>SUM(H479:H487)</f>
        <v>5265700</v>
      </c>
      <c r="I478" s="1776">
        <f t="shared" si="69"/>
        <v>55.23364976136781</v>
      </c>
      <c r="J478" s="1740"/>
      <c r="K478" s="1680"/>
      <c r="L478" s="1741"/>
      <c r="M478" s="1680"/>
      <c r="N478" s="1680"/>
      <c r="O478" s="1742"/>
      <c r="P478" s="1738"/>
      <c r="Q478" s="1680"/>
      <c r="R478" s="1782"/>
    </row>
    <row r="479" spans="1:18" s="1735" customFormat="1" ht="36">
      <c r="A479" s="1972">
        <v>2510</v>
      </c>
      <c r="B479" s="1751" t="s">
        <v>826</v>
      </c>
      <c r="C479" s="1689">
        <v>9500000</v>
      </c>
      <c r="D479" s="893">
        <f t="shared" si="67"/>
        <v>9533500</v>
      </c>
      <c r="E479" s="1690">
        <f aca="true" t="shared" si="70" ref="E479:E487">SUM(H479+K479+N479+Q479)</f>
        <v>5265700</v>
      </c>
      <c r="F479" s="1666">
        <f t="shared" si="66"/>
        <v>55.23364976136781</v>
      </c>
      <c r="G479" s="1689">
        <f>9500000+13500+20000</f>
        <v>9533500</v>
      </c>
      <c r="H479" s="1690">
        <v>5265700</v>
      </c>
      <c r="I479" s="1669">
        <f t="shared" si="69"/>
        <v>55.23364976136781</v>
      </c>
      <c r="J479" s="1745"/>
      <c r="K479" s="1690"/>
      <c r="L479" s="1746"/>
      <c r="M479" s="1690"/>
      <c r="N479" s="1690"/>
      <c r="O479" s="1747"/>
      <c r="P479" s="1689"/>
      <c r="Q479" s="1690"/>
      <c r="R479" s="1754"/>
    </row>
    <row r="480" spans="1:18" ht="36">
      <c r="A480" s="1833">
        <v>2540</v>
      </c>
      <c r="B480" s="1751" t="s">
        <v>836</v>
      </c>
      <c r="C480" s="1689">
        <v>67200</v>
      </c>
      <c r="D480" s="893">
        <f t="shared" si="67"/>
        <v>0</v>
      </c>
      <c r="E480" s="1690">
        <f>H480+K480+Q480+N480</f>
        <v>0</v>
      </c>
      <c r="F480" s="1666"/>
      <c r="G480" s="1689">
        <f>67200-66480-720</f>
        <v>0</v>
      </c>
      <c r="H480" s="1690"/>
      <c r="I480" s="1669"/>
      <c r="J480" s="1745"/>
      <c r="K480" s="1690"/>
      <c r="L480" s="1746"/>
      <c r="M480" s="1690"/>
      <c r="N480" s="1690"/>
      <c r="O480" s="1747"/>
      <c r="P480" s="1689"/>
      <c r="Q480" s="1690"/>
      <c r="R480" s="1754"/>
    </row>
    <row r="481" spans="1:18" s="1735" customFormat="1" ht="24">
      <c r="A481" s="1972">
        <v>3020</v>
      </c>
      <c r="B481" s="1751" t="s">
        <v>332</v>
      </c>
      <c r="C481" s="1689">
        <v>300</v>
      </c>
      <c r="D481" s="893">
        <f t="shared" si="67"/>
        <v>0</v>
      </c>
      <c r="E481" s="1690">
        <f t="shared" si="70"/>
        <v>0</v>
      </c>
      <c r="F481" s="1666"/>
      <c r="G481" s="1689">
        <f>300-300</f>
        <v>0</v>
      </c>
      <c r="H481" s="1690"/>
      <c r="I481" s="1669"/>
      <c r="J481" s="1745"/>
      <c r="K481" s="1690"/>
      <c r="L481" s="1746"/>
      <c r="M481" s="1690"/>
      <c r="N481" s="1690"/>
      <c r="O481" s="1747"/>
      <c r="P481" s="1689"/>
      <c r="Q481" s="1690"/>
      <c r="R481" s="1754"/>
    </row>
    <row r="482" spans="1:18" s="1735" customFormat="1" ht="24">
      <c r="A482" s="1972">
        <v>4010</v>
      </c>
      <c r="B482" s="1751" t="s">
        <v>104</v>
      </c>
      <c r="C482" s="1689">
        <v>102600</v>
      </c>
      <c r="D482" s="893">
        <f t="shared" si="67"/>
        <v>0</v>
      </c>
      <c r="E482" s="1690">
        <f t="shared" si="70"/>
        <v>0</v>
      </c>
      <c r="F482" s="1666"/>
      <c r="G482" s="1689">
        <f>102600-102600</f>
        <v>0</v>
      </c>
      <c r="H482" s="1690"/>
      <c r="I482" s="1669"/>
      <c r="J482" s="1745"/>
      <c r="K482" s="1690"/>
      <c r="L482" s="1746"/>
      <c r="M482" s="1690"/>
      <c r="N482" s="1690"/>
      <c r="O482" s="1747"/>
      <c r="P482" s="1689"/>
      <c r="Q482" s="1690"/>
      <c r="R482" s="1754"/>
    </row>
    <row r="483" spans="1:18" s="1735" customFormat="1" ht="26.25" customHeight="1">
      <c r="A483" s="1972">
        <v>4040</v>
      </c>
      <c r="B483" s="1751" t="s">
        <v>165</v>
      </c>
      <c r="C483" s="1689">
        <v>6800</v>
      </c>
      <c r="D483" s="893">
        <f t="shared" si="67"/>
        <v>0</v>
      </c>
      <c r="E483" s="1690">
        <f t="shared" si="70"/>
        <v>0</v>
      </c>
      <c r="F483" s="1666"/>
      <c r="G483" s="1689">
        <f>6800-6800</f>
        <v>0</v>
      </c>
      <c r="H483" s="1690"/>
      <c r="I483" s="1669"/>
      <c r="J483" s="1745"/>
      <c r="K483" s="1690"/>
      <c r="L483" s="1746"/>
      <c r="M483" s="1690"/>
      <c r="N483" s="1690"/>
      <c r="O483" s="1747"/>
      <c r="P483" s="1689"/>
      <c r="Q483" s="1690"/>
      <c r="R483" s="1754"/>
    </row>
    <row r="484" spans="1:18" s="1735" customFormat="1" ht="24">
      <c r="A484" s="1972">
        <v>4110</v>
      </c>
      <c r="B484" s="1751" t="s">
        <v>110</v>
      </c>
      <c r="C484" s="1689">
        <v>20200</v>
      </c>
      <c r="D484" s="893">
        <f t="shared" si="67"/>
        <v>0</v>
      </c>
      <c r="E484" s="1690">
        <f t="shared" si="70"/>
        <v>0</v>
      </c>
      <c r="F484" s="1666"/>
      <c r="G484" s="1689">
        <f>20200-20200</f>
        <v>0</v>
      </c>
      <c r="H484" s="1690"/>
      <c r="I484" s="1669"/>
      <c r="J484" s="1745"/>
      <c r="K484" s="1690"/>
      <c r="L484" s="1746"/>
      <c r="M484" s="1690"/>
      <c r="N484" s="1690"/>
      <c r="O484" s="1747"/>
      <c r="P484" s="1689"/>
      <c r="Q484" s="1690"/>
      <c r="R484" s="1754"/>
    </row>
    <row r="485" spans="1:18" s="1735" customFormat="1" ht="17.25" customHeight="1">
      <c r="A485" s="1972">
        <v>4120</v>
      </c>
      <c r="B485" s="1751" t="s">
        <v>208</v>
      </c>
      <c r="C485" s="1689">
        <v>2900</v>
      </c>
      <c r="D485" s="893">
        <f t="shared" si="67"/>
        <v>0</v>
      </c>
      <c r="E485" s="1690">
        <f t="shared" si="70"/>
        <v>0</v>
      </c>
      <c r="F485" s="1666"/>
      <c r="G485" s="1689">
        <f>2900-2900</f>
        <v>0</v>
      </c>
      <c r="H485" s="1690"/>
      <c r="I485" s="1669"/>
      <c r="J485" s="1745"/>
      <c r="K485" s="1690"/>
      <c r="L485" s="1746"/>
      <c r="M485" s="1690"/>
      <c r="N485" s="1690"/>
      <c r="O485" s="1747"/>
      <c r="P485" s="1689"/>
      <c r="Q485" s="1690"/>
      <c r="R485" s="1754"/>
    </row>
    <row r="486" spans="1:18" s="1735" customFormat="1" ht="15.75" customHeight="1">
      <c r="A486" s="1972">
        <v>4140</v>
      </c>
      <c r="B486" s="1751" t="s">
        <v>168</v>
      </c>
      <c r="C486" s="1689">
        <v>300</v>
      </c>
      <c r="D486" s="893">
        <f t="shared" si="67"/>
        <v>0</v>
      </c>
      <c r="E486" s="893">
        <f>H486+K486+Q486+N486</f>
        <v>0</v>
      </c>
      <c r="F486" s="1666"/>
      <c r="G486" s="1689">
        <f>300-300</f>
        <v>0</v>
      </c>
      <c r="H486" s="1690"/>
      <c r="I486" s="1669"/>
      <c r="J486" s="1745"/>
      <c r="K486" s="1690"/>
      <c r="L486" s="1746"/>
      <c r="M486" s="1690"/>
      <c r="N486" s="1690"/>
      <c r="O486" s="1747"/>
      <c r="P486" s="1689"/>
      <c r="Q486" s="1690"/>
      <c r="R486" s="1754"/>
    </row>
    <row r="487" spans="1:18" s="1735" customFormat="1" ht="15" customHeight="1">
      <c r="A487" s="1959">
        <v>4440</v>
      </c>
      <c r="B487" s="1799" t="s">
        <v>126</v>
      </c>
      <c r="C487" s="1800">
        <v>7300</v>
      </c>
      <c r="D487" s="925">
        <f t="shared" si="67"/>
        <v>0</v>
      </c>
      <c r="E487" s="1791">
        <f t="shared" si="70"/>
        <v>0</v>
      </c>
      <c r="F487" s="1719"/>
      <c r="G487" s="1800">
        <f>7300-7300</f>
        <v>0</v>
      </c>
      <c r="H487" s="1791"/>
      <c r="I487" s="1739"/>
      <c r="J487" s="1801"/>
      <c r="K487" s="1791"/>
      <c r="L487" s="1857"/>
      <c r="M487" s="1791"/>
      <c r="N487" s="1791"/>
      <c r="O487" s="1804"/>
      <c r="P487" s="1800"/>
      <c r="Q487" s="1791"/>
      <c r="R487" s="1845"/>
    </row>
    <row r="488" spans="1:18" s="1735" customFormat="1" ht="15" customHeight="1">
      <c r="A488" s="1736">
        <v>80105</v>
      </c>
      <c r="B488" s="1976" t="s">
        <v>334</v>
      </c>
      <c r="C488" s="1738">
        <f>SUM(C489:C501)</f>
        <v>403800</v>
      </c>
      <c r="D488" s="908">
        <f t="shared" si="67"/>
        <v>408680</v>
      </c>
      <c r="E488" s="1680">
        <f>H488+K488+Q488+N488</f>
        <v>172118</v>
      </c>
      <c r="F488" s="1681">
        <f t="shared" si="66"/>
        <v>42.11559166095723</v>
      </c>
      <c r="G488" s="1680"/>
      <c r="H488" s="1740"/>
      <c r="I488" s="1881"/>
      <c r="J488" s="1740"/>
      <c r="K488" s="1680"/>
      <c r="L488" s="1741"/>
      <c r="M488" s="1680">
        <f>SUM(M489:M501)</f>
        <v>408680</v>
      </c>
      <c r="N488" s="1680">
        <f>SUM(N489:N501)</f>
        <v>172118</v>
      </c>
      <c r="O488" s="1688">
        <f aca="true" t="shared" si="71" ref="O488:O499">N488/M488*100</f>
        <v>42.11559166095723</v>
      </c>
      <c r="P488" s="1680"/>
      <c r="Q488" s="1680"/>
      <c r="R488" s="1782"/>
    </row>
    <row r="489" spans="1:18" s="1735" customFormat="1" ht="24">
      <c r="A489" s="1743">
        <v>3020</v>
      </c>
      <c r="B489" s="1751" t="s">
        <v>332</v>
      </c>
      <c r="C489" s="1689">
        <v>1500</v>
      </c>
      <c r="D489" s="893">
        <f t="shared" si="67"/>
        <v>1500</v>
      </c>
      <c r="E489" s="1690">
        <f aca="true" t="shared" si="72" ref="E489:E499">SUM(H489+K489+N489+Q489)</f>
        <v>103</v>
      </c>
      <c r="F489" s="1666">
        <f t="shared" si="66"/>
        <v>6.866666666666667</v>
      </c>
      <c r="G489" s="1690"/>
      <c r="H489" s="1745"/>
      <c r="I489" s="1746"/>
      <c r="J489" s="1745"/>
      <c r="K489" s="1690"/>
      <c r="L489" s="1746"/>
      <c r="M489" s="1693">
        <v>1500</v>
      </c>
      <c r="N489" s="1707">
        <v>103</v>
      </c>
      <c r="O489" s="1695">
        <f t="shared" si="71"/>
        <v>6.866666666666667</v>
      </c>
      <c r="P489" s="1690"/>
      <c r="Q489" s="1690"/>
      <c r="R489" s="1754"/>
    </row>
    <row r="490" spans="1:18" s="1735" customFormat="1" ht="24">
      <c r="A490" s="1743">
        <v>4010</v>
      </c>
      <c r="B490" s="1977" t="s">
        <v>104</v>
      </c>
      <c r="C490" s="1689">
        <v>276800</v>
      </c>
      <c r="D490" s="893">
        <f t="shared" si="67"/>
        <v>284250</v>
      </c>
      <c r="E490" s="1690">
        <f t="shared" si="72"/>
        <v>110893</v>
      </c>
      <c r="F490" s="1666">
        <f t="shared" si="66"/>
        <v>39.01248900615656</v>
      </c>
      <c r="G490" s="1690"/>
      <c r="H490" s="1745"/>
      <c r="I490" s="1746"/>
      <c r="J490" s="1745"/>
      <c r="K490" s="1690"/>
      <c r="L490" s="1746"/>
      <c r="M490" s="1689">
        <f>276800+7450</f>
        <v>284250</v>
      </c>
      <c r="N490" s="1690">
        <v>110893</v>
      </c>
      <c r="O490" s="1695">
        <f t="shared" si="71"/>
        <v>39.01248900615656</v>
      </c>
      <c r="P490" s="1690"/>
      <c r="Q490" s="1690"/>
      <c r="R490" s="1754"/>
    </row>
    <row r="491" spans="1:18" s="1735" customFormat="1" ht="24">
      <c r="A491" s="1743">
        <v>4040</v>
      </c>
      <c r="B491" s="1977" t="s">
        <v>108</v>
      </c>
      <c r="C491" s="1689">
        <v>19500</v>
      </c>
      <c r="D491" s="893">
        <f t="shared" si="67"/>
        <v>16930</v>
      </c>
      <c r="E491" s="1690">
        <f t="shared" si="72"/>
        <v>16926</v>
      </c>
      <c r="F491" s="1666">
        <f t="shared" si="66"/>
        <v>99.97637330183107</v>
      </c>
      <c r="G491" s="1690"/>
      <c r="H491" s="1745"/>
      <c r="I491" s="1746"/>
      <c r="J491" s="1745"/>
      <c r="K491" s="1690"/>
      <c r="L491" s="1746"/>
      <c r="M491" s="1689">
        <f>19500-2570</f>
        <v>16930</v>
      </c>
      <c r="N491" s="1690">
        <v>16926</v>
      </c>
      <c r="O491" s="1669">
        <f t="shared" si="71"/>
        <v>99.97637330183107</v>
      </c>
      <c r="P491" s="1690"/>
      <c r="Q491" s="1690"/>
      <c r="R491" s="1754"/>
    </row>
    <row r="492" spans="1:18" s="1735" customFormat="1" ht="24">
      <c r="A492" s="1743">
        <v>4110</v>
      </c>
      <c r="B492" s="1977" t="s">
        <v>110</v>
      </c>
      <c r="C492" s="1689">
        <v>50000</v>
      </c>
      <c r="D492" s="893">
        <f t="shared" si="67"/>
        <v>50000</v>
      </c>
      <c r="E492" s="1690">
        <f t="shared" si="72"/>
        <v>19998</v>
      </c>
      <c r="F492" s="1666">
        <f t="shared" si="66"/>
        <v>39.995999999999995</v>
      </c>
      <c r="G492" s="1690"/>
      <c r="H492" s="1745"/>
      <c r="I492" s="1746"/>
      <c r="J492" s="1745"/>
      <c r="K492" s="1690"/>
      <c r="L492" s="1746"/>
      <c r="M492" s="1689">
        <v>50000</v>
      </c>
      <c r="N492" s="1690">
        <v>19998</v>
      </c>
      <c r="O492" s="1695">
        <f t="shared" si="71"/>
        <v>39.995999999999995</v>
      </c>
      <c r="P492" s="1690"/>
      <c r="Q492" s="1690"/>
      <c r="R492" s="1754"/>
    </row>
    <row r="493" spans="1:18" s="1735" customFormat="1" ht="12.75">
      <c r="A493" s="1743">
        <v>4120</v>
      </c>
      <c r="B493" s="1977" t="s">
        <v>208</v>
      </c>
      <c r="C493" s="1689">
        <v>7000</v>
      </c>
      <c r="D493" s="893">
        <f t="shared" si="67"/>
        <v>7000</v>
      </c>
      <c r="E493" s="1690">
        <f t="shared" si="72"/>
        <v>2675</v>
      </c>
      <c r="F493" s="1666">
        <f t="shared" si="66"/>
        <v>38.21428571428571</v>
      </c>
      <c r="G493" s="1690"/>
      <c r="H493" s="1745"/>
      <c r="I493" s="1746"/>
      <c r="J493" s="1745"/>
      <c r="K493" s="1690"/>
      <c r="L493" s="1746"/>
      <c r="M493" s="1689">
        <v>7000</v>
      </c>
      <c r="N493" s="1690">
        <v>2675</v>
      </c>
      <c r="O493" s="1695">
        <f t="shared" si="71"/>
        <v>38.21428571428571</v>
      </c>
      <c r="P493" s="1690"/>
      <c r="Q493" s="1690"/>
      <c r="R493" s="1754"/>
    </row>
    <row r="494" spans="1:18" s="1735" customFormat="1" ht="24">
      <c r="A494" s="1743">
        <v>4210</v>
      </c>
      <c r="B494" s="1977" t="s">
        <v>114</v>
      </c>
      <c r="C494" s="1689">
        <v>8000</v>
      </c>
      <c r="D494" s="893">
        <f t="shared" si="67"/>
        <v>8000</v>
      </c>
      <c r="E494" s="1690">
        <f t="shared" si="72"/>
        <v>4880</v>
      </c>
      <c r="F494" s="1666">
        <f t="shared" si="66"/>
        <v>61</v>
      </c>
      <c r="G494" s="1690"/>
      <c r="H494" s="1745"/>
      <c r="I494" s="1746"/>
      <c r="J494" s="1745"/>
      <c r="K494" s="1690"/>
      <c r="L494" s="1746"/>
      <c r="M494" s="1689">
        <v>8000</v>
      </c>
      <c r="N494" s="1690">
        <v>4880</v>
      </c>
      <c r="O494" s="1695">
        <f t="shared" si="71"/>
        <v>61</v>
      </c>
      <c r="P494" s="1690"/>
      <c r="Q494" s="1690"/>
      <c r="R494" s="1754"/>
    </row>
    <row r="495" spans="1:18" s="1735" customFormat="1" ht="36">
      <c r="A495" s="1743">
        <v>4240</v>
      </c>
      <c r="B495" s="1977" t="s">
        <v>335</v>
      </c>
      <c r="C495" s="1689">
        <v>1600</v>
      </c>
      <c r="D495" s="893">
        <f t="shared" si="67"/>
        <v>1600</v>
      </c>
      <c r="E495" s="1690">
        <f t="shared" si="72"/>
        <v>1234</v>
      </c>
      <c r="F495" s="1666">
        <f t="shared" si="66"/>
        <v>77.125</v>
      </c>
      <c r="G495" s="1690"/>
      <c r="H495" s="1745"/>
      <c r="I495" s="1746"/>
      <c r="J495" s="1745"/>
      <c r="K495" s="1690"/>
      <c r="L495" s="1746"/>
      <c r="M495" s="1689">
        <v>1600</v>
      </c>
      <c r="N495" s="1690">
        <v>1234</v>
      </c>
      <c r="O495" s="1695">
        <f t="shared" si="71"/>
        <v>77.125</v>
      </c>
      <c r="P495" s="1690"/>
      <c r="Q495" s="1690"/>
      <c r="R495" s="1754"/>
    </row>
    <row r="496" spans="1:18" s="1735" customFormat="1" ht="12.75">
      <c r="A496" s="1743">
        <v>4260</v>
      </c>
      <c r="B496" s="1977" t="s">
        <v>118</v>
      </c>
      <c r="C496" s="1689">
        <v>19000</v>
      </c>
      <c r="D496" s="893">
        <f t="shared" si="67"/>
        <v>19000</v>
      </c>
      <c r="E496" s="1690">
        <f t="shared" si="72"/>
        <v>3272</v>
      </c>
      <c r="F496" s="1666">
        <f t="shared" si="66"/>
        <v>17.22105263157895</v>
      </c>
      <c r="G496" s="1690"/>
      <c r="H496" s="1745"/>
      <c r="I496" s="1746"/>
      <c r="J496" s="1745"/>
      <c r="K496" s="1690"/>
      <c r="L496" s="1746"/>
      <c r="M496" s="1689">
        <v>19000</v>
      </c>
      <c r="N496" s="1690">
        <v>3272</v>
      </c>
      <c r="O496" s="1695">
        <f t="shared" si="71"/>
        <v>17.22105263157895</v>
      </c>
      <c r="P496" s="1690"/>
      <c r="Q496" s="1690"/>
      <c r="R496" s="1754"/>
    </row>
    <row r="497" spans="1:18" s="1735" customFormat="1" ht="15" customHeight="1">
      <c r="A497" s="1743">
        <v>4270</v>
      </c>
      <c r="B497" s="1977" t="s">
        <v>120</v>
      </c>
      <c r="C497" s="1689">
        <v>2000</v>
      </c>
      <c r="D497" s="893">
        <f t="shared" si="67"/>
        <v>2000</v>
      </c>
      <c r="E497" s="1690">
        <f t="shared" si="72"/>
        <v>1050</v>
      </c>
      <c r="F497" s="1666">
        <f t="shared" si="66"/>
        <v>52.5</v>
      </c>
      <c r="G497" s="1690"/>
      <c r="H497" s="1745"/>
      <c r="I497" s="1746"/>
      <c r="J497" s="1745"/>
      <c r="K497" s="1690"/>
      <c r="L497" s="1746"/>
      <c r="M497" s="1689">
        <v>2000</v>
      </c>
      <c r="N497" s="1690">
        <v>1050</v>
      </c>
      <c r="O497" s="1695">
        <f t="shared" si="71"/>
        <v>52.5</v>
      </c>
      <c r="P497" s="1690"/>
      <c r="Q497" s="1690"/>
      <c r="R497" s="1754"/>
    </row>
    <row r="498" spans="1:18" s="1735" customFormat="1" ht="15" customHeight="1">
      <c r="A498" s="1743">
        <v>4280</v>
      </c>
      <c r="B498" s="1751" t="s">
        <v>170</v>
      </c>
      <c r="C498" s="1689">
        <v>800</v>
      </c>
      <c r="D498" s="893">
        <f t="shared" si="67"/>
        <v>800</v>
      </c>
      <c r="E498" s="1690">
        <f t="shared" si="72"/>
        <v>0</v>
      </c>
      <c r="F498" s="1666">
        <f t="shared" si="66"/>
        <v>0</v>
      </c>
      <c r="G498" s="1690"/>
      <c r="H498" s="1745"/>
      <c r="I498" s="1746"/>
      <c r="J498" s="1745"/>
      <c r="K498" s="1690"/>
      <c r="L498" s="1746"/>
      <c r="M498" s="1689">
        <v>800</v>
      </c>
      <c r="N498" s="1690"/>
      <c r="O498" s="1695">
        <f t="shared" si="71"/>
        <v>0</v>
      </c>
      <c r="P498" s="1690"/>
      <c r="Q498" s="1690"/>
      <c r="R498" s="1754"/>
    </row>
    <row r="499" spans="1:18" s="1735" customFormat="1" ht="15" customHeight="1">
      <c r="A499" s="1743">
        <v>4300</v>
      </c>
      <c r="B499" s="1977" t="s">
        <v>122</v>
      </c>
      <c r="C499" s="1689">
        <v>5000</v>
      </c>
      <c r="D499" s="893">
        <f t="shared" si="67"/>
        <v>5000</v>
      </c>
      <c r="E499" s="1690">
        <f t="shared" si="72"/>
        <v>1547</v>
      </c>
      <c r="F499" s="1666">
        <f t="shared" si="66"/>
        <v>30.94</v>
      </c>
      <c r="G499" s="1690"/>
      <c r="H499" s="1745"/>
      <c r="I499" s="1746"/>
      <c r="J499" s="1745"/>
      <c r="K499" s="1690"/>
      <c r="L499" s="1746"/>
      <c r="M499" s="1689">
        <v>5000</v>
      </c>
      <c r="N499" s="1690">
        <v>1547</v>
      </c>
      <c r="O499" s="1695">
        <f t="shared" si="71"/>
        <v>30.94</v>
      </c>
      <c r="P499" s="1690"/>
      <c r="Q499" s="1690"/>
      <c r="R499" s="1754"/>
    </row>
    <row r="500" spans="1:18" s="1735" customFormat="1" ht="15" customHeight="1" hidden="1">
      <c r="A500" s="1743">
        <v>4430</v>
      </c>
      <c r="B500" s="1977" t="s">
        <v>124</v>
      </c>
      <c r="C500" s="1689">
        <v>0</v>
      </c>
      <c r="D500" s="893"/>
      <c r="E500" s="1690"/>
      <c r="F500" s="1666"/>
      <c r="G500" s="1690"/>
      <c r="H500" s="1745"/>
      <c r="I500" s="1746"/>
      <c r="J500" s="1745"/>
      <c r="K500" s="1690"/>
      <c r="L500" s="1746"/>
      <c r="M500" s="1689"/>
      <c r="N500" s="1690"/>
      <c r="O500" s="1695"/>
      <c r="P500" s="1690"/>
      <c r="Q500" s="1690"/>
      <c r="R500" s="1754"/>
    </row>
    <row r="501" spans="1:18" s="1735" customFormat="1" ht="15" customHeight="1">
      <c r="A501" s="1798">
        <v>4440</v>
      </c>
      <c r="B501" s="1978" t="s">
        <v>126</v>
      </c>
      <c r="C501" s="1800">
        <v>12600</v>
      </c>
      <c r="D501" s="925">
        <f aca="true" t="shared" si="73" ref="D501:D540">G501+J501+P501+M501</f>
        <v>12600</v>
      </c>
      <c r="E501" s="1791">
        <f>SUM(H501+K501+N501+Q501)</f>
        <v>9540</v>
      </c>
      <c r="F501" s="1719">
        <f>E501/D501*100</f>
        <v>75.71428571428571</v>
      </c>
      <c r="G501" s="1791"/>
      <c r="H501" s="1801"/>
      <c r="I501" s="1857"/>
      <c r="J501" s="1801"/>
      <c r="K501" s="1791"/>
      <c r="L501" s="1857"/>
      <c r="M501" s="1800">
        <v>12600</v>
      </c>
      <c r="N501" s="1791">
        <v>9540</v>
      </c>
      <c r="O501" s="1974">
        <f>N501/M501*100</f>
        <v>75.71428571428571</v>
      </c>
      <c r="P501" s="1791"/>
      <c r="Q501" s="1791"/>
      <c r="R501" s="1845"/>
    </row>
    <row r="502" spans="1:18" ht="24.75" customHeight="1">
      <c r="A502" s="1736">
        <v>80110</v>
      </c>
      <c r="B502" s="1835" t="s">
        <v>838</v>
      </c>
      <c r="C502" s="1738">
        <f>SUM(C503:C520)</f>
        <v>17029300</v>
      </c>
      <c r="D502" s="908">
        <f t="shared" si="73"/>
        <v>17061834</v>
      </c>
      <c r="E502" s="908">
        <f>H502+K502+Q502+N502</f>
        <v>9020497</v>
      </c>
      <c r="F502" s="1979">
        <f>E502/D502*100</f>
        <v>52.86944533629855</v>
      </c>
      <c r="G502" s="1738">
        <f>SUM(G503:G521)</f>
        <v>17061834</v>
      </c>
      <c r="H502" s="1740">
        <f>SUM(H503:H521)</f>
        <v>9020497</v>
      </c>
      <c r="I502" s="1776">
        <f t="shared" si="69"/>
        <v>52.86944533629855</v>
      </c>
      <c r="J502" s="1740"/>
      <c r="K502" s="1680"/>
      <c r="L502" s="1741"/>
      <c r="M502" s="1680"/>
      <c r="N502" s="1680"/>
      <c r="O502" s="1742"/>
      <c r="P502" s="1738"/>
      <c r="Q502" s="1680"/>
      <c r="R502" s="1782"/>
    </row>
    <row r="503" spans="1:18" s="1735" customFormat="1" ht="60" customHeight="1">
      <c r="A503" s="1743">
        <v>2540</v>
      </c>
      <c r="B503" s="1751" t="s">
        <v>834</v>
      </c>
      <c r="C503" s="1689">
        <v>280000</v>
      </c>
      <c r="D503" s="893">
        <f t="shared" si="73"/>
        <v>279770</v>
      </c>
      <c r="E503" s="1690">
        <f>SUM(H503+K503+N503+Q503)</f>
        <v>136993</v>
      </c>
      <c r="F503" s="1666">
        <f>E503/D503*100</f>
        <v>48.96629374128749</v>
      </c>
      <c r="G503" s="1689">
        <f>280000-230</f>
        <v>279770</v>
      </c>
      <c r="H503" s="1690">
        <v>136993</v>
      </c>
      <c r="I503" s="1669">
        <f t="shared" si="69"/>
        <v>48.96629374128749</v>
      </c>
      <c r="J503" s="1745"/>
      <c r="K503" s="1690"/>
      <c r="L503" s="1746"/>
      <c r="M503" s="1690"/>
      <c r="N503" s="1690"/>
      <c r="O503" s="1747"/>
      <c r="P503" s="1689"/>
      <c r="Q503" s="1690"/>
      <c r="R503" s="1754"/>
    </row>
    <row r="504" spans="1:18" ht="24">
      <c r="A504" s="1743">
        <v>3020</v>
      </c>
      <c r="B504" s="1751" t="s">
        <v>332</v>
      </c>
      <c r="C504" s="1689">
        <v>65200</v>
      </c>
      <c r="D504" s="893">
        <f t="shared" si="73"/>
        <v>65200</v>
      </c>
      <c r="E504" s="1690">
        <f>SUM(H504+K504+N504+Q504)</f>
        <v>10018</v>
      </c>
      <c r="F504" s="1666">
        <f>E504/D504*100</f>
        <v>15.365030674846626</v>
      </c>
      <c r="G504" s="1689">
        <v>65200</v>
      </c>
      <c r="H504" s="1690">
        <v>10018</v>
      </c>
      <c r="I504" s="1669">
        <f t="shared" si="69"/>
        <v>15.365030674846626</v>
      </c>
      <c r="J504" s="1745"/>
      <c r="K504" s="1690"/>
      <c r="L504" s="1746"/>
      <c r="M504" s="1690"/>
      <c r="N504" s="1690"/>
      <c r="O504" s="1747"/>
      <c r="P504" s="1689"/>
      <c r="Q504" s="1690"/>
      <c r="R504" s="1754"/>
    </row>
    <row r="505" spans="1:18" ht="24">
      <c r="A505" s="1743">
        <v>4010</v>
      </c>
      <c r="B505" s="1751" t="s">
        <v>104</v>
      </c>
      <c r="C505" s="1689">
        <v>10925000</v>
      </c>
      <c r="D505" s="893">
        <f t="shared" si="73"/>
        <v>10943567</v>
      </c>
      <c r="E505" s="1690">
        <f>SUM(H505+K505+N505+Q505)</f>
        <v>5180692</v>
      </c>
      <c r="F505" s="1666">
        <f aca="true" t="shared" si="74" ref="F505:F568">E505/D505*100</f>
        <v>47.34006745698181</v>
      </c>
      <c r="G505" s="1689">
        <f>10930580+5300+7687</f>
        <v>10943567</v>
      </c>
      <c r="H505" s="1690">
        <v>5180692</v>
      </c>
      <c r="I505" s="1669">
        <f t="shared" si="69"/>
        <v>47.34006745698181</v>
      </c>
      <c r="J505" s="1745"/>
      <c r="K505" s="1690"/>
      <c r="L505" s="1746"/>
      <c r="M505" s="1690"/>
      <c r="N505" s="1690"/>
      <c r="O505" s="1747"/>
      <c r="P505" s="1689"/>
      <c r="Q505" s="1690"/>
      <c r="R505" s="1754"/>
    </row>
    <row r="506" spans="1:18" ht="25.5" customHeight="1">
      <c r="A506" s="1743">
        <v>4040</v>
      </c>
      <c r="B506" s="1751" t="s">
        <v>165</v>
      </c>
      <c r="C506" s="1689">
        <v>869000</v>
      </c>
      <c r="D506" s="893">
        <f t="shared" si="73"/>
        <v>836527</v>
      </c>
      <c r="E506" s="1690">
        <f>SUM(H506+K506+N506+Q506)</f>
        <v>836407</v>
      </c>
      <c r="F506" s="1666">
        <f t="shared" si="74"/>
        <v>99.98565497587047</v>
      </c>
      <c r="G506" s="1689">
        <f>863420-8702-7230-11431+470</f>
        <v>836527</v>
      </c>
      <c r="H506" s="1690">
        <v>836407</v>
      </c>
      <c r="I506" s="1669">
        <f t="shared" si="69"/>
        <v>99.98565497587047</v>
      </c>
      <c r="J506" s="1745"/>
      <c r="K506" s="1690"/>
      <c r="L506" s="1746"/>
      <c r="M506" s="1690"/>
      <c r="N506" s="1690"/>
      <c r="O506" s="1747"/>
      <c r="P506" s="1689"/>
      <c r="Q506" s="1690"/>
      <c r="R506" s="1754"/>
    </row>
    <row r="507" spans="1:18" ht="24">
      <c r="A507" s="1743">
        <v>4110</v>
      </c>
      <c r="B507" s="1751" t="s">
        <v>110</v>
      </c>
      <c r="C507" s="1689">
        <v>2076000</v>
      </c>
      <c r="D507" s="893">
        <f t="shared" si="73"/>
        <v>2076000</v>
      </c>
      <c r="E507" s="1690">
        <f aca="true" t="shared" si="75" ref="E507:E520">SUM(H507+K507+N507+Q507)</f>
        <v>1104133</v>
      </c>
      <c r="F507" s="1666">
        <f t="shared" si="74"/>
        <v>53.18559730250482</v>
      </c>
      <c r="G507" s="1689">
        <v>2076000</v>
      </c>
      <c r="H507" s="1690">
        <v>1104133</v>
      </c>
      <c r="I507" s="1669">
        <f t="shared" si="69"/>
        <v>53.18559730250482</v>
      </c>
      <c r="J507" s="1745"/>
      <c r="K507" s="1690"/>
      <c r="L507" s="1746"/>
      <c r="M507" s="1690"/>
      <c r="N507" s="1690"/>
      <c r="O507" s="1747"/>
      <c r="P507" s="1689"/>
      <c r="Q507" s="1690"/>
      <c r="R507" s="1754"/>
    </row>
    <row r="508" spans="1:18" ht="12.75">
      <c r="A508" s="1743">
        <v>4120</v>
      </c>
      <c r="B508" s="1751" t="s">
        <v>208</v>
      </c>
      <c r="C508" s="1689">
        <v>271000</v>
      </c>
      <c r="D508" s="893">
        <f t="shared" si="73"/>
        <v>271000</v>
      </c>
      <c r="E508" s="893">
        <f t="shared" si="75"/>
        <v>141706</v>
      </c>
      <c r="F508" s="1666">
        <f t="shared" si="74"/>
        <v>52.29003690036901</v>
      </c>
      <c r="G508" s="1689">
        <v>271000</v>
      </c>
      <c r="H508" s="1690">
        <v>141706</v>
      </c>
      <c r="I508" s="1669">
        <f t="shared" si="69"/>
        <v>52.29003690036901</v>
      </c>
      <c r="J508" s="1745"/>
      <c r="K508" s="1690"/>
      <c r="L508" s="1746"/>
      <c r="M508" s="1690"/>
      <c r="N508" s="1690"/>
      <c r="O508" s="1747"/>
      <c r="P508" s="1689"/>
      <c r="Q508" s="1690"/>
      <c r="R508" s="1754"/>
    </row>
    <row r="509" spans="1:18" s="1735" customFormat="1" ht="12.75">
      <c r="A509" s="1743">
        <v>4140</v>
      </c>
      <c r="B509" s="1751" t="s">
        <v>168</v>
      </c>
      <c r="C509" s="1689">
        <v>38000</v>
      </c>
      <c r="D509" s="893">
        <f t="shared" si="73"/>
        <v>57596</v>
      </c>
      <c r="E509" s="893">
        <f t="shared" si="75"/>
        <v>30220</v>
      </c>
      <c r="F509" s="1666">
        <f t="shared" si="74"/>
        <v>52.46892145287867</v>
      </c>
      <c r="G509" s="1689">
        <f>41700+5200+7230+758+2708</f>
        <v>57596</v>
      </c>
      <c r="H509" s="1690">
        <v>30220</v>
      </c>
      <c r="I509" s="1669">
        <f t="shared" si="69"/>
        <v>52.46892145287867</v>
      </c>
      <c r="J509" s="1745"/>
      <c r="K509" s="1690"/>
      <c r="L509" s="1746"/>
      <c r="M509" s="1690"/>
      <c r="N509" s="1690"/>
      <c r="O509" s="1747"/>
      <c r="P509" s="1689"/>
      <c r="Q509" s="1690"/>
      <c r="R509" s="1754"/>
    </row>
    <row r="510" spans="1:18" ht="24">
      <c r="A510" s="1743">
        <v>4210</v>
      </c>
      <c r="B510" s="1751" t="s">
        <v>114</v>
      </c>
      <c r="C510" s="1689">
        <v>289900</v>
      </c>
      <c r="D510" s="893">
        <f t="shared" si="73"/>
        <v>310330</v>
      </c>
      <c r="E510" s="1690">
        <f t="shared" si="75"/>
        <v>142575</v>
      </c>
      <c r="F510" s="1666">
        <f t="shared" si="74"/>
        <v>45.94302838913415</v>
      </c>
      <c r="G510" s="1689">
        <f>289900+6430+14000</f>
        <v>310330</v>
      </c>
      <c r="H510" s="1690">
        <v>142575</v>
      </c>
      <c r="I510" s="1669">
        <f t="shared" si="69"/>
        <v>45.94302838913415</v>
      </c>
      <c r="J510" s="1745"/>
      <c r="K510" s="1690"/>
      <c r="L510" s="1746"/>
      <c r="M510" s="1690"/>
      <c r="N510" s="1690"/>
      <c r="O510" s="1747"/>
      <c r="P510" s="1689"/>
      <c r="Q510" s="1690"/>
      <c r="R510" s="1754"/>
    </row>
    <row r="511" spans="1:18" ht="36">
      <c r="A511" s="1743">
        <v>4240</v>
      </c>
      <c r="B511" s="1751" t="s">
        <v>325</v>
      </c>
      <c r="C511" s="1689">
        <v>43700</v>
      </c>
      <c r="D511" s="893">
        <f t="shared" si="73"/>
        <v>43700</v>
      </c>
      <c r="E511" s="1690">
        <f t="shared" si="75"/>
        <v>20350</v>
      </c>
      <c r="F511" s="1666">
        <f t="shared" si="74"/>
        <v>46.567505720823796</v>
      </c>
      <c r="G511" s="1689">
        <v>43700</v>
      </c>
      <c r="H511" s="1690">
        <v>20350</v>
      </c>
      <c r="I511" s="1669">
        <f t="shared" si="69"/>
        <v>46.567505720823796</v>
      </c>
      <c r="J511" s="1745"/>
      <c r="K511" s="1690"/>
      <c r="L511" s="1746"/>
      <c r="M511" s="1690"/>
      <c r="N511" s="1690"/>
      <c r="O511" s="1747"/>
      <c r="P511" s="1689"/>
      <c r="Q511" s="1690"/>
      <c r="R511" s="1754"/>
    </row>
    <row r="512" spans="1:18" ht="12.75">
      <c r="A512" s="1743">
        <v>4260</v>
      </c>
      <c r="B512" s="1877" t="s">
        <v>118</v>
      </c>
      <c r="C512" s="1689">
        <v>950000</v>
      </c>
      <c r="D512" s="893">
        <f t="shared" si="73"/>
        <v>888800</v>
      </c>
      <c r="E512" s="1690">
        <f t="shared" si="75"/>
        <v>558760</v>
      </c>
      <c r="F512" s="1666">
        <f t="shared" si="74"/>
        <v>62.866786678667864</v>
      </c>
      <c r="G512" s="1689">
        <v>888800</v>
      </c>
      <c r="H512" s="1690">
        <v>558760</v>
      </c>
      <c r="I512" s="1669">
        <f t="shared" si="69"/>
        <v>62.866786678667864</v>
      </c>
      <c r="J512" s="1745"/>
      <c r="K512" s="1690"/>
      <c r="L512" s="1746"/>
      <c r="M512" s="1690"/>
      <c r="N512" s="1690"/>
      <c r="O512" s="1747"/>
      <c r="P512" s="1689"/>
      <c r="Q512" s="1690"/>
      <c r="R512" s="1754"/>
    </row>
    <row r="513" spans="1:18" ht="12.75">
      <c r="A513" s="1743">
        <v>4270</v>
      </c>
      <c r="B513" s="1751" t="s">
        <v>120</v>
      </c>
      <c r="C513" s="1689">
        <v>61900</v>
      </c>
      <c r="D513" s="893">
        <f t="shared" si="73"/>
        <v>68283</v>
      </c>
      <c r="E513" s="1690">
        <f t="shared" si="75"/>
        <v>27367</v>
      </c>
      <c r="F513" s="1666">
        <f t="shared" si="74"/>
        <v>40.078789742688514</v>
      </c>
      <c r="G513" s="1689">
        <f>61900+19300-12917</f>
        <v>68283</v>
      </c>
      <c r="H513" s="1690">
        <v>27367</v>
      </c>
      <c r="I513" s="1669">
        <f t="shared" si="69"/>
        <v>40.078789742688514</v>
      </c>
      <c r="J513" s="1745"/>
      <c r="K513" s="1690"/>
      <c r="L513" s="1746"/>
      <c r="M513" s="1690"/>
      <c r="N513" s="1690"/>
      <c r="O513" s="1747"/>
      <c r="P513" s="1689"/>
      <c r="Q513" s="1690"/>
      <c r="R513" s="1754"/>
    </row>
    <row r="514" spans="1:18" ht="12.75">
      <c r="A514" s="1743">
        <v>4280</v>
      </c>
      <c r="B514" s="1751" t="s">
        <v>170</v>
      </c>
      <c r="C514" s="1689">
        <v>12900</v>
      </c>
      <c r="D514" s="893">
        <f t="shared" si="73"/>
        <v>12900</v>
      </c>
      <c r="E514" s="1690">
        <f t="shared" si="75"/>
        <v>2801</v>
      </c>
      <c r="F514" s="1666">
        <f t="shared" si="74"/>
        <v>21.713178294573645</v>
      </c>
      <c r="G514" s="1689">
        <v>12900</v>
      </c>
      <c r="H514" s="1690">
        <v>2801</v>
      </c>
      <c r="I514" s="1669">
        <f t="shared" si="69"/>
        <v>21.713178294573645</v>
      </c>
      <c r="J514" s="1745"/>
      <c r="K514" s="1690"/>
      <c r="L514" s="1746"/>
      <c r="M514" s="1690"/>
      <c r="N514" s="1690"/>
      <c r="O514" s="1747"/>
      <c r="P514" s="1689"/>
      <c r="Q514" s="1690"/>
      <c r="R514" s="1754"/>
    </row>
    <row r="515" spans="1:18" ht="12.75">
      <c r="A515" s="1743">
        <v>4300</v>
      </c>
      <c r="B515" s="1751" t="s">
        <v>122</v>
      </c>
      <c r="C515" s="1689">
        <v>439300</v>
      </c>
      <c r="D515" s="893">
        <f t="shared" si="73"/>
        <v>474142</v>
      </c>
      <c r="E515" s="1690">
        <f t="shared" si="75"/>
        <v>214408</v>
      </c>
      <c r="F515" s="1666">
        <f t="shared" si="74"/>
        <v>45.220208292030655</v>
      </c>
      <c r="G515" s="1689">
        <f>421750-1798+45300+9360-470</f>
        <v>474142</v>
      </c>
      <c r="H515" s="1690">
        <v>214408</v>
      </c>
      <c r="I515" s="1669">
        <f t="shared" si="69"/>
        <v>45.220208292030655</v>
      </c>
      <c r="J515" s="1745"/>
      <c r="K515" s="1690"/>
      <c r="L515" s="1746"/>
      <c r="M515" s="1690"/>
      <c r="N515" s="1690"/>
      <c r="O515" s="1747"/>
      <c r="P515" s="1689"/>
      <c r="Q515" s="1690"/>
      <c r="R515" s="1754"/>
    </row>
    <row r="516" spans="1:18" ht="24">
      <c r="A516" s="1743">
        <v>4350</v>
      </c>
      <c r="B516" s="1751" t="s">
        <v>326</v>
      </c>
      <c r="C516" s="1689"/>
      <c r="D516" s="893">
        <f t="shared" si="73"/>
        <v>18960</v>
      </c>
      <c r="E516" s="1690">
        <f t="shared" si="75"/>
        <v>6073</v>
      </c>
      <c r="F516" s="1666">
        <f t="shared" si="74"/>
        <v>32.03059071729958</v>
      </c>
      <c r="G516" s="1689">
        <f>17550+1410</f>
        <v>18960</v>
      </c>
      <c r="H516" s="1690">
        <v>6073</v>
      </c>
      <c r="I516" s="1669">
        <f t="shared" si="69"/>
        <v>32.03059071729958</v>
      </c>
      <c r="J516" s="1745"/>
      <c r="K516" s="1690"/>
      <c r="L516" s="1746"/>
      <c r="M516" s="1690"/>
      <c r="N516" s="1690"/>
      <c r="O516" s="1747"/>
      <c r="P516" s="1689"/>
      <c r="Q516" s="1690"/>
      <c r="R516" s="1754"/>
    </row>
    <row r="517" spans="1:18" ht="12.75">
      <c r="A517" s="1743">
        <v>4410</v>
      </c>
      <c r="B517" s="1751" t="s">
        <v>96</v>
      </c>
      <c r="C517" s="1689">
        <v>23000</v>
      </c>
      <c r="D517" s="893">
        <f t="shared" si="73"/>
        <v>21192</v>
      </c>
      <c r="E517" s="1690">
        <f t="shared" si="75"/>
        <v>11682</v>
      </c>
      <c r="F517" s="1666">
        <f t="shared" si="74"/>
        <v>55.12457531143827</v>
      </c>
      <c r="G517" s="1689">
        <f>23100+800-2708</f>
        <v>21192</v>
      </c>
      <c r="H517" s="1690">
        <v>11682</v>
      </c>
      <c r="I517" s="1669">
        <f t="shared" si="69"/>
        <v>55.12457531143827</v>
      </c>
      <c r="J517" s="1745"/>
      <c r="K517" s="1690"/>
      <c r="L517" s="1746"/>
      <c r="M517" s="1690"/>
      <c r="N517" s="1690"/>
      <c r="O517" s="1747"/>
      <c r="P517" s="1689"/>
      <c r="Q517" s="1690"/>
      <c r="R517" s="1754"/>
    </row>
    <row r="518" spans="1:18" ht="24">
      <c r="A518" s="1743">
        <v>4420</v>
      </c>
      <c r="B518" s="1751" t="s">
        <v>212</v>
      </c>
      <c r="C518" s="1689">
        <v>2800</v>
      </c>
      <c r="D518" s="893">
        <f t="shared" si="73"/>
        <v>2800</v>
      </c>
      <c r="E518" s="1690">
        <f t="shared" si="75"/>
        <v>704</v>
      </c>
      <c r="F518" s="1666">
        <f t="shared" si="74"/>
        <v>25.142857142857146</v>
      </c>
      <c r="G518" s="1689">
        <v>2800</v>
      </c>
      <c r="H518" s="1690">
        <v>704</v>
      </c>
      <c r="I518" s="1669">
        <f t="shared" si="69"/>
        <v>25.142857142857146</v>
      </c>
      <c r="J518" s="1745"/>
      <c r="K518" s="1690"/>
      <c r="L518" s="1746"/>
      <c r="M518" s="1690"/>
      <c r="N518" s="1690"/>
      <c r="O518" s="1747"/>
      <c r="P518" s="1689"/>
      <c r="Q518" s="1690"/>
      <c r="R518" s="1754"/>
    </row>
    <row r="519" spans="1:18" ht="12.75" hidden="1">
      <c r="A519" s="1743">
        <v>4430</v>
      </c>
      <c r="B519" s="1751" t="s">
        <v>124</v>
      </c>
      <c r="C519" s="1689"/>
      <c r="D519" s="893">
        <f t="shared" si="73"/>
        <v>0</v>
      </c>
      <c r="E519" s="1690">
        <f t="shared" si="75"/>
        <v>0</v>
      </c>
      <c r="F519" s="1666" t="e">
        <f t="shared" si="74"/>
        <v>#DIV/0!</v>
      </c>
      <c r="G519" s="1689"/>
      <c r="H519" s="1690"/>
      <c r="I519" s="1669" t="e">
        <f t="shared" si="69"/>
        <v>#DIV/0!</v>
      </c>
      <c r="J519" s="1745"/>
      <c r="K519" s="1690"/>
      <c r="L519" s="1746"/>
      <c r="M519" s="1690"/>
      <c r="N519" s="1690"/>
      <c r="O519" s="1747"/>
      <c r="P519" s="1689"/>
      <c r="Q519" s="1690"/>
      <c r="R519" s="1754"/>
    </row>
    <row r="520" spans="1:18" s="1735" customFormat="1" ht="12.75">
      <c r="A520" s="1743">
        <v>4440</v>
      </c>
      <c r="B520" s="1751" t="s">
        <v>126</v>
      </c>
      <c r="C520" s="1689">
        <v>681600</v>
      </c>
      <c r="D520" s="893">
        <f t="shared" si="73"/>
        <v>681600</v>
      </c>
      <c r="E520" s="1690">
        <f t="shared" si="75"/>
        <v>586141</v>
      </c>
      <c r="F520" s="1666">
        <f t="shared" si="74"/>
        <v>85.99486502347418</v>
      </c>
      <c r="G520" s="1689">
        <v>681600</v>
      </c>
      <c r="H520" s="1690">
        <v>586141</v>
      </c>
      <c r="I520" s="1669">
        <f t="shared" si="69"/>
        <v>85.99486502347418</v>
      </c>
      <c r="J520" s="1745"/>
      <c r="K520" s="1690"/>
      <c r="L520" s="1746"/>
      <c r="M520" s="1690"/>
      <c r="N520" s="1690"/>
      <c r="O520" s="1747"/>
      <c r="P520" s="1689"/>
      <c r="Q520" s="1690"/>
      <c r="R520" s="1754"/>
    </row>
    <row r="521" spans="1:18" s="1735" customFormat="1" ht="36">
      <c r="A521" s="1743">
        <v>6060</v>
      </c>
      <c r="B521" s="1751" t="s">
        <v>293</v>
      </c>
      <c r="C521" s="1689"/>
      <c r="D521" s="893">
        <f t="shared" si="73"/>
        <v>9467</v>
      </c>
      <c r="E521" s="1690">
        <f>SUM(H521+K521+N521+Q521)</f>
        <v>9467</v>
      </c>
      <c r="F521" s="1666">
        <f>E521/D521*100</f>
        <v>100</v>
      </c>
      <c r="G521" s="1689">
        <v>9467</v>
      </c>
      <c r="H521" s="1690">
        <v>9467</v>
      </c>
      <c r="I521" s="1669">
        <f t="shared" si="69"/>
        <v>100</v>
      </c>
      <c r="J521" s="1745"/>
      <c r="K521" s="1690"/>
      <c r="L521" s="1746"/>
      <c r="M521" s="1690"/>
      <c r="N521" s="1690"/>
      <c r="O521" s="1747"/>
      <c r="P521" s="1689"/>
      <c r="Q521" s="1690"/>
      <c r="R521" s="1754"/>
    </row>
    <row r="522" spans="1:18" s="1870" customFormat="1" ht="12.75">
      <c r="A522" s="1736">
        <v>80111</v>
      </c>
      <c r="B522" s="1835" t="s">
        <v>336</v>
      </c>
      <c r="C522" s="1738">
        <f>SUM(C523:C537)</f>
        <v>1677300</v>
      </c>
      <c r="D522" s="908">
        <f t="shared" si="73"/>
        <v>1660393</v>
      </c>
      <c r="E522" s="1680">
        <f>H522+K522+Q522+N522</f>
        <v>754533</v>
      </c>
      <c r="F522" s="1681">
        <f t="shared" si="74"/>
        <v>45.443036678665834</v>
      </c>
      <c r="G522" s="1774"/>
      <c r="H522" s="1781"/>
      <c r="I522" s="1881"/>
      <c r="J522" s="1777"/>
      <c r="K522" s="1781"/>
      <c r="L522" s="1881"/>
      <c r="M522" s="1680">
        <f>SUM(M523:M537)</f>
        <v>1660393</v>
      </c>
      <c r="N522" s="1680">
        <f>SUM(N523:N537)</f>
        <v>754533</v>
      </c>
      <c r="O522" s="1688">
        <f aca="true" t="shared" si="76" ref="O522:O540">N522/M522*100</f>
        <v>45.443036678665834</v>
      </c>
      <c r="P522" s="1738"/>
      <c r="Q522" s="1680"/>
      <c r="R522" s="1782"/>
    </row>
    <row r="523" spans="1:18" s="1870" customFormat="1" ht="24">
      <c r="A523" s="1722">
        <v>3020</v>
      </c>
      <c r="B523" s="1751" t="s">
        <v>332</v>
      </c>
      <c r="C523" s="1693">
        <v>9100</v>
      </c>
      <c r="D523" s="932">
        <f t="shared" si="73"/>
        <v>7100</v>
      </c>
      <c r="E523" s="1707">
        <f aca="true" t="shared" si="77" ref="E523:E537">SUM(H523+K523+N523+Q523)</f>
        <v>2013</v>
      </c>
      <c r="F523" s="1691">
        <f t="shared" si="74"/>
        <v>28.35211267605634</v>
      </c>
      <c r="G523" s="1693"/>
      <c r="H523" s="1707"/>
      <c r="I523" s="1849"/>
      <c r="J523" s="1854"/>
      <c r="K523" s="1707"/>
      <c r="L523" s="1849"/>
      <c r="M523" s="1693">
        <f>9100-2000</f>
        <v>7100</v>
      </c>
      <c r="N523" s="1707">
        <v>2013</v>
      </c>
      <c r="O523" s="1674">
        <f t="shared" si="76"/>
        <v>28.35211267605634</v>
      </c>
      <c r="P523" s="1693"/>
      <c r="Q523" s="1707"/>
      <c r="R523" s="1856"/>
    </row>
    <row r="524" spans="1:18" s="1870" customFormat="1" ht="24">
      <c r="A524" s="1743">
        <v>4010</v>
      </c>
      <c r="B524" s="1751" t="s">
        <v>104</v>
      </c>
      <c r="C524" s="1689">
        <v>1101300</v>
      </c>
      <c r="D524" s="893">
        <f t="shared" si="73"/>
        <v>1100300</v>
      </c>
      <c r="E524" s="1690">
        <f t="shared" si="77"/>
        <v>436942</v>
      </c>
      <c r="F524" s="1666">
        <f t="shared" si="74"/>
        <v>39.71116968099609</v>
      </c>
      <c r="G524" s="1689"/>
      <c r="H524" s="1690"/>
      <c r="I524" s="1746"/>
      <c r="J524" s="1745"/>
      <c r="K524" s="1690"/>
      <c r="L524" s="1746"/>
      <c r="M524" s="1689">
        <v>1100300</v>
      </c>
      <c r="N524" s="1690">
        <v>436942</v>
      </c>
      <c r="O524" s="1695">
        <f t="shared" si="76"/>
        <v>39.71116968099609</v>
      </c>
      <c r="P524" s="1689"/>
      <c r="Q524" s="1690"/>
      <c r="R524" s="1754"/>
    </row>
    <row r="525" spans="1:18" s="1870" customFormat="1" ht="24">
      <c r="A525" s="1743">
        <v>4040</v>
      </c>
      <c r="B525" s="1751" t="s">
        <v>108</v>
      </c>
      <c r="C525" s="1689">
        <v>90000</v>
      </c>
      <c r="D525" s="893">
        <f t="shared" si="73"/>
        <v>74183</v>
      </c>
      <c r="E525" s="1690">
        <f t="shared" si="77"/>
        <v>74181</v>
      </c>
      <c r="F525" s="1666">
        <f t="shared" si="74"/>
        <v>99.99730396452017</v>
      </c>
      <c r="G525" s="1689"/>
      <c r="H525" s="1690"/>
      <c r="I525" s="1746"/>
      <c r="J525" s="1745"/>
      <c r="K525" s="1690"/>
      <c r="L525" s="1746"/>
      <c r="M525" s="1689">
        <f>82500-7997-320</f>
        <v>74183</v>
      </c>
      <c r="N525" s="1690">
        <v>74181</v>
      </c>
      <c r="O525" s="1669">
        <f t="shared" si="76"/>
        <v>99.99730396452017</v>
      </c>
      <c r="P525" s="1689"/>
      <c r="Q525" s="1690"/>
      <c r="R525" s="1754"/>
    </row>
    <row r="526" spans="1:18" s="1870" customFormat="1" ht="24">
      <c r="A526" s="1743">
        <v>4110</v>
      </c>
      <c r="B526" s="1751" t="s">
        <v>110</v>
      </c>
      <c r="C526" s="1689">
        <v>204000</v>
      </c>
      <c r="D526" s="893">
        <f t="shared" si="73"/>
        <v>202690</v>
      </c>
      <c r="E526" s="1690">
        <f t="shared" si="77"/>
        <v>84435</v>
      </c>
      <c r="F526" s="1666">
        <f t="shared" si="74"/>
        <v>41.65721051852583</v>
      </c>
      <c r="G526" s="1689"/>
      <c r="H526" s="1690"/>
      <c r="I526" s="1746"/>
      <c r="J526" s="1745"/>
      <c r="K526" s="1690"/>
      <c r="L526" s="1746"/>
      <c r="M526" s="1689">
        <v>202690</v>
      </c>
      <c r="N526" s="1690">
        <v>84435</v>
      </c>
      <c r="O526" s="1695">
        <f t="shared" si="76"/>
        <v>41.65721051852583</v>
      </c>
      <c r="P526" s="1689"/>
      <c r="Q526" s="1690"/>
      <c r="R526" s="1754"/>
    </row>
    <row r="527" spans="1:18" s="1870" customFormat="1" ht="15.75" customHeight="1">
      <c r="A527" s="1743">
        <v>4120</v>
      </c>
      <c r="B527" s="1751" t="s">
        <v>208</v>
      </c>
      <c r="C527" s="1689">
        <v>27500</v>
      </c>
      <c r="D527" s="893">
        <f t="shared" si="73"/>
        <v>27320</v>
      </c>
      <c r="E527" s="1690">
        <f t="shared" si="77"/>
        <v>11667</v>
      </c>
      <c r="F527" s="1666">
        <f t="shared" si="74"/>
        <v>42.704978038067345</v>
      </c>
      <c r="G527" s="1689"/>
      <c r="H527" s="1690"/>
      <c r="I527" s="1746"/>
      <c r="J527" s="1745"/>
      <c r="K527" s="1690"/>
      <c r="L527" s="1746"/>
      <c r="M527" s="1689">
        <v>27320</v>
      </c>
      <c r="N527" s="1690">
        <v>11667</v>
      </c>
      <c r="O527" s="1695">
        <f t="shared" si="76"/>
        <v>42.704978038067345</v>
      </c>
      <c r="P527" s="1689"/>
      <c r="Q527" s="1690"/>
      <c r="R527" s="1754"/>
    </row>
    <row r="528" spans="1:18" s="1870" customFormat="1" ht="15.75" customHeight="1">
      <c r="A528" s="1743">
        <v>4140</v>
      </c>
      <c r="B528" s="1751" t="s">
        <v>168</v>
      </c>
      <c r="C528" s="1689">
        <v>3000</v>
      </c>
      <c r="D528" s="893">
        <f t="shared" si="73"/>
        <v>3000</v>
      </c>
      <c r="E528" s="1690">
        <f t="shared" si="77"/>
        <v>707</v>
      </c>
      <c r="F528" s="1666">
        <f t="shared" si="74"/>
        <v>23.566666666666666</v>
      </c>
      <c r="G528" s="1689"/>
      <c r="H528" s="1690"/>
      <c r="I528" s="1746"/>
      <c r="J528" s="1745"/>
      <c r="K528" s="1690"/>
      <c r="L528" s="1746"/>
      <c r="M528" s="1689">
        <v>3000</v>
      </c>
      <c r="N528" s="1690">
        <v>707</v>
      </c>
      <c r="O528" s="1695">
        <f t="shared" si="76"/>
        <v>23.566666666666666</v>
      </c>
      <c r="P528" s="1745"/>
      <c r="Q528" s="1690"/>
      <c r="R528" s="1754"/>
    </row>
    <row r="529" spans="1:18" s="1870" customFormat="1" ht="24">
      <c r="A529" s="1743">
        <v>4210</v>
      </c>
      <c r="B529" s="1751" t="s">
        <v>114</v>
      </c>
      <c r="C529" s="1689">
        <v>30900</v>
      </c>
      <c r="D529" s="893">
        <f t="shared" si="73"/>
        <v>32900</v>
      </c>
      <c r="E529" s="1690">
        <f t="shared" si="77"/>
        <v>13291</v>
      </c>
      <c r="F529" s="1666">
        <f t="shared" si="74"/>
        <v>40.39817629179331</v>
      </c>
      <c r="G529" s="1689"/>
      <c r="H529" s="1690"/>
      <c r="I529" s="1746"/>
      <c r="J529" s="1745"/>
      <c r="K529" s="1690"/>
      <c r="L529" s="1746"/>
      <c r="M529" s="1689">
        <f>30900+2000</f>
        <v>32900</v>
      </c>
      <c r="N529" s="1690">
        <v>13291</v>
      </c>
      <c r="O529" s="1695">
        <f t="shared" si="76"/>
        <v>40.39817629179331</v>
      </c>
      <c r="P529" s="1690"/>
      <c r="Q529" s="1690"/>
      <c r="R529" s="1754"/>
    </row>
    <row r="530" spans="1:18" s="1870" customFormat="1" ht="36">
      <c r="A530" s="1743">
        <v>4240</v>
      </c>
      <c r="B530" s="1751" t="s">
        <v>335</v>
      </c>
      <c r="C530" s="1689">
        <v>5000</v>
      </c>
      <c r="D530" s="893">
        <f t="shared" si="73"/>
        <v>5000</v>
      </c>
      <c r="E530" s="1690">
        <f t="shared" si="77"/>
        <v>1804</v>
      </c>
      <c r="F530" s="1666">
        <f t="shared" si="74"/>
        <v>36.08</v>
      </c>
      <c r="G530" s="1689"/>
      <c r="H530" s="1690"/>
      <c r="I530" s="1746"/>
      <c r="J530" s="1745"/>
      <c r="K530" s="1690"/>
      <c r="L530" s="1746"/>
      <c r="M530" s="1689">
        <v>5000</v>
      </c>
      <c r="N530" s="1690">
        <v>1804</v>
      </c>
      <c r="O530" s="1695">
        <f t="shared" si="76"/>
        <v>36.08</v>
      </c>
      <c r="P530" s="1690"/>
      <c r="Q530" s="1690"/>
      <c r="R530" s="1754"/>
    </row>
    <row r="531" spans="1:18" s="1870" customFormat="1" ht="18.75" customHeight="1">
      <c r="A531" s="1743">
        <v>4260</v>
      </c>
      <c r="B531" s="1751" t="s">
        <v>118</v>
      </c>
      <c r="C531" s="1689">
        <v>95600</v>
      </c>
      <c r="D531" s="893">
        <f t="shared" si="73"/>
        <v>95600</v>
      </c>
      <c r="E531" s="1690">
        <f t="shared" si="77"/>
        <v>56386</v>
      </c>
      <c r="F531" s="1666">
        <f t="shared" si="74"/>
        <v>58.98117154811715</v>
      </c>
      <c r="G531" s="1689"/>
      <c r="H531" s="1690"/>
      <c r="I531" s="1746"/>
      <c r="J531" s="1745"/>
      <c r="K531" s="1690"/>
      <c r="L531" s="1746"/>
      <c r="M531" s="1689">
        <v>95600</v>
      </c>
      <c r="N531" s="1690">
        <v>56386</v>
      </c>
      <c r="O531" s="1695">
        <f t="shared" si="76"/>
        <v>58.98117154811715</v>
      </c>
      <c r="P531" s="1690"/>
      <c r="Q531" s="1690"/>
      <c r="R531" s="1754"/>
    </row>
    <row r="532" spans="1:18" s="1870" customFormat="1" ht="18.75" customHeight="1">
      <c r="A532" s="1743">
        <v>4270</v>
      </c>
      <c r="B532" s="1751" t="s">
        <v>120</v>
      </c>
      <c r="C532" s="1689">
        <v>5000</v>
      </c>
      <c r="D532" s="893">
        <f t="shared" si="73"/>
        <v>5000</v>
      </c>
      <c r="E532" s="1690">
        <f t="shared" si="77"/>
        <v>774</v>
      </c>
      <c r="F532" s="1666">
        <f t="shared" si="74"/>
        <v>15.479999999999999</v>
      </c>
      <c r="G532" s="1689"/>
      <c r="H532" s="1690"/>
      <c r="I532" s="1746"/>
      <c r="J532" s="1745"/>
      <c r="K532" s="1690"/>
      <c r="L532" s="1746"/>
      <c r="M532" s="1689">
        <v>5000</v>
      </c>
      <c r="N532" s="1690">
        <v>774</v>
      </c>
      <c r="O532" s="1669">
        <f t="shared" si="76"/>
        <v>15.479999999999999</v>
      </c>
      <c r="P532" s="1690"/>
      <c r="Q532" s="1690"/>
      <c r="R532" s="1754"/>
    </row>
    <row r="533" spans="1:18" s="1870" customFormat="1" ht="18.75" customHeight="1">
      <c r="A533" s="1743">
        <v>4280</v>
      </c>
      <c r="B533" s="1751" t="s">
        <v>170</v>
      </c>
      <c r="C533" s="1689">
        <v>2000</v>
      </c>
      <c r="D533" s="893">
        <f t="shared" si="73"/>
        <v>2400</v>
      </c>
      <c r="E533" s="1690">
        <f t="shared" si="77"/>
        <v>853</v>
      </c>
      <c r="F533" s="1666">
        <f t="shared" si="74"/>
        <v>35.541666666666664</v>
      </c>
      <c r="G533" s="1689"/>
      <c r="H533" s="1690"/>
      <c r="I533" s="1746"/>
      <c r="J533" s="1745"/>
      <c r="K533" s="1690"/>
      <c r="L533" s="1746"/>
      <c r="M533" s="1689">
        <v>2400</v>
      </c>
      <c r="N533" s="1690">
        <v>853</v>
      </c>
      <c r="O533" s="1669">
        <f t="shared" si="76"/>
        <v>35.541666666666664</v>
      </c>
      <c r="P533" s="1690"/>
      <c r="Q533" s="1690"/>
      <c r="R533" s="1754"/>
    </row>
    <row r="534" spans="1:18" s="1870" customFormat="1" ht="18.75" customHeight="1">
      <c r="A534" s="1743">
        <v>4300</v>
      </c>
      <c r="B534" s="1751" t="s">
        <v>122</v>
      </c>
      <c r="C534" s="1689">
        <v>45000</v>
      </c>
      <c r="D534" s="893">
        <f t="shared" si="73"/>
        <v>43830</v>
      </c>
      <c r="E534" s="1690">
        <f t="shared" si="77"/>
        <v>26840</v>
      </c>
      <c r="F534" s="1666">
        <f t="shared" si="74"/>
        <v>61.23659593885466</v>
      </c>
      <c r="G534" s="1689"/>
      <c r="H534" s="1690"/>
      <c r="I534" s="1746"/>
      <c r="J534" s="1745"/>
      <c r="K534" s="1690"/>
      <c r="L534" s="1746"/>
      <c r="M534" s="1689">
        <v>43830</v>
      </c>
      <c r="N534" s="1690">
        <v>26840</v>
      </c>
      <c r="O534" s="1695">
        <f t="shared" si="76"/>
        <v>61.23659593885466</v>
      </c>
      <c r="P534" s="1690"/>
      <c r="Q534" s="1690"/>
      <c r="R534" s="1754"/>
    </row>
    <row r="535" spans="1:18" s="1870" customFormat="1" ht="24">
      <c r="A535" s="1743">
        <v>4350</v>
      </c>
      <c r="B535" s="1751" t="s">
        <v>326</v>
      </c>
      <c r="C535" s="1689"/>
      <c r="D535" s="893">
        <f t="shared" si="73"/>
        <v>2170</v>
      </c>
      <c r="E535" s="1690">
        <f t="shared" si="77"/>
        <v>28</v>
      </c>
      <c r="F535" s="1666">
        <f t="shared" si="74"/>
        <v>1.2903225806451613</v>
      </c>
      <c r="G535" s="1689"/>
      <c r="H535" s="1690"/>
      <c r="I535" s="1746"/>
      <c r="J535" s="1745"/>
      <c r="K535" s="1690"/>
      <c r="L535" s="1746"/>
      <c r="M535" s="1689">
        <v>2170</v>
      </c>
      <c r="N535" s="1690">
        <v>28</v>
      </c>
      <c r="O535" s="1695">
        <f t="shared" si="76"/>
        <v>1.2903225806451613</v>
      </c>
      <c r="P535" s="1690"/>
      <c r="Q535" s="1690"/>
      <c r="R535" s="1754"/>
    </row>
    <row r="536" spans="1:18" s="1870" customFormat="1" ht="18.75" customHeight="1">
      <c r="A536" s="1743">
        <v>4410</v>
      </c>
      <c r="B536" s="1751" t="s">
        <v>96</v>
      </c>
      <c r="C536" s="1689">
        <v>1000</v>
      </c>
      <c r="D536" s="893">
        <f t="shared" si="73"/>
        <v>1000</v>
      </c>
      <c r="E536" s="1690">
        <f t="shared" si="77"/>
        <v>239</v>
      </c>
      <c r="F536" s="1666">
        <f t="shared" si="74"/>
        <v>23.9</v>
      </c>
      <c r="G536" s="1689"/>
      <c r="H536" s="1690"/>
      <c r="I536" s="1746"/>
      <c r="J536" s="1745"/>
      <c r="K536" s="1690"/>
      <c r="L536" s="1746"/>
      <c r="M536" s="1689">
        <v>1000</v>
      </c>
      <c r="N536" s="1690">
        <v>239</v>
      </c>
      <c r="O536" s="1695">
        <f t="shared" si="76"/>
        <v>23.9</v>
      </c>
      <c r="P536" s="1690"/>
      <c r="Q536" s="1690"/>
      <c r="R536" s="1754"/>
    </row>
    <row r="537" spans="1:18" s="1870" customFormat="1" ht="18.75" customHeight="1">
      <c r="A537" s="1798">
        <v>4440</v>
      </c>
      <c r="B537" s="1799" t="s">
        <v>126</v>
      </c>
      <c r="C537" s="1800">
        <v>57900</v>
      </c>
      <c r="D537" s="925">
        <f t="shared" si="73"/>
        <v>57900</v>
      </c>
      <c r="E537" s="1791">
        <f t="shared" si="77"/>
        <v>44373</v>
      </c>
      <c r="F537" s="1719">
        <f t="shared" si="74"/>
        <v>76.63730569948186</v>
      </c>
      <c r="G537" s="1800"/>
      <c r="H537" s="1791"/>
      <c r="I537" s="1857"/>
      <c r="J537" s="1801"/>
      <c r="K537" s="1791"/>
      <c r="L537" s="1857"/>
      <c r="M537" s="1800">
        <v>57900</v>
      </c>
      <c r="N537" s="1791">
        <v>44373</v>
      </c>
      <c r="O537" s="1974">
        <f t="shared" si="76"/>
        <v>76.63730569948186</v>
      </c>
      <c r="P537" s="1791"/>
      <c r="Q537" s="1791"/>
      <c r="R537" s="1845"/>
    </row>
    <row r="538" spans="1:18" s="1870" customFormat="1" ht="15.75" customHeight="1">
      <c r="A538" s="1736">
        <v>80120</v>
      </c>
      <c r="B538" s="1835" t="s">
        <v>839</v>
      </c>
      <c r="C538" s="1738">
        <f>SUM(C539:C559)</f>
        <v>11159100</v>
      </c>
      <c r="D538" s="908">
        <f t="shared" si="73"/>
        <v>11494644</v>
      </c>
      <c r="E538" s="1680">
        <f>H538+K538+Q538+N538</f>
        <v>5912538</v>
      </c>
      <c r="F538" s="1681">
        <f t="shared" si="74"/>
        <v>51.437330290524876</v>
      </c>
      <c r="G538" s="1774"/>
      <c r="H538" s="1781"/>
      <c r="I538" s="1881"/>
      <c r="J538" s="1777"/>
      <c r="K538" s="1781"/>
      <c r="L538" s="1881"/>
      <c r="M538" s="1738">
        <f>SUM(M539:M559)</f>
        <v>11494644</v>
      </c>
      <c r="N538" s="1680">
        <f>SUM(N539:N559)</f>
        <v>5912538</v>
      </c>
      <c r="O538" s="1688">
        <f t="shared" si="76"/>
        <v>51.437330290524876</v>
      </c>
      <c r="P538" s="1680"/>
      <c r="Q538" s="1680"/>
      <c r="R538" s="1782"/>
    </row>
    <row r="539" spans="1:18" s="1870" customFormat="1" ht="47.25" customHeight="1">
      <c r="A539" s="1743">
        <v>2540</v>
      </c>
      <c r="B539" s="1751" t="s">
        <v>840</v>
      </c>
      <c r="C539" s="1689">
        <v>932000</v>
      </c>
      <c r="D539" s="893">
        <f t="shared" si="73"/>
        <v>1264389</v>
      </c>
      <c r="E539" s="1690">
        <f aca="true" t="shared" si="78" ref="E539:E559">SUM(H539+K539+N539+Q539)</f>
        <v>660672</v>
      </c>
      <c r="F539" s="1666">
        <f t="shared" si="74"/>
        <v>52.25227362781549</v>
      </c>
      <c r="G539" s="1689"/>
      <c r="H539" s="1690"/>
      <c r="I539" s="1746"/>
      <c r="J539" s="1745"/>
      <c r="K539" s="1690"/>
      <c r="L539" s="1746"/>
      <c r="M539" s="1689">
        <f>932000+300000+32389</f>
        <v>1264389</v>
      </c>
      <c r="N539" s="1690">
        <v>660672</v>
      </c>
      <c r="O539" s="1695">
        <f t="shared" si="76"/>
        <v>52.25227362781549</v>
      </c>
      <c r="P539" s="1690"/>
      <c r="Q539" s="1690"/>
      <c r="R539" s="1754"/>
    </row>
    <row r="540" spans="1:18" s="1870" customFormat="1" ht="24">
      <c r="A540" s="1743">
        <v>3020</v>
      </c>
      <c r="B540" s="1751" t="s">
        <v>332</v>
      </c>
      <c r="C540" s="1689">
        <v>40700</v>
      </c>
      <c r="D540" s="893">
        <f t="shared" si="73"/>
        <v>40700</v>
      </c>
      <c r="E540" s="1690">
        <f t="shared" si="78"/>
        <v>7398</v>
      </c>
      <c r="F540" s="1666">
        <f t="shared" si="74"/>
        <v>18.176904176904177</v>
      </c>
      <c r="G540" s="1689"/>
      <c r="H540" s="1690"/>
      <c r="I540" s="1746"/>
      <c r="J540" s="1745"/>
      <c r="K540" s="1690"/>
      <c r="L540" s="1746"/>
      <c r="M540" s="1689">
        <v>40700</v>
      </c>
      <c r="N540" s="1690">
        <v>7398</v>
      </c>
      <c r="O540" s="1695">
        <f t="shared" si="76"/>
        <v>18.176904176904177</v>
      </c>
      <c r="P540" s="1690"/>
      <c r="Q540" s="1690"/>
      <c r="R540" s="1754"/>
    </row>
    <row r="541" spans="1:18" s="1870" customFormat="1" ht="24" hidden="1">
      <c r="A541" s="1743">
        <v>3030</v>
      </c>
      <c r="B541" s="1751" t="s">
        <v>102</v>
      </c>
      <c r="C541" s="1689"/>
      <c r="D541" s="893"/>
      <c r="E541" s="1690" t="s">
        <v>205</v>
      </c>
      <c r="F541" s="1666" t="s">
        <v>205</v>
      </c>
      <c r="G541" s="1689"/>
      <c r="H541" s="1690"/>
      <c r="I541" s="1746"/>
      <c r="J541" s="1745"/>
      <c r="K541" s="1690"/>
      <c r="L541" s="1746"/>
      <c r="M541" s="1689">
        <v>0</v>
      </c>
      <c r="N541" s="1690"/>
      <c r="O541" s="1695"/>
      <c r="P541" s="1690"/>
      <c r="Q541" s="1690"/>
      <c r="R541" s="1754"/>
    </row>
    <row r="542" spans="1:18" s="1870" customFormat="1" ht="24">
      <c r="A542" s="1743">
        <v>4010</v>
      </c>
      <c r="B542" s="1751" t="s">
        <v>104</v>
      </c>
      <c r="C542" s="1689">
        <v>6660000</v>
      </c>
      <c r="D542" s="893">
        <f aca="true" t="shared" si="79" ref="D542:D559">G542+J542+P542+M542</f>
        <v>6671851</v>
      </c>
      <c r="E542" s="1690">
        <f t="shared" si="78"/>
        <v>3131440</v>
      </c>
      <c r="F542" s="1666">
        <f t="shared" si="74"/>
        <v>46.935100918770516</v>
      </c>
      <c r="G542" s="1689"/>
      <c r="H542" s="1690"/>
      <c r="I542" s="1746"/>
      <c r="J542" s="1745"/>
      <c r="K542" s="1690"/>
      <c r="L542" s="1746"/>
      <c r="M542" s="1689">
        <f>6665000+6851</f>
        <v>6671851</v>
      </c>
      <c r="N542" s="1690">
        <v>3131440</v>
      </c>
      <c r="O542" s="1695">
        <f aca="true" t="shared" si="80" ref="O542:O593">N542/M542*100</f>
        <v>46.935100918770516</v>
      </c>
      <c r="P542" s="1690"/>
      <c r="Q542" s="1690"/>
      <c r="R542" s="1754"/>
    </row>
    <row r="543" spans="1:18" s="1870" customFormat="1" ht="24">
      <c r="A543" s="1743">
        <v>4040</v>
      </c>
      <c r="B543" s="1751" t="s">
        <v>108</v>
      </c>
      <c r="C543" s="1689">
        <v>515500</v>
      </c>
      <c r="D543" s="893">
        <f t="shared" si="79"/>
        <v>497594</v>
      </c>
      <c r="E543" s="1690">
        <f t="shared" si="78"/>
        <v>497589</v>
      </c>
      <c r="F543" s="1666">
        <f t="shared" si="74"/>
        <v>99.99899516473269</v>
      </c>
      <c r="G543" s="1689"/>
      <c r="H543" s="1690"/>
      <c r="I543" s="1746"/>
      <c r="J543" s="1745"/>
      <c r="K543" s="1690"/>
      <c r="L543" s="1746"/>
      <c r="M543" s="1689">
        <f>510130-12536</f>
        <v>497594</v>
      </c>
      <c r="N543" s="1690">
        <v>497589</v>
      </c>
      <c r="O543" s="1891">
        <f t="shared" si="80"/>
        <v>99.99899516473269</v>
      </c>
      <c r="P543" s="1690"/>
      <c r="Q543" s="1690"/>
      <c r="R543" s="1754"/>
    </row>
    <row r="544" spans="1:18" s="1870" customFormat="1" ht="24">
      <c r="A544" s="1743">
        <v>4110</v>
      </c>
      <c r="B544" s="1751" t="s">
        <v>110</v>
      </c>
      <c r="C544" s="1689">
        <v>1270000</v>
      </c>
      <c r="D544" s="893">
        <f t="shared" si="79"/>
        <v>1270000</v>
      </c>
      <c r="E544" s="1690">
        <f t="shared" si="78"/>
        <v>608267</v>
      </c>
      <c r="F544" s="1666">
        <f t="shared" si="74"/>
        <v>47.89503937007874</v>
      </c>
      <c r="G544" s="1689"/>
      <c r="H544" s="1690"/>
      <c r="I544" s="1746"/>
      <c r="J544" s="1745"/>
      <c r="K544" s="1690"/>
      <c r="L544" s="1746"/>
      <c r="M544" s="1689">
        <v>1270000</v>
      </c>
      <c r="N544" s="1690">
        <v>608267</v>
      </c>
      <c r="O544" s="1695">
        <f t="shared" si="80"/>
        <v>47.89503937007874</v>
      </c>
      <c r="P544" s="1690"/>
      <c r="Q544" s="1690"/>
      <c r="R544" s="1754"/>
    </row>
    <row r="545" spans="1:18" s="1870" customFormat="1" ht="12.75">
      <c r="A545" s="1743">
        <v>4120</v>
      </c>
      <c r="B545" s="1751" t="s">
        <v>208</v>
      </c>
      <c r="C545" s="1689">
        <v>169000</v>
      </c>
      <c r="D545" s="893">
        <f t="shared" si="79"/>
        <v>169000</v>
      </c>
      <c r="E545" s="1690">
        <f t="shared" si="78"/>
        <v>84658</v>
      </c>
      <c r="F545" s="1666">
        <f t="shared" si="74"/>
        <v>50.09349112426036</v>
      </c>
      <c r="G545" s="1689"/>
      <c r="H545" s="1690"/>
      <c r="I545" s="1746"/>
      <c r="J545" s="1745"/>
      <c r="K545" s="1690"/>
      <c r="L545" s="1746"/>
      <c r="M545" s="1689">
        <v>169000</v>
      </c>
      <c r="N545" s="1690">
        <v>84658</v>
      </c>
      <c r="O545" s="1695">
        <f t="shared" si="80"/>
        <v>50.09349112426036</v>
      </c>
      <c r="P545" s="1690"/>
      <c r="Q545" s="1690"/>
      <c r="R545" s="1754"/>
    </row>
    <row r="546" spans="1:18" s="1870" customFormat="1" ht="24">
      <c r="A546" s="1743">
        <v>4170</v>
      </c>
      <c r="B546" s="1751" t="s">
        <v>169</v>
      </c>
      <c r="C546" s="1689"/>
      <c r="D546" s="893">
        <f t="shared" si="79"/>
        <v>2000</v>
      </c>
      <c r="E546" s="1690">
        <f t="shared" si="78"/>
        <v>1500</v>
      </c>
      <c r="F546" s="1666">
        <f t="shared" si="74"/>
        <v>75</v>
      </c>
      <c r="G546" s="1689"/>
      <c r="H546" s="1690"/>
      <c r="I546" s="1746"/>
      <c r="J546" s="1745"/>
      <c r="K546" s="1690"/>
      <c r="L546" s="1746"/>
      <c r="M546" s="1689">
        <v>2000</v>
      </c>
      <c r="N546" s="1690">
        <v>1500</v>
      </c>
      <c r="O546" s="1695">
        <f t="shared" si="80"/>
        <v>75</v>
      </c>
      <c r="P546" s="1690"/>
      <c r="Q546" s="1690"/>
      <c r="R546" s="1754"/>
    </row>
    <row r="547" spans="1:18" s="1870" customFormat="1" ht="24">
      <c r="A547" s="1743">
        <v>4210</v>
      </c>
      <c r="B547" s="1751" t="s">
        <v>114</v>
      </c>
      <c r="C547" s="1689">
        <v>117000</v>
      </c>
      <c r="D547" s="893">
        <f t="shared" si="79"/>
        <v>136000</v>
      </c>
      <c r="E547" s="1690">
        <f t="shared" si="78"/>
        <v>85202</v>
      </c>
      <c r="F547" s="1666">
        <f t="shared" si="74"/>
        <v>62.648529411764706</v>
      </c>
      <c r="G547" s="1689"/>
      <c r="H547" s="1690"/>
      <c r="I547" s="1746"/>
      <c r="J547" s="1745"/>
      <c r="K547" s="1690"/>
      <c r="L547" s="1746"/>
      <c r="M547" s="1689">
        <f>117000+1000+18000</f>
        <v>136000</v>
      </c>
      <c r="N547" s="1690">
        <v>85202</v>
      </c>
      <c r="O547" s="1695">
        <f t="shared" si="80"/>
        <v>62.648529411764706</v>
      </c>
      <c r="P547" s="1690"/>
      <c r="Q547" s="1690"/>
      <c r="R547" s="1754"/>
    </row>
    <row r="548" spans="1:18" s="1870" customFormat="1" ht="36">
      <c r="A548" s="1743">
        <v>4240</v>
      </c>
      <c r="B548" s="1751" t="s">
        <v>185</v>
      </c>
      <c r="C548" s="1689">
        <v>70000</v>
      </c>
      <c r="D548" s="893">
        <f t="shared" si="79"/>
        <v>85000</v>
      </c>
      <c r="E548" s="893">
        <f>H548+K548+Q548+N548</f>
        <v>30715</v>
      </c>
      <c r="F548" s="1666">
        <f t="shared" si="74"/>
        <v>36.13529411764706</v>
      </c>
      <c r="G548" s="1689"/>
      <c r="H548" s="1690"/>
      <c r="I548" s="1746"/>
      <c r="J548" s="1745"/>
      <c r="K548" s="1690"/>
      <c r="L548" s="1746"/>
      <c r="M548" s="1689">
        <v>85000</v>
      </c>
      <c r="N548" s="1690">
        <v>30715</v>
      </c>
      <c r="O548" s="1695">
        <f t="shared" si="80"/>
        <v>36.13529411764706</v>
      </c>
      <c r="P548" s="1690"/>
      <c r="Q548" s="1690"/>
      <c r="R548" s="1754"/>
    </row>
    <row r="549" spans="1:18" s="1870" customFormat="1" ht="18" customHeight="1">
      <c r="A549" s="1743">
        <v>4260</v>
      </c>
      <c r="B549" s="1751" t="s">
        <v>118</v>
      </c>
      <c r="C549" s="1689">
        <v>745000</v>
      </c>
      <c r="D549" s="893">
        <f t="shared" si="79"/>
        <v>655000</v>
      </c>
      <c r="E549" s="1690">
        <f t="shared" si="78"/>
        <v>358229</v>
      </c>
      <c r="F549" s="1666">
        <f t="shared" si="74"/>
        <v>54.69145038167939</v>
      </c>
      <c r="G549" s="1689"/>
      <c r="H549" s="1690"/>
      <c r="I549" s="1746"/>
      <c r="J549" s="1745"/>
      <c r="K549" s="1690"/>
      <c r="L549" s="1746"/>
      <c r="M549" s="1689">
        <v>655000</v>
      </c>
      <c r="N549" s="1690">
        <v>358229</v>
      </c>
      <c r="O549" s="1695">
        <f t="shared" si="80"/>
        <v>54.69145038167939</v>
      </c>
      <c r="P549" s="1690"/>
      <c r="Q549" s="1690"/>
      <c r="R549" s="1754"/>
    </row>
    <row r="550" spans="1:18" s="1870" customFormat="1" ht="18" customHeight="1">
      <c r="A550" s="1743">
        <v>4270</v>
      </c>
      <c r="B550" s="1751" t="s">
        <v>120</v>
      </c>
      <c r="C550" s="1689">
        <v>36200</v>
      </c>
      <c r="D550" s="893">
        <f t="shared" si="79"/>
        <v>71200</v>
      </c>
      <c r="E550" s="1690">
        <f t="shared" si="78"/>
        <v>15688</v>
      </c>
      <c r="F550" s="1666">
        <f t="shared" si="74"/>
        <v>22.033707865168537</v>
      </c>
      <c r="G550" s="1689"/>
      <c r="H550" s="1690"/>
      <c r="I550" s="1746"/>
      <c r="J550" s="1745"/>
      <c r="K550" s="1690"/>
      <c r="L550" s="1746"/>
      <c r="M550" s="1689">
        <f>36200+35000</f>
        <v>71200</v>
      </c>
      <c r="N550" s="1690">
        <v>15688</v>
      </c>
      <c r="O550" s="1695">
        <f t="shared" si="80"/>
        <v>22.033707865168537</v>
      </c>
      <c r="P550" s="1690"/>
      <c r="Q550" s="1690"/>
      <c r="R550" s="1754"/>
    </row>
    <row r="551" spans="1:18" s="1870" customFormat="1" ht="18" customHeight="1" hidden="1">
      <c r="A551" s="1743">
        <v>4270</v>
      </c>
      <c r="B551" s="1751" t="s">
        <v>337</v>
      </c>
      <c r="C551" s="1689"/>
      <c r="D551" s="893">
        <f t="shared" si="79"/>
        <v>0</v>
      </c>
      <c r="E551" s="1690">
        <f t="shared" si="78"/>
        <v>0</v>
      </c>
      <c r="F551" s="1666" t="e">
        <f t="shared" si="74"/>
        <v>#DIV/0!</v>
      </c>
      <c r="G551" s="1689"/>
      <c r="H551" s="1690"/>
      <c r="I551" s="1746"/>
      <c r="J551" s="1745"/>
      <c r="K551" s="1690"/>
      <c r="L551" s="1746"/>
      <c r="M551" s="1689"/>
      <c r="N551" s="1690"/>
      <c r="O551" s="1695" t="e">
        <f t="shared" si="80"/>
        <v>#DIV/0!</v>
      </c>
      <c r="P551" s="1690"/>
      <c r="Q551" s="1690"/>
      <c r="R551" s="1754"/>
    </row>
    <row r="552" spans="1:18" s="1870" customFormat="1" ht="18" customHeight="1">
      <c r="A552" s="1743">
        <v>4280</v>
      </c>
      <c r="B552" s="1751" t="s">
        <v>170</v>
      </c>
      <c r="C552" s="1689">
        <v>12100</v>
      </c>
      <c r="D552" s="893">
        <f t="shared" si="79"/>
        <v>12100</v>
      </c>
      <c r="E552" s="1690">
        <f t="shared" si="78"/>
        <v>1200</v>
      </c>
      <c r="F552" s="1666">
        <f t="shared" si="74"/>
        <v>9.917355371900827</v>
      </c>
      <c r="G552" s="1689"/>
      <c r="H552" s="1690"/>
      <c r="I552" s="1746"/>
      <c r="J552" s="1745"/>
      <c r="K552" s="1690"/>
      <c r="L552" s="1746"/>
      <c r="M552" s="1689">
        <v>12100</v>
      </c>
      <c r="N552" s="1690">
        <v>1200</v>
      </c>
      <c r="O552" s="1695">
        <f t="shared" si="80"/>
        <v>9.917355371900827</v>
      </c>
      <c r="P552" s="1690"/>
      <c r="Q552" s="1690"/>
      <c r="R552" s="1754"/>
    </row>
    <row r="553" spans="1:18" s="1870" customFormat="1" ht="18" customHeight="1">
      <c r="A553" s="1743">
        <v>4300</v>
      </c>
      <c r="B553" s="1751" t="s">
        <v>122</v>
      </c>
      <c r="C553" s="1689">
        <v>185000</v>
      </c>
      <c r="D553" s="893">
        <f t="shared" si="79"/>
        <v>197900</v>
      </c>
      <c r="E553" s="1690">
        <f t="shared" si="78"/>
        <v>115414</v>
      </c>
      <c r="F553" s="1666">
        <f t="shared" si="74"/>
        <v>58.31935320869126</v>
      </c>
      <c r="G553" s="1689"/>
      <c r="H553" s="1690"/>
      <c r="I553" s="1746"/>
      <c r="J553" s="1745"/>
      <c r="K553" s="1690"/>
      <c r="L553" s="1746"/>
      <c r="M553" s="1689">
        <f>180400+2500+15000</f>
        <v>197900</v>
      </c>
      <c r="N553" s="1690">
        <v>115414</v>
      </c>
      <c r="O553" s="1695">
        <f t="shared" si="80"/>
        <v>58.31935320869126</v>
      </c>
      <c r="P553" s="1690"/>
      <c r="Q553" s="1690"/>
      <c r="R553" s="1754"/>
    </row>
    <row r="554" spans="1:18" s="1870" customFormat="1" ht="24">
      <c r="A554" s="1743">
        <v>4350</v>
      </c>
      <c r="B554" s="1751" t="s">
        <v>326</v>
      </c>
      <c r="C554" s="1689"/>
      <c r="D554" s="893">
        <f t="shared" si="79"/>
        <v>8700</v>
      </c>
      <c r="E554" s="1690">
        <f t="shared" si="78"/>
        <v>2844</v>
      </c>
      <c r="F554" s="1666">
        <f t="shared" si="74"/>
        <v>32.689655172413794</v>
      </c>
      <c r="G554" s="1689"/>
      <c r="H554" s="1690"/>
      <c r="I554" s="1746"/>
      <c r="J554" s="1745"/>
      <c r="K554" s="1690"/>
      <c r="L554" s="1746"/>
      <c r="M554" s="1689">
        <v>8700</v>
      </c>
      <c r="N554" s="1690">
        <v>2844</v>
      </c>
      <c r="O554" s="1695">
        <f t="shared" si="80"/>
        <v>32.689655172413794</v>
      </c>
      <c r="P554" s="1690"/>
      <c r="Q554" s="1690"/>
      <c r="R554" s="1754"/>
    </row>
    <row r="555" spans="1:18" s="1870" customFormat="1" ht="15.75" customHeight="1">
      <c r="A555" s="1743">
        <v>4410</v>
      </c>
      <c r="B555" s="1751" t="s">
        <v>96</v>
      </c>
      <c r="C555" s="1689">
        <v>23800</v>
      </c>
      <c r="D555" s="893">
        <f t="shared" si="79"/>
        <v>23800</v>
      </c>
      <c r="E555" s="1690">
        <f t="shared" si="78"/>
        <v>15462</v>
      </c>
      <c r="F555" s="1666">
        <f t="shared" si="74"/>
        <v>64.96638655462185</v>
      </c>
      <c r="G555" s="1689"/>
      <c r="H555" s="1690"/>
      <c r="I555" s="1746"/>
      <c r="J555" s="1745"/>
      <c r="K555" s="1690"/>
      <c r="L555" s="1746"/>
      <c r="M555" s="1689">
        <v>23800</v>
      </c>
      <c r="N555" s="1690">
        <v>15462</v>
      </c>
      <c r="O555" s="1695">
        <f t="shared" si="80"/>
        <v>64.96638655462185</v>
      </c>
      <c r="P555" s="1690"/>
      <c r="Q555" s="1690"/>
      <c r="R555" s="1754"/>
    </row>
    <row r="556" spans="1:18" s="1870" customFormat="1" ht="27" customHeight="1">
      <c r="A556" s="1743">
        <v>4420</v>
      </c>
      <c r="B556" s="1751" t="s">
        <v>212</v>
      </c>
      <c r="C556" s="1689">
        <v>2000</v>
      </c>
      <c r="D556" s="893">
        <f t="shared" si="79"/>
        <v>2000</v>
      </c>
      <c r="E556" s="1690">
        <f t="shared" si="78"/>
        <v>0</v>
      </c>
      <c r="F556" s="1666">
        <f t="shared" si="74"/>
        <v>0</v>
      </c>
      <c r="G556" s="1689"/>
      <c r="H556" s="1690"/>
      <c r="I556" s="1746"/>
      <c r="J556" s="1745"/>
      <c r="K556" s="1690"/>
      <c r="L556" s="1746"/>
      <c r="M556" s="1689">
        <v>2000</v>
      </c>
      <c r="N556" s="1690"/>
      <c r="O556" s="1695">
        <f t="shared" si="80"/>
        <v>0</v>
      </c>
      <c r="P556" s="1690"/>
      <c r="Q556" s="1690"/>
      <c r="R556" s="1754"/>
    </row>
    <row r="557" spans="1:18" s="1870" customFormat="1" ht="18" customHeight="1" hidden="1">
      <c r="A557" s="1743">
        <v>4430</v>
      </c>
      <c r="B557" s="1751" t="s">
        <v>124</v>
      </c>
      <c r="C557" s="1689"/>
      <c r="D557" s="893">
        <f t="shared" si="79"/>
        <v>0</v>
      </c>
      <c r="E557" s="1690">
        <f t="shared" si="78"/>
        <v>0</v>
      </c>
      <c r="F557" s="1666" t="e">
        <f t="shared" si="74"/>
        <v>#DIV/0!</v>
      </c>
      <c r="G557" s="1689"/>
      <c r="H557" s="1690"/>
      <c r="I557" s="1746"/>
      <c r="J557" s="1745"/>
      <c r="K557" s="1690"/>
      <c r="L557" s="1746"/>
      <c r="M557" s="1689"/>
      <c r="N557" s="1690"/>
      <c r="O557" s="1695" t="e">
        <f t="shared" si="80"/>
        <v>#DIV/0!</v>
      </c>
      <c r="P557" s="1690"/>
      <c r="Q557" s="1690"/>
      <c r="R557" s="1754"/>
    </row>
    <row r="558" spans="1:18" s="1870" customFormat="1" ht="18" customHeight="1">
      <c r="A558" s="1743">
        <v>4440</v>
      </c>
      <c r="B558" s="1751" t="s">
        <v>126</v>
      </c>
      <c r="C558" s="1689">
        <v>380800</v>
      </c>
      <c r="D558" s="893">
        <f t="shared" si="79"/>
        <v>387410</v>
      </c>
      <c r="E558" s="1690">
        <f t="shared" si="78"/>
        <v>296260</v>
      </c>
      <c r="F558" s="1666">
        <f t="shared" si="74"/>
        <v>76.47195477659328</v>
      </c>
      <c r="G558" s="1689"/>
      <c r="H558" s="1690"/>
      <c r="I558" s="1746"/>
      <c r="J558" s="1745"/>
      <c r="K558" s="1690"/>
      <c r="L558" s="1746"/>
      <c r="M558" s="1689">
        <f>380800+6610</f>
        <v>387410</v>
      </c>
      <c r="N558" s="1690">
        <v>296260</v>
      </c>
      <c r="O558" s="1695">
        <f t="shared" si="80"/>
        <v>76.47195477659328</v>
      </c>
      <c r="P558" s="1690"/>
      <c r="Q558" s="1690"/>
      <c r="R558" s="1754"/>
    </row>
    <row r="559" spans="1:18" s="1870" customFormat="1" ht="27" customHeight="1" hidden="1">
      <c r="A559" s="1798">
        <v>6050</v>
      </c>
      <c r="B559" s="1799" t="s">
        <v>194</v>
      </c>
      <c r="C559" s="1800"/>
      <c r="D559" s="925">
        <f t="shared" si="79"/>
        <v>0</v>
      </c>
      <c r="E559" s="1791">
        <f t="shared" si="78"/>
        <v>0</v>
      </c>
      <c r="F559" s="1719" t="e">
        <f t="shared" si="74"/>
        <v>#DIV/0!</v>
      </c>
      <c r="G559" s="1800"/>
      <c r="H559" s="1791"/>
      <c r="I559" s="1857"/>
      <c r="J559" s="1801"/>
      <c r="K559" s="1791"/>
      <c r="L559" s="1857"/>
      <c r="M559" s="1800"/>
      <c r="N559" s="1791"/>
      <c r="O559" s="1720" t="e">
        <f t="shared" si="80"/>
        <v>#DIV/0!</v>
      </c>
      <c r="P559" s="1791"/>
      <c r="Q559" s="1791"/>
      <c r="R559" s="1845"/>
    </row>
    <row r="560" spans="1:18" s="1980" customFormat="1" ht="16.5" customHeight="1">
      <c r="A560" s="1783">
        <v>80123</v>
      </c>
      <c r="B560" s="1882" t="s">
        <v>338</v>
      </c>
      <c r="C560" s="886">
        <f>SUM(C561:C576)</f>
        <v>1508200</v>
      </c>
      <c r="D560" s="908">
        <f>G560+J560+P560+M560</f>
        <v>1511688</v>
      </c>
      <c r="E560" s="1680">
        <f>H560+K560+Q560+N560</f>
        <v>747870</v>
      </c>
      <c r="F560" s="1681">
        <f t="shared" si="74"/>
        <v>49.47251020051757</v>
      </c>
      <c r="G560" s="886"/>
      <c r="H560" s="908"/>
      <c r="I560" s="1741"/>
      <c r="J560" s="1816"/>
      <c r="K560" s="908"/>
      <c r="L560" s="1741"/>
      <c r="M560" s="886">
        <f>SUM(M561:M576)</f>
        <v>1511688</v>
      </c>
      <c r="N560" s="908">
        <f>SUM(N561:N576)</f>
        <v>747870</v>
      </c>
      <c r="O560" s="1688">
        <f t="shared" si="80"/>
        <v>49.47251020051757</v>
      </c>
      <c r="P560" s="908"/>
      <c r="Q560" s="908"/>
      <c r="R560" s="889"/>
    </row>
    <row r="561" spans="1:18" s="1870" customFormat="1" ht="24">
      <c r="A561" s="1722">
        <v>3020</v>
      </c>
      <c r="B561" s="1751" t="s">
        <v>332</v>
      </c>
      <c r="C561" s="1693">
        <v>6500</v>
      </c>
      <c r="D561" s="932">
        <f aca="true" t="shared" si="81" ref="D561:D596">G561+J561+P561+M561</f>
        <v>6500</v>
      </c>
      <c r="E561" s="1707">
        <f aca="true" t="shared" si="82" ref="E561:E576">SUM(H561+K561+N561+Q561)</f>
        <v>569</v>
      </c>
      <c r="F561" s="1691">
        <f t="shared" si="74"/>
        <v>8.753846153846153</v>
      </c>
      <c r="G561" s="1693"/>
      <c r="H561" s="1707"/>
      <c r="I561" s="1849"/>
      <c r="J561" s="1854"/>
      <c r="K561" s="1707"/>
      <c r="L561" s="1849"/>
      <c r="M561" s="1693">
        <v>6500</v>
      </c>
      <c r="N561" s="1707">
        <v>569</v>
      </c>
      <c r="O561" s="1981">
        <f>N561/M561*100</f>
        <v>8.753846153846153</v>
      </c>
      <c r="P561" s="1693"/>
      <c r="Q561" s="1707"/>
      <c r="R561" s="1856"/>
    </row>
    <row r="562" spans="1:18" s="1870" customFormat="1" ht="27" customHeight="1">
      <c r="A562" s="1743">
        <v>4010</v>
      </c>
      <c r="B562" s="1751" t="s">
        <v>104</v>
      </c>
      <c r="C562" s="1689">
        <v>1019000</v>
      </c>
      <c r="D562" s="893">
        <f t="shared" si="81"/>
        <v>1020307</v>
      </c>
      <c r="E562" s="1690">
        <f t="shared" si="82"/>
        <v>453621</v>
      </c>
      <c r="F562" s="1666">
        <f t="shared" si="74"/>
        <v>44.45926569160066</v>
      </c>
      <c r="G562" s="1689"/>
      <c r="H562" s="1690"/>
      <c r="I562" s="1746"/>
      <c r="J562" s="1745"/>
      <c r="K562" s="1690"/>
      <c r="L562" s="1746"/>
      <c r="M562" s="1689">
        <f>1018500+1807</f>
        <v>1020307</v>
      </c>
      <c r="N562" s="1690">
        <v>453621</v>
      </c>
      <c r="O562" s="1889">
        <f aca="true" t="shared" si="83" ref="O562:O576">N562/M562*100</f>
        <v>44.45926569160066</v>
      </c>
      <c r="P562" s="1690"/>
      <c r="Q562" s="1690"/>
      <c r="R562" s="1754"/>
    </row>
    <row r="563" spans="1:18" s="1870" customFormat="1" ht="24">
      <c r="A563" s="1743">
        <v>4040</v>
      </c>
      <c r="B563" s="1751" t="s">
        <v>108</v>
      </c>
      <c r="C563" s="1689">
        <v>74900</v>
      </c>
      <c r="D563" s="893">
        <f t="shared" si="81"/>
        <v>72381</v>
      </c>
      <c r="E563" s="1690">
        <f t="shared" si="82"/>
        <v>72380</v>
      </c>
      <c r="F563" s="1666">
        <f t="shared" si="74"/>
        <v>99.99861842196157</v>
      </c>
      <c r="G563" s="1689"/>
      <c r="H563" s="1690"/>
      <c r="I563" s="1746"/>
      <c r="J563" s="1745"/>
      <c r="K563" s="1690"/>
      <c r="L563" s="1746"/>
      <c r="M563" s="1689">
        <f>74900-712-1807</f>
        <v>72381</v>
      </c>
      <c r="N563" s="1690">
        <v>72380</v>
      </c>
      <c r="O563" s="1666">
        <f t="shared" si="83"/>
        <v>99.99861842196157</v>
      </c>
      <c r="P563" s="1690"/>
      <c r="Q563" s="1690"/>
      <c r="R563" s="1754"/>
    </row>
    <row r="564" spans="1:18" s="1870" customFormat="1" ht="27" customHeight="1">
      <c r="A564" s="1743">
        <v>4110</v>
      </c>
      <c r="B564" s="1751" t="s">
        <v>110</v>
      </c>
      <c r="C564" s="1689">
        <v>189000</v>
      </c>
      <c r="D564" s="893">
        <f t="shared" si="81"/>
        <v>189000</v>
      </c>
      <c r="E564" s="1690">
        <f t="shared" si="82"/>
        <v>93009</v>
      </c>
      <c r="F564" s="1666">
        <f t="shared" si="74"/>
        <v>49.21111111111111</v>
      </c>
      <c r="G564" s="1689"/>
      <c r="H564" s="1690"/>
      <c r="I564" s="1746"/>
      <c r="J564" s="1745"/>
      <c r="K564" s="1690"/>
      <c r="L564" s="1746"/>
      <c r="M564" s="1689">
        <v>189000</v>
      </c>
      <c r="N564" s="1690">
        <v>93009</v>
      </c>
      <c r="O564" s="1889">
        <f t="shared" si="83"/>
        <v>49.21111111111111</v>
      </c>
      <c r="P564" s="1690"/>
      <c r="Q564" s="1690"/>
      <c r="R564" s="1754"/>
    </row>
    <row r="565" spans="1:18" s="1870" customFormat="1" ht="15.75" customHeight="1">
      <c r="A565" s="1743">
        <v>4120</v>
      </c>
      <c r="B565" s="1751" t="s">
        <v>208</v>
      </c>
      <c r="C565" s="1689">
        <v>25000</v>
      </c>
      <c r="D565" s="893">
        <f t="shared" si="81"/>
        <v>25000</v>
      </c>
      <c r="E565" s="1690">
        <f t="shared" si="82"/>
        <v>11023</v>
      </c>
      <c r="F565" s="1666">
        <f t="shared" si="74"/>
        <v>44.092</v>
      </c>
      <c r="G565" s="1689"/>
      <c r="H565" s="1690"/>
      <c r="I565" s="1746"/>
      <c r="J565" s="1745"/>
      <c r="K565" s="1690"/>
      <c r="L565" s="1746"/>
      <c r="M565" s="1689">
        <v>25000</v>
      </c>
      <c r="N565" s="1690">
        <v>11023</v>
      </c>
      <c r="O565" s="1889">
        <f t="shared" si="83"/>
        <v>44.092</v>
      </c>
      <c r="P565" s="1690"/>
      <c r="Q565" s="1690"/>
      <c r="R565" s="1754"/>
    </row>
    <row r="566" spans="1:18" s="1870" customFormat="1" ht="12.75">
      <c r="A566" s="1743">
        <v>4140</v>
      </c>
      <c r="B566" s="1751" t="s">
        <v>168</v>
      </c>
      <c r="C566" s="1689">
        <v>4400</v>
      </c>
      <c r="D566" s="893">
        <f t="shared" si="81"/>
        <v>4400</v>
      </c>
      <c r="E566" s="1690">
        <f t="shared" si="82"/>
        <v>1518</v>
      </c>
      <c r="F566" s="1666">
        <f t="shared" si="74"/>
        <v>34.5</v>
      </c>
      <c r="G566" s="1689"/>
      <c r="H566" s="1690"/>
      <c r="I566" s="1746"/>
      <c r="J566" s="1745"/>
      <c r="K566" s="1690"/>
      <c r="L566" s="1746"/>
      <c r="M566" s="1689">
        <v>4400</v>
      </c>
      <c r="N566" s="1690">
        <v>1518</v>
      </c>
      <c r="O566" s="1889">
        <f t="shared" si="83"/>
        <v>34.5</v>
      </c>
      <c r="P566" s="1690"/>
      <c r="Q566" s="1690"/>
      <c r="R566" s="1754"/>
    </row>
    <row r="567" spans="1:18" s="1870" customFormat="1" ht="24">
      <c r="A567" s="1743">
        <v>4210</v>
      </c>
      <c r="B567" s="1751" t="s">
        <v>114</v>
      </c>
      <c r="C567" s="1689">
        <v>26400</v>
      </c>
      <c r="D567" s="893">
        <f t="shared" si="81"/>
        <v>26400</v>
      </c>
      <c r="E567" s="1690">
        <f t="shared" si="82"/>
        <v>9773</v>
      </c>
      <c r="F567" s="1666">
        <f t="shared" si="74"/>
        <v>37.01893939393939</v>
      </c>
      <c r="G567" s="1689"/>
      <c r="H567" s="1690"/>
      <c r="I567" s="1746"/>
      <c r="J567" s="1745"/>
      <c r="K567" s="1690"/>
      <c r="L567" s="1746"/>
      <c r="M567" s="1689">
        <v>26400</v>
      </c>
      <c r="N567" s="1690">
        <v>9773</v>
      </c>
      <c r="O567" s="1889">
        <f t="shared" si="83"/>
        <v>37.01893939393939</v>
      </c>
      <c r="P567" s="1690"/>
      <c r="Q567" s="1690"/>
      <c r="R567" s="1754"/>
    </row>
    <row r="568" spans="1:18" s="1870" customFormat="1" ht="24">
      <c r="A568" s="1743">
        <v>4240</v>
      </c>
      <c r="B568" s="1751" t="s">
        <v>277</v>
      </c>
      <c r="C568" s="1689">
        <v>13800</v>
      </c>
      <c r="D568" s="893">
        <f t="shared" si="81"/>
        <v>13800</v>
      </c>
      <c r="E568" s="1690">
        <f t="shared" si="82"/>
        <v>1336</v>
      </c>
      <c r="F568" s="1666">
        <f t="shared" si="74"/>
        <v>9.681159420289855</v>
      </c>
      <c r="G568" s="1689"/>
      <c r="H568" s="1690"/>
      <c r="I568" s="1746"/>
      <c r="J568" s="1745"/>
      <c r="K568" s="1690"/>
      <c r="L568" s="1746"/>
      <c r="M568" s="1689">
        <v>13800</v>
      </c>
      <c r="N568" s="1690">
        <v>1336</v>
      </c>
      <c r="O568" s="1889">
        <f t="shared" si="83"/>
        <v>9.681159420289855</v>
      </c>
      <c r="P568" s="1690"/>
      <c r="Q568" s="1690"/>
      <c r="R568" s="1754"/>
    </row>
    <row r="569" spans="1:18" s="1870" customFormat="1" ht="15.75" customHeight="1">
      <c r="A569" s="1743">
        <v>4260</v>
      </c>
      <c r="B569" s="1751" t="s">
        <v>118</v>
      </c>
      <c r="C569" s="1689">
        <v>58300</v>
      </c>
      <c r="D569" s="893">
        <f t="shared" si="81"/>
        <v>58300</v>
      </c>
      <c r="E569" s="1690">
        <f t="shared" si="82"/>
        <v>33283</v>
      </c>
      <c r="F569" s="1666">
        <f aca="true" t="shared" si="84" ref="F569:F632">E569/D569*100</f>
        <v>57.089193825042884</v>
      </c>
      <c r="G569" s="1689"/>
      <c r="H569" s="1690"/>
      <c r="I569" s="1746"/>
      <c r="J569" s="1745"/>
      <c r="K569" s="1690"/>
      <c r="L569" s="1746"/>
      <c r="M569" s="1689">
        <v>58300</v>
      </c>
      <c r="N569" s="1690">
        <v>33283</v>
      </c>
      <c r="O569" s="1889">
        <f t="shared" si="83"/>
        <v>57.089193825042884</v>
      </c>
      <c r="P569" s="1690"/>
      <c r="Q569" s="1690"/>
      <c r="R569" s="1754"/>
    </row>
    <row r="570" spans="1:18" s="1870" customFormat="1" ht="18" customHeight="1">
      <c r="A570" s="1743">
        <v>4270</v>
      </c>
      <c r="B570" s="1751" t="s">
        <v>120</v>
      </c>
      <c r="C570" s="1689">
        <v>3400</v>
      </c>
      <c r="D570" s="893">
        <f t="shared" si="81"/>
        <v>6400</v>
      </c>
      <c r="E570" s="1690">
        <f t="shared" si="82"/>
        <v>1764</v>
      </c>
      <c r="F570" s="1666">
        <f t="shared" si="84"/>
        <v>27.5625</v>
      </c>
      <c r="G570" s="1689"/>
      <c r="H570" s="1690"/>
      <c r="I570" s="1746"/>
      <c r="J570" s="1745"/>
      <c r="K570" s="1690"/>
      <c r="L570" s="1746"/>
      <c r="M570" s="1689">
        <f>3400+3000</f>
        <v>6400</v>
      </c>
      <c r="N570" s="1690">
        <v>1764</v>
      </c>
      <c r="O570" s="1889">
        <f t="shared" si="83"/>
        <v>27.5625</v>
      </c>
      <c r="P570" s="1690"/>
      <c r="Q570" s="1690"/>
      <c r="R570" s="1754"/>
    </row>
    <row r="571" spans="1:18" s="1870" customFormat="1" ht="18" customHeight="1">
      <c r="A571" s="1743">
        <v>4280</v>
      </c>
      <c r="B571" s="1751" t="s">
        <v>170</v>
      </c>
      <c r="C571" s="1689">
        <v>1100</v>
      </c>
      <c r="D571" s="893">
        <f t="shared" si="81"/>
        <v>1100</v>
      </c>
      <c r="E571" s="1690">
        <f t="shared" si="82"/>
        <v>50</v>
      </c>
      <c r="F571" s="1666">
        <f t="shared" si="84"/>
        <v>4.545454545454546</v>
      </c>
      <c r="G571" s="1689"/>
      <c r="H571" s="1690"/>
      <c r="I571" s="1746"/>
      <c r="J571" s="1745"/>
      <c r="K571" s="1690"/>
      <c r="L571" s="1746"/>
      <c r="M571" s="1689">
        <v>1100</v>
      </c>
      <c r="N571" s="1690">
        <v>50</v>
      </c>
      <c r="O571" s="1889">
        <f t="shared" si="83"/>
        <v>4.545454545454546</v>
      </c>
      <c r="P571" s="1690"/>
      <c r="Q571" s="1690"/>
      <c r="R571" s="1754"/>
    </row>
    <row r="572" spans="1:18" s="1870" customFormat="1" ht="18" customHeight="1">
      <c r="A572" s="1743">
        <v>4300</v>
      </c>
      <c r="B572" s="1751" t="s">
        <v>122</v>
      </c>
      <c r="C572" s="1689">
        <v>17700</v>
      </c>
      <c r="D572" s="893">
        <f t="shared" si="81"/>
        <v>17700</v>
      </c>
      <c r="E572" s="1690">
        <f t="shared" si="82"/>
        <v>13633</v>
      </c>
      <c r="F572" s="1666">
        <f t="shared" si="84"/>
        <v>77.0225988700565</v>
      </c>
      <c r="G572" s="1689"/>
      <c r="H572" s="1690"/>
      <c r="I572" s="1746"/>
      <c r="J572" s="1745"/>
      <c r="K572" s="1690"/>
      <c r="L572" s="1746"/>
      <c r="M572" s="1689">
        <v>17700</v>
      </c>
      <c r="N572" s="1690">
        <v>13633</v>
      </c>
      <c r="O572" s="1889">
        <f t="shared" si="83"/>
        <v>77.0225988700565</v>
      </c>
      <c r="P572" s="1690"/>
      <c r="Q572" s="1690"/>
      <c r="R572" s="1754"/>
    </row>
    <row r="573" spans="1:18" s="1870" customFormat="1" ht="24">
      <c r="A573" s="1743">
        <v>4350</v>
      </c>
      <c r="B573" s="1751" t="s">
        <v>326</v>
      </c>
      <c r="C573" s="1689"/>
      <c r="D573" s="893">
        <f t="shared" si="81"/>
        <v>1700</v>
      </c>
      <c r="E573" s="1690">
        <f t="shared" si="82"/>
        <v>625</v>
      </c>
      <c r="F573" s="1666">
        <f t="shared" si="84"/>
        <v>36.76470588235294</v>
      </c>
      <c r="G573" s="1745"/>
      <c r="H573" s="1745"/>
      <c r="I573" s="1746"/>
      <c r="J573" s="1745"/>
      <c r="K573" s="1690"/>
      <c r="L573" s="1746"/>
      <c r="M573" s="1689">
        <v>1700</v>
      </c>
      <c r="N573" s="1690">
        <v>625</v>
      </c>
      <c r="O573" s="1889">
        <f t="shared" si="83"/>
        <v>36.76470588235294</v>
      </c>
      <c r="P573" s="1690"/>
      <c r="Q573" s="1690"/>
      <c r="R573" s="1754"/>
    </row>
    <row r="574" spans="1:18" s="1870" customFormat="1" ht="15.75" customHeight="1">
      <c r="A574" s="1743">
        <v>4410</v>
      </c>
      <c r="B574" s="1751" t="s">
        <v>96</v>
      </c>
      <c r="C574" s="1689">
        <v>1500</v>
      </c>
      <c r="D574" s="893">
        <f t="shared" si="81"/>
        <v>1500</v>
      </c>
      <c r="E574" s="1690">
        <f t="shared" si="82"/>
        <v>229</v>
      </c>
      <c r="F574" s="1666">
        <f t="shared" si="84"/>
        <v>15.266666666666667</v>
      </c>
      <c r="G574" s="1690"/>
      <c r="H574" s="1745"/>
      <c r="I574" s="1746"/>
      <c r="J574" s="1745"/>
      <c r="K574" s="1690"/>
      <c r="L574" s="1746"/>
      <c r="M574" s="1689">
        <v>1500</v>
      </c>
      <c r="N574" s="1690">
        <v>229</v>
      </c>
      <c r="O574" s="1982">
        <f t="shared" si="83"/>
        <v>15.266666666666667</v>
      </c>
      <c r="P574" s="1690"/>
      <c r="Q574" s="1690"/>
      <c r="R574" s="1754"/>
    </row>
    <row r="575" spans="1:18" s="1870" customFormat="1" ht="18" customHeight="1" hidden="1">
      <c r="A575" s="1743">
        <v>4430</v>
      </c>
      <c r="B575" s="1751" t="s">
        <v>124</v>
      </c>
      <c r="C575" s="1689"/>
      <c r="D575" s="893">
        <f t="shared" si="81"/>
        <v>0</v>
      </c>
      <c r="E575" s="1690">
        <f t="shared" si="82"/>
        <v>0</v>
      </c>
      <c r="F575" s="1666" t="e">
        <f t="shared" si="84"/>
        <v>#DIV/0!</v>
      </c>
      <c r="G575" s="1690"/>
      <c r="H575" s="1745"/>
      <c r="I575" s="1746"/>
      <c r="J575" s="1745"/>
      <c r="K575" s="1690"/>
      <c r="L575" s="1746"/>
      <c r="M575" s="1689"/>
      <c r="N575" s="1690"/>
      <c r="O575" s="1889" t="e">
        <f t="shared" si="83"/>
        <v>#DIV/0!</v>
      </c>
      <c r="P575" s="1690"/>
      <c r="Q575" s="1690"/>
      <c r="R575" s="1754"/>
    </row>
    <row r="576" spans="1:18" s="1870" customFormat="1" ht="15" customHeight="1">
      <c r="A576" s="1798">
        <v>4440</v>
      </c>
      <c r="B576" s="1751" t="s">
        <v>126</v>
      </c>
      <c r="C576" s="1800">
        <v>67200</v>
      </c>
      <c r="D576" s="893">
        <f t="shared" si="81"/>
        <v>67200</v>
      </c>
      <c r="E576" s="1690">
        <f t="shared" si="82"/>
        <v>55057</v>
      </c>
      <c r="F576" s="1666">
        <f t="shared" si="84"/>
        <v>81.93005952380953</v>
      </c>
      <c r="G576" s="1791"/>
      <c r="H576" s="1801"/>
      <c r="I576" s="1857"/>
      <c r="J576" s="1801"/>
      <c r="K576" s="1791"/>
      <c r="L576" s="1857"/>
      <c r="M576" s="1800">
        <v>67200</v>
      </c>
      <c r="N576" s="1791">
        <v>55057</v>
      </c>
      <c r="O576" s="1889">
        <f t="shared" si="83"/>
        <v>81.93005952380953</v>
      </c>
      <c r="P576" s="1791"/>
      <c r="Q576" s="1791"/>
      <c r="R576" s="1845"/>
    </row>
    <row r="577" spans="1:18" s="1870" customFormat="1" ht="17.25" customHeight="1">
      <c r="A577" s="1736">
        <v>80130</v>
      </c>
      <c r="B577" s="1835" t="s">
        <v>339</v>
      </c>
      <c r="C577" s="1738">
        <f>SUM(C578:C596)</f>
        <v>15462700</v>
      </c>
      <c r="D577" s="908">
        <f t="shared" si="81"/>
        <v>15416988</v>
      </c>
      <c r="E577" s="1680">
        <f>H577+K577+Q577+N577</f>
        <v>8109734</v>
      </c>
      <c r="F577" s="1681">
        <f t="shared" si="84"/>
        <v>52.602583591554975</v>
      </c>
      <c r="G577" s="1781"/>
      <c r="H577" s="1777"/>
      <c r="I577" s="1881"/>
      <c r="J577" s="1777"/>
      <c r="K577" s="1781"/>
      <c r="L577" s="1881"/>
      <c r="M577" s="1738">
        <f>SUM(M578:M596)</f>
        <v>15416988</v>
      </c>
      <c r="N577" s="1680">
        <f>SUM(N578:N596)</f>
        <v>8109734</v>
      </c>
      <c r="O577" s="1688">
        <f t="shared" si="80"/>
        <v>52.602583591554975</v>
      </c>
      <c r="P577" s="1680"/>
      <c r="Q577" s="1680"/>
      <c r="R577" s="1782"/>
    </row>
    <row r="578" spans="1:18" s="1870" customFormat="1" ht="50.25" customHeight="1">
      <c r="A578" s="1743">
        <v>2540</v>
      </c>
      <c r="B578" s="1751" t="s">
        <v>840</v>
      </c>
      <c r="C578" s="1689">
        <v>1100000</v>
      </c>
      <c r="D578" s="893">
        <f t="shared" si="81"/>
        <v>1067611</v>
      </c>
      <c r="E578" s="1690">
        <f>SUM(H578+K578+N578+Q578)</f>
        <v>588685</v>
      </c>
      <c r="F578" s="1666">
        <f t="shared" si="84"/>
        <v>55.14040226262187</v>
      </c>
      <c r="G578" s="1690"/>
      <c r="H578" s="1745"/>
      <c r="I578" s="1746"/>
      <c r="J578" s="1745"/>
      <c r="K578" s="1690"/>
      <c r="L578" s="1746"/>
      <c r="M578" s="1689">
        <f>1100000-32389</f>
        <v>1067611</v>
      </c>
      <c r="N578" s="1690">
        <v>588685</v>
      </c>
      <c r="O578" s="1695">
        <f t="shared" si="80"/>
        <v>55.14040226262187</v>
      </c>
      <c r="P578" s="1690"/>
      <c r="Q578" s="1690"/>
      <c r="R578" s="1754"/>
    </row>
    <row r="579" spans="1:18" s="1870" customFormat="1" ht="24">
      <c r="A579" s="1743">
        <v>3020</v>
      </c>
      <c r="B579" s="1751" t="s">
        <v>332</v>
      </c>
      <c r="C579" s="1689">
        <v>79700</v>
      </c>
      <c r="D579" s="893">
        <f t="shared" si="81"/>
        <v>79700</v>
      </c>
      <c r="E579" s="1690">
        <f aca="true" t="shared" si="85" ref="E579:E596">SUM(H579+K579+N579+Q579)</f>
        <v>15910</v>
      </c>
      <c r="F579" s="1666">
        <f t="shared" si="84"/>
        <v>19.962358845671268</v>
      </c>
      <c r="G579" s="1690"/>
      <c r="H579" s="1745"/>
      <c r="I579" s="1746"/>
      <c r="J579" s="1745"/>
      <c r="K579" s="1690"/>
      <c r="L579" s="1746"/>
      <c r="M579" s="1689">
        <v>79700</v>
      </c>
      <c r="N579" s="1690">
        <v>15910</v>
      </c>
      <c r="O579" s="1695">
        <f t="shared" si="80"/>
        <v>19.962358845671268</v>
      </c>
      <c r="P579" s="1690"/>
      <c r="Q579" s="1690"/>
      <c r="R579" s="1754"/>
    </row>
    <row r="580" spans="1:18" s="1870" customFormat="1" ht="12.75">
      <c r="A580" s="1743">
        <v>3050</v>
      </c>
      <c r="B580" s="1751" t="s">
        <v>340</v>
      </c>
      <c r="C580" s="1689">
        <v>15000</v>
      </c>
      <c r="D580" s="893">
        <f t="shared" si="81"/>
        <v>15000</v>
      </c>
      <c r="E580" s="1690">
        <f t="shared" si="85"/>
        <v>7521</v>
      </c>
      <c r="F580" s="1666">
        <f t="shared" si="84"/>
        <v>50.13999999999999</v>
      </c>
      <c r="G580" s="1690"/>
      <c r="H580" s="1745"/>
      <c r="I580" s="1746"/>
      <c r="J580" s="1745"/>
      <c r="K580" s="1690"/>
      <c r="L580" s="1746"/>
      <c r="M580" s="1689">
        <v>15000</v>
      </c>
      <c r="N580" s="1690">
        <v>7521</v>
      </c>
      <c r="O580" s="1695">
        <f t="shared" si="80"/>
        <v>50.13999999999999</v>
      </c>
      <c r="P580" s="1690"/>
      <c r="Q580" s="1690"/>
      <c r="R580" s="1754"/>
    </row>
    <row r="581" spans="1:18" s="1870" customFormat="1" ht="25.5" customHeight="1">
      <c r="A581" s="1743">
        <v>4010</v>
      </c>
      <c r="B581" s="1751" t="s">
        <v>104</v>
      </c>
      <c r="C581" s="1689">
        <v>9217000</v>
      </c>
      <c r="D581" s="893">
        <f t="shared" si="81"/>
        <v>9116067</v>
      </c>
      <c r="E581" s="1690">
        <f t="shared" si="85"/>
        <v>4403983</v>
      </c>
      <c r="F581" s="1666">
        <f t="shared" si="84"/>
        <v>48.3101210203918</v>
      </c>
      <c r="G581" s="1690"/>
      <c r="H581" s="1745"/>
      <c r="I581" s="1746"/>
      <c r="J581" s="1745"/>
      <c r="K581" s="1690"/>
      <c r="L581" s="1746"/>
      <c r="M581" s="1689">
        <f>9176500+19567-80000</f>
        <v>9116067</v>
      </c>
      <c r="N581" s="1690">
        <v>4403983</v>
      </c>
      <c r="O581" s="1889">
        <f t="shared" si="80"/>
        <v>48.3101210203918</v>
      </c>
      <c r="P581" s="1690"/>
      <c r="Q581" s="1690"/>
      <c r="R581" s="1754"/>
    </row>
    <row r="582" spans="1:18" s="1870" customFormat="1" ht="24">
      <c r="A582" s="1743">
        <v>4040</v>
      </c>
      <c r="B582" s="1751" t="s">
        <v>108</v>
      </c>
      <c r="C582" s="1689">
        <v>694200</v>
      </c>
      <c r="D582" s="893">
        <f t="shared" si="81"/>
        <v>681584</v>
      </c>
      <c r="E582" s="1690">
        <f t="shared" si="85"/>
        <v>681583</v>
      </c>
      <c r="F582" s="1666">
        <f t="shared" si="84"/>
        <v>99.9998532829409</v>
      </c>
      <c r="G582" s="1690"/>
      <c r="H582" s="1745"/>
      <c r="I582" s="1746"/>
      <c r="J582" s="1745"/>
      <c r="K582" s="1690"/>
      <c r="L582" s="1746"/>
      <c r="M582" s="1689">
        <f>694200+8593-21209</f>
        <v>681584</v>
      </c>
      <c r="N582" s="1690">
        <v>681583</v>
      </c>
      <c r="O582" s="1891">
        <f t="shared" si="80"/>
        <v>99.9998532829409</v>
      </c>
      <c r="P582" s="1690"/>
      <c r="Q582" s="1690"/>
      <c r="R582" s="1754"/>
    </row>
    <row r="583" spans="1:18" s="1870" customFormat="1" ht="24">
      <c r="A583" s="1743">
        <v>4110</v>
      </c>
      <c r="B583" s="1751" t="s">
        <v>110</v>
      </c>
      <c r="C583" s="1689">
        <v>1730000</v>
      </c>
      <c r="D583" s="893">
        <f t="shared" si="81"/>
        <v>1702800</v>
      </c>
      <c r="E583" s="1690">
        <f t="shared" si="85"/>
        <v>807102</v>
      </c>
      <c r="F583" s="1666">
        <f t="shared" si="84"/>
        <v>47.3985200845666</v>
      </c>
      <c r="G583" s="1690"/>
      <c r="H583" s="1745"/>
      <c r="I583" s="1746"/>
      <c r="J583" s="1745"/>
      <c r="K583" s="1690"/>
      <c r="L583" s="1746"/>
      <c r="M583" s="1689">
        <f>1722800-20000</f>
        <v>1702800</v>
      </c>
      <c r="N583" s="1690">
        <v>807102</v>
      </c>
      <c r="O583" s="1889">
        <f t="shared" si="80"/>
        <v>47.3985200845666</v>
      </c>
      <c r="P583" s="1690"/>
      <c r="Q583" s="1690"/>
      <c r="R583" s="1754"/>
    </row>
    <row r="584" spans="1:18" s="1870" customFormat="1" ht="17.25" customHeight="1">
      <c r="A584" s="1743">
        <v>4120</v>
      </c>
      <c r="B584" s="1751" t="s">
        <v>208</v>
      </c>
      <c r="C584" s="1689">
        <v>224000</v>
      </c>
      <c r="D584" s="893">
        <f t="shared" si="81"/>
        <v>224000</v>
      </c>
      <c r="E584" s="1690">
        <f t="shared" si="85"/>
        <v>114755</v>
      </c>
      <c r="F584" s="1666">
        <f t="shared" si="84"/>
        <v>51.22991071428571</v>
      </c>
      <c r="G584" s="1690"/>
      <c r="H584" s="1745"/>
      <c r="I584" s="1746"/>
      <c r="J584" s="1745"/>
      <c r="K584" s="1690"/>
      <c r="L584" s="1746"/>
      <c r="M584" s="1689">
        <v>224000</v>
      </c>
      <c r="N584" s="1690">
        <v>114755</v>
      </c>
      <c r="O584" s="1889">
        <f t="shared" si="80"/>
        <v>51.22991071428571</v>
      </c>
      <c r="P584" s="1690"/>
      <c r="Q584" s="1690"/>
      <c r="R584" s="1754"/>
    </row>
    <row r="585" spans="1:18" s="1870" customFormat="1" ht="17.25" customHeight="1">
      <c r="A585" s="1743">
        <v>4140</v>
      </c>
      <c r="B585" s="1751" t="s">
        <v>341</v>
      </c>
      <c r="C585" s="1689">
        <v>34300</v>
      </c>
      <c r="D585" s="893">
        <f t="shared" si="81"/>
        <v>51626</v>
      </c>
      <c r="E585" s="1690">
        <f t="shared" si="85"/>
        <v>20782</v>
      </c>
      <c r="F585" s="1666">
        <f t="shared" si="84"/>
        <v>40.254910316507186</v>
      </c>
      <c r="G585" s="1690"/>
      <c r="H585" s="1745"/>
      <c r="I585" s="1746"/>
      <c r="J585" s="1745"/>
      <c r="K585" s="1690"/>
      <c r="L585" s="1746"/>
      <c r="M585" s="1689">
        <f>34300+5326+12000</f>
        <v>51626</v>
      </c>
      <c r="N585" s="1690">
        <v>20782</v>
      </c>
      <c r="O585" s="1889">
        <f t="shared" si="80"/>
        <v>40.254910316507186</v>
      </c>
      <c r="P585" s="1690"/>
      <c r="Q585" s="1690"/>
      <c r="R585" s="1754"/>
    </row>
    <row r="586" spans="1:18" s="1870" customFormat="1" ht="24" customHeight="1">
      <c r="A586" s="1743">
        <v>4210</v>
      </c>
      <c r="B586" s="1751" t="s">
        <v>114</v>
      </c>
      <c r="C586" s="1689">
        <v>300000</v>
      </c>
      <c r="D586" s="893">
        <f t="shared" si="81"/>
        <v>318000</v>
      </c>
      <c r="E586" s="1690">
        <f t="shared" si="85"/>
        <v>223503</v>
      </c>
      <c r="F586" s="1666">
        <f t="shared" si="84"/>
        <v>70.28396226415094</v>
      </c>
      <c r="G586" s="1690"/>
      <c r="H586" s="1745"/>
      <c r="I586" s="1746"/>
      <c r="J586" s="1745"/>
      <c r="K586" s="1690"/>
      <c r="L586" s="1746"/>
      <c r="M586" s="1689">
        <f>300000+18000</f>
        <v>318000</v>
      </c>
      <c r="N586" s="1690">
        <v>223503</v>
      </c>
      <c r="O586" s="1695">
        <f t="shared" si="80"/>
        <v>70.28396226415094</v>
      </c>
      <c r="P586" s="1690"/>
      <c r="Q586" s="1690"/>
      <c r="R586" s="1754"/>
    </row>
    <row r="587" spans="1:18" s="1870" customFormat="1" ht="36">
      <c r="A587" s="1743">
        <v>4240</v>
      </c>
      <c r="B587" s="1751" t="s">
        <v>185</v>
      </c>
      <c r="C587" s="1689">
        <v>110000</v>
      </c>
      <c r="D587" s="893">
        <f t="shared" si="81"/>
        <v>116000</v>
      </c>
      <c r="E587" s="1690">
        <f t="shared" si="85"/>
        <v>55163</v>
      </c>
      <c r="F587" s="1666">
        <f t="shared" si="84"/>
        <v>47.55431034482759</v>
      </c>
      <c r="G587" s="1690"/>
      <c r="H587" s="1745"/>
      <c r="I587" s="1746"/>
      <c r="J587" s="1745"/>
      <c r="K587" s="1690"/>
      <c r="L587" s="1746"/>
      <c r="M587" s="1689">
        <f>115000+1000</f>
        <v>116000</v>
      </c>
      <c r="N587" s="1690">
        <v>55163</v>
      </c>
      <c r="O587" s="1695">
        <f t="shared" si="80"/>
        <v>47.55431034482759</v>
      </c>
      <c r="P587" s="1690"/>
      <c r="Q587" s="1690"/>
      <c r="R587" s="1754"/>
    </row>
    <row r="588" spans="1:18" s="1870" customFormat="1" ht="19.5" customHeight="1">
      <c r="A588" s="1743">
        <v>4260</v>
      </c>
      <c r="B588" s="1751" t="s">
        <v>118</v>
      </c>
      <c r="C588" s="1689">
        <v>901000</v>
      </c>
      <c r="D588" s="893">
        <f t="shared" si="81"/>
        <v>812000</v>
      </c>
      <c r="E588" s="1690">
        <f t="shared" si="85"/>
        <v>479358</v>
      </c>
      <c r="F588" s="1666">
        <f t="shared" si="84"/>
        <v>59.03423645320197</v>
      </c>
      <c r="G588" s="1690"/>
      <c r="H588" s="1745"/>
      <c r="I588" s="1746"/>
      <c r="J588" s="1745"/>
      <c r="K588" s="1690"/>
      <c r="L588" s="1746"/>
      <c r="M588" s="1689">
        <f>824000-12000</f>
        <v>812000</v>
      </c>
      <c r="N588" s="1690">
        <v>479358</v>
      </c>
      <c r="O588" s="1695">
        <f t="shared" si="80"/>
        <v>59.03423645320197</v>
      </c>
      <c r="P588" s="1690"/>
      <c r="Q588" s="1690"/>
      <c r="R588" s="1754"/>
    </row>
    <row r="589" spans="1:18" s="1870" customFormat="1" ht="19.5" customHeight="1">
      <c r="A589" s="1743">
        <v>4270</v>
      </c>
      <c r="B589" s="1751" t="s">
        <v>120</v>
      </c>
      <c r="C589" s="1689">
        <v>59000</v>
      </c>
      <c r="D589" s="893">
        <f t="shared" si="81"/>
        <v>73000</v>
      </c>
      <c r="E589" s="1690">
        <f t="shared" si="85"/>
        <v>17343</v>
      </c>
      <c r="F589" s="1666">
        <f t="shared" si="84"/>
        <v>23.757534246575343</v>
      </c>
      <c r="G589" s="1690"/>
      <c r="H589" s="1745"/>
      <c r="I589" s="1746"/>
      <c r="J589" s="1745"/>
      <c r="K589" s="1690"/>
      <c r="L589" s="1746"/>
      <c r="M589" s="1689">
        <f>59000+14000</f>
        <v>73000</v>
      </c>
      <c r="N589" s="1690">
        <v>17343</v>
      </c>
      <c r="O589" s="1695">
        <f t="shared" si="80"/>
        <v>23.757534246575343</v>
      </c>
      <c r="P589" s="1690"/>
      <c r="Q589" s="1690"/>
      <c r="R589" s="1754"/>
    </row>
    <row r="590" spans="1:18" s="1870" customFormat="1" ht="19.5" customHeight="1">
      <c r="A590" s="1743">
        <v>4280</v>
      </c>
      <c r="B590" s="1751" t="s">
        <v>170</v>
      </c>
      <c r="C590" s="1689">
        <v>15600</v>
      </c>
      <c r="D590" s="893">
        <f t="shared" si="81"/>
        <v>15600</v>
      </c>
      <c r="E590" s="1690">
        <f t="shared" si="85"/>
        <v>1820</v>
      </c>
      <c r="F590" s="1666">
        <f t="shared" si="84"/>
        <v>11.666666666666666</v>
      </c>
      <c r="G590" s="1690"/>
      <c r="H590" s="1745"/>
      <c r="I590" s="1746"/>
      <c r="J590" s="1745"/>
      <c r="K590" s="1690"/>
      <c r="L590" s="1746"/>
      <c r="M590" s="1689">
        <v>15600</v>
      </c>
      <c r="N590" s="1690">
        <v>1820</v>
      </c>
      <c r="O590" s="1695">
        <f t="shared" si="80"/>
        <v>11.666666666666666</v>
      </c>
      <c r="P590" s="1690"/>
      <c r="Q590" s="1690"/>
      <c r="R590" s="1754"/>
    </row>
    <row r="591" spans="1:18" s="1870" customFormat="1" ht="17.25" customHeight="1">
      <c r="A591" s="1743">
        <v>4300</v>
      </c>
      <c r="B591" s="1751" t="s">
        <v>122</v>
      </c>
      <c r="C591" s="1689">
        <v>370000</v>
      </c>
      <c r="D591" s="893">
        <f t="shared" si="81"/>
        <v>521620</v>
      </c>
      <c r="E591" s="1690">
        <f t="shared" si="85"/>
        <v>191813</v>
      </c>
      <c r="F591" s="1666">
        <f t="shared" si="84"/>
        <v>36.77255473333078</v>
      </c>
      <c r="G591" s="1690"/>
      <c r="H591" s="1745"/>
      <c r="I591" s="1746"/>
      <c r="J591" s="1745"/>
      <c r="K591" s="1690"/>
      <c r="L591" s="1746"/>
      <c r="M591" s="1689">
        <f>361620+86000-3000+77000</f>
        <v>521620</v>
      </c>
      <c r="N591" s="1690">
        <v>191813</v>
      </c>
      <c r="O591" s="1695">
        <f t="shared" si="80"/>
        <v>36.77255473333078</v>
      </c>
      <c r="P591" s="1690"/>
      <c r="Q591" s="1690"/>
      <c r="R591" s="1754"/>
    </row>
    <row r="592" spans="1:18" s="1870" customFormat="1" ht="24">
      <c r="A592" s="1743">
        <v>4350</v>
      </c>
      <c r="B592" s="1751" t="s">
        <v>326</v>
      </c>
      <c r="C592" s="1689"/>
      <c r="D592" s="893">
        <f t="shared" si="81"/>
        <v>7680</v>
      </c>
      <c r="E592" s="1690">
        <f t="shared" si="85"/>
        <v>1926</v>
      </c>
      <c r="F592" s="1666">
        <f t="shared" si="84"/>
        <v>25.078125</v>
      </c>
      <c r="G592" s="1690"/>
      <c r="H592" s="1745"/>
      <c r="I592" s="1746"/>
      <c r="J592" s="1745"/>
      <c r="K592" s="1690"/>
      <c r="L592" s="1746"/>
      <c r="M592" s="1689">
        <v>7680</v>
      </c>
      <c r="N592" s="1690">
        <v>1926</v>
      </c>
      <c r="O592" s="1695">
        <f t="shared" si="80"/>
        <v>25.078125</v>
      </c>
      <c r="P592" s="1690"/>
      <c r="Q592" s="1690"/>
      <c r="R592" s="1754"/>
    </row>
    <row r="593" spans="1:18" s="1870" customFormat="1" ht="17.25" customHeight="1">
      <c r="A593" s="1743">
        <v>4410</v>
      </c>
      <c r="B593" s="1751" t="s">
        <v>96</v>
      </c>
      <c r="C593" s="1689">
        <v>21800</v>
      </c>
      <c r="D593" s="893">
        <f t="shared" si="81"/>
        <v>21800</v>
      </c>
      <c r="E593" s="1690">
        <f t="shared" si="85"/>
        <v>15293</v>
      </c>
      <c r="F593" s="1666">
        <f t="shared" si="84"/>
        <v>70.15137614678899</v>
      </c>
      <c r="G593" s="1690"/>
      <c r="H593" s="1745"/>
      <c r="I593" s="1746"/>
      <c r="J593" s="1745"/>
      <c r="K593" s="1690"/>
      <c r="L593" s="1746"/>
      <c r="M593" s="1689">
        <v>21800</v>
      </c>
      <c r="N593" s="1690">
        <v>15293</v>
      </c>
      <c r="O593" s="1695">
        <f t="shared" si="80"/>
        <v>70.15137614678899</v>
      </c>
      <c r="P593" s="1690"/>
      <c r="Q593" s="1690"/>
      <c r="R593" s="1754"/>
    </row>
    <row r="594" spans="1:18" s="1870" customFormat="1" ht="25.5" customHeight="1">
      <c r="A594" s="1743">
        <v>4420</v>
      </c>
      <c r="B594" s="1751" t="s">
        <v>212</v>
      </c>
      <c r="C594" s="1689">
        <v>12000</v>
      </c>
      <c r="D594" s="893">
        <f t="shared" si="81"/>
        <v>13800</v>
      </c>
      <c r="E594" s="1690">
        <f t="shared" si="85"/>
        <v>6000</v>
      </c>
      <c r="F594" s="1666">
        <f t="shared" si="84"/>
        <v>43.47826086956522</v>
      </c>
      <c r="G594" s="1690"/>
      <c r="H594" s="1745"/>
      <c r="I594" s="1746"/>
      <c r="J594" s="1745"/>
      <c r="K594" s="1690"/>
      <c r="L594" s="1746"/>
      <c r="M594" s="1689">
        <f>12000+1800</f>
        <v>13800</v>
      </c>
      <c r="N594" s="1690">
        <v>6000</v>
      </c>
      <c r="O594" s="1695">
        <f>N594/M594*100</f>
        <v>43.47826086956522</v>
      </c>
      <c r="P594" s="1690"/>
      <c r="Q594" s="1690"/>
      <c r="R594" s="1754"/>
    </row>
    <row r="595" spans="1:18" s="1870" customFormat="1" ht="15" customHeight="1" hidden="1">
      <c r="A595" s="1743">
        <v>4430</v>
      </c>
      <c r="B595" s="1751" t="s">
        <v>124</v>
      </c>
      <c r="C595" s="1689"/>
      <c r="D595" s="893">
        <f t="shared" si="81"/>
        <v>0</v>
      </c>
      <c r="E595" s="1690">
        <f t="shared" si="85"/>
        <v>0</v>
      </c>
      <c r="F595" s="1666" t="e">
        <f t="shared" si="84"/>
        <v>#DIV/0!</v>
      </c>
      <c r="G595" s="1690"/>
      <c r="H595" s="1745"/>
      <c r="I595" s="1746"/>
      <c r="J595" s="1745"/>
      <c r="K595" s="1690"/>
      <c r="L595" s="1746"/>
      <c r="M595" s="1689"/>
      <c r="N595" s="1690"/>
      <c r="O595" s="1695" t="e">
        <f>N595/M595*100</f>
        <v>#DIV/0!</v>
      </c>
      <c r="P595" s="1690"/>
      <c r="Q595" s="1690"/>
      <c r="R595" s="1754"/>
    </row>
    <row r="596" spans="1:18" s="1870" customFormat="1" ht="17.25" customHeight="1">
      <c r="A596" s="1743">
        <v>4440</v>
      </c>
      <c r="B596" s="1751" t="s">
        <v>126</v>
      </c>
      <c r="C596" s="1689">
        <v>579100</v>
      </c>
      <c r="D596" s="893">
        <f t="shared" si="81"/>
        <v>579100</v>
      </c>
      <c r="E596" s="1690">
        <f t="shared" si="85"/>
        <v>477194</v>
      </c>
      <c r="F596" s="1666">
        <f t="shared" si="84"/>
        <v>82.40269383526162</v>
      </c>
      <c r="G596" s="1690"/>
      <c r="H596" s="1745"/>
      <c r="I596" s="1746"/>
      <c r="J596" s="1745"/>
      <c r="K596" s="1690"/>
      <c r="L596" s="1746"/>
      <c r="M596" s="1689">
        <v>579100</v>
      </c>
      <c r="N596" s="1791">
        <v>477194</v>
      </c>
      <c r="O596" s="1889">
        <f>N596/M596*100</f>
        <v>82.40269383526162</v>
      </c>
      <c r="P596" s="1690"/>
      <c r="Q596" s="1690"/>
      <c r="R596" s="1754"/>
    </row>
    <row r="597" spans="1:18" s="1870" customFormat="1" ht="39.75" customHeight="1">
      <c r="A597" s="1736">
        <v>80132</v>
      </c>
      <c r="B597" s="1835" t="s">
        <v>342</v>
      </c>
      <c r="C597" s="1738">
        <f>SUM(C598:C610)</f>
        <v>193400</v>
      </c>
      <c r="D597" s="908">
        <f>G597+J597+P597+M597</f>
        <v>198910</v>
      </c>
      <c r="E597" s="1680">
        <f>H597+K597+Q597+N597</f>
        <v>106022</v>
      </c>
      <c r="F597" s="1681">
        <f t="shared" si="84"/>
        <v>53.30149313759992</v>
      </c>
      <c r="G597" s="1781"/>
      <c r="H597" s="1777"/>
      <c r="I597" s="1881"/>
      <c r="J597" s="1777"/>
      <c r="K597" s="1781"/>
      <c r="L597" s="1881"/>
      <c r="M597" s="1738">
        <f>SUM(M598:M610)</f>
        <v>198910</v>
      </c>
      <c r="N597" s="1680">
        <f>SUM(N598:N610)</f>
        <v>106022</v>
      </c>
      <c r="O597" s="1688">
        <f aca="true" t="shared" si="86" ref="O597:O657">N597/M597*100</f>
        <v>53.30149313759992</v>
      </c>
      <c r="P597" s="1680"/>
      <c r="Q597" s="1680"/>
      <c r="R597" s="1782"/>
    </row>
    <row r="598" spans="1:18" s="1870" customFormat="1" ht="24">
      <c r="A598" s="1722">
        <v>3020</v>
      </c>
      <c r="B598" s="1751" t="s">
        <v>332</v>
      </c>
      <c r="C598" s="1693">
        <v>100</v>
      </c>
      <c r="D598" s="932">
        <f>G598+J598+P598+M598</f>
        <v>100</v>
      </c>
      <c r="E598" s="1707">
        <f aca="true" t="shared" si="87" ref="E598:E610">SUM(H598+K598+N598+Q598)</f>
        <v>100</v>
      </c>
      <c r="F598" s="1691">
        <f t="shared" si="84"/>
        <v>100</v>
      </c>
      <c r="G598" s="1707"/>
      <c r="H598" s="1854"/>
      <c r="I598" s="1849"/>
      <c r="J598" s="1854"/>
      <c r="K598" s="1707"/>
      <c r="L598" s="1849"/>
      <c r="M598" s="1693">
        <v>100</v>
      </c>
      <c r="N598" s="1707">
        <v>100</v>
      </c>
      <c r="O598" s="1710">
        <f t="shared" si="86"/>
        <v>100</v>
      </c>
      <c r="P598" s="1707"/>
      <c r="Q598" s="1707"/>
      <c r="R598" s="1856"/>
    </row>
    <row r="599" spans="1:18" s="1870" customFormat="1" ht="24">
      <c r="A599" s="1743">
        <v>4010</v>
      </c>
      <c r="B599" s="1751" t="s">
        <v>104</v>
      </c>
      <c r="C599" s="1689">
        <v>131000</v>
      </c>
      <c r="D599" s="893">
        <f aca="true" t="shared" si="88" ref="D599:D610">G599+J599+P599+M599</f>
        <v>133200</v>
      </c>
      <c r="E599" s="1690">
        <f t="shared" si="87"/>
        <v>66299</v>
      </c>
      <c r="F599" s="1666">
        <f t="shared" si="84"/>
        <v>49.77402402402402</v>
      </c>
      <c r="G599" s="1690"/>
      <c r="H599" s="1745"/>
      <c r="I599" s="1746"/>
      <c r="J599" s="1745"/>
      <c r="K599" s="1690"/>
      <c r="L599" s="1746"/>
      <c r="M599" s="1689">
        <v>133200</v>
      </c>
      <c r="N599" s="1690">
        <v>66299</v>
      </c>
      <c r="O599" s="1695">
        <f t="shared" si="86"/>
        <v>49.77402402402402</v>
      </c>
      <c r="P599" s="1690"/>
      <c r="Q599" s="1690"/>
      <c r="R599" s="1754"/>
    </row>
    <row r="600" spans="1:18" s="1870" customFormat="1" ht="24">
      <c r="A600" s="1743">
        <v>4040</v>
      </c>
      <c r="B600" s="1751" t="s">
        <v>108</v>
      </c>
      <c r="C600" s="1689">
        <v>10500</v>
      </c>
      <c r="D600" s="893">
        <f t="shared" si="88"/>
        <v>13110</v>
      </c>
      <c r="E600" s="1690">
        <f t="shared" si="87"/>
        <v>13104</v>
      </c>
      <c r="F600" s="1666">
        <f t="shared" si="84"/>
        <v>99.95423340961098</v>
      </c>
      <c r="G600" s="1690"/>
      <c r="H600" s="1745"/>
      <c r="I600" s="1746"/>
      <c r="J600" s="1745"/>
      <c r="K600" s="1690"/>
      <c r="L600" s="1746"/>
      <c r="M600" s="1689">
        <v>13110</v>
      </c>
      <c r="N600" s="1690">
        <v>13104</v>
      </c>
      <c r="O600" s="1669">
        <f t="shared" si="86"/>
        <v>99.95423340961098</v>
      </c>
      <c r="P600" s="1690"/>
      <c r="Q600" s="1690"/>
      <c r="R600" s="1754"/>
    </row>
    <row r="601" spans="1:18" s="1870" customFormat="1" ht="24">
      <c r="A601" s="1743">
        <v>4110</v>
      </c>
      <c r="B601" s="1751" t="s">
        <v>110</v>
      </c>
      <c r="C601" s="1689">
        <v>25500</v>
      </c>
      <c r="D601" s="893">
        <f t="shared" si="88"/>
        <v>26000</v>
      </c>
      <c r="E601" s="1690">
        <f t="shared" si="87"/>
        <v>13462</v>
      </c>
      <c r="F601" s="1666">
        <f t="shared" si="84"/>
        <v>51.776923076923076</v>
      </c>
      <c r="G601" s="1690"/>
      <c r="H601" s="1745"/>
      <c r="I601" s="1746"/>
      <c r="J601" s="1745"/>
      <c r="K601" s="1690"/>
      <c r="L601" s="1746"/>
      <c r="M601" s="1689">
        <v>26000</v>
      </c>
      <c r="N601" s="1690">
        <v>13462</v>
      </c>
      <c r="O601" s="1695">
        <f t="shared" si="86"/>
        <v>51.776923076923076</v>
      </c>
      <c r="P601" s="1690"/>
      <c r="Q601" s="1690"/>
      <c r="R601" s="1754"/>
    </row>
    <row r="602" spans="1:18" s="1870" customFormat="1" ht="17.25" customHeight="1">
      <c r="A602" s="1743">
        <v>4120</v>
      </c>
      <c r="B602" s="1751" t="s">
        <v>208</v>
      </c>
      <c r="C602" s="1689">
        <v>3500</v>
      </c>
      <c r="D602" s="893">
        <f t="shared" si="88"/>
        <v>3700</v>
      </c>
      <c r="E602" s="1690">
        <f t="shared" si="87"/>
        <v>1958</v>
      </c>
      <c r="F602" s="1666">
        <f t="shared" si="84"/>
        <v>52.91891891891892</v>
      </c>
      <c r="G602" s="1690"/>
      <c r="H602" s="1745"/>
      <c r="I602" s="1746"/>
      <c r="J602" s="1745"/>
      <c r="K602" s="1690"/>
      <c r="L602" s="1746"/>
      <c r="M602" s="1689">
        <v>3700</v>
      </c>
      <c r="N602" s="1690">
        <v>1958</v>
      </c>
      <c r="O602" s="1695">
        <f t="shared" si="86"/>
        <v>52.91891891891892</v>
      </c>
      <c r="P602" s="1690"/>
      <c r="Q602" s="1690"/>
      <c r="R602" s="1754"/>
    </row>
    <row r="603" spans="1:18" s="1870" customFormat="1" ht="24">
      <c r="A603" s="1743">
        <v>4210</v>
      </c>
      <c r="B603" s="1751" t="s">
        <v>114</v>
      </c>
      <c r="C603" s="1689">
        <v>2000</v>
      </c>
      <c r="D603" s="893">
        <f t="shared" si="88"/>
        <v>2000</v>
      </c>
      <c r="E603" s="1690">
        <f t="shared" si="87"/>
        <v>205</v>
      </c>
      <c r="F603" s="1666">
        <f t="shared" si="84"/>
        <v>10.25</v>
      </c>
      <c r="G603" s="1690"/>
      <c r="H603" s="1745"/>
      <c r="I603" s="1746"/>
      <c r="J603" s="1745"/>
      <c r="K603" s="1690"/>
      <c r="L603" s="1746"/>
      <c r="M603" s="1689">
        <v>2000</v>
      </c>
      <c r="N603" s="1690">
        <v>205</v>
      </c>
      <c r="O603" s="1695">
        <f t="shared" si="86"/>
        <v>10.25</v>
      </c>
      <c r="P603" s="1690"/>
      <c r="Q603" s="1690"/>
      <c r="R603" s="1754"/>
    </row>
    <row r="604" spans="1:18" s="1870" customFormat="1" ht="39" customHeight="1">
      <c r="A604" s="1743">
        <v>4240</v>
      </c>
      <c r="B604" s="1751" t="s">
        <v>185</v>
      </c>
      <c r="C604" s="1689">
        <v>2300</v>
      </c>
      <c r="D604" s="893">
        <f t="shared" si="88"/>
        <v>2300</v>
      </c>
      <c r="E604" s="1690">
        <f t="shared" si="87"/>
        <v>0</v>
      </c>
      <c r="F604" s="1666">
        <f t="shared" si="84"/>
        <v>0</v>
      </c>
      <c r="G604" s="1690"/>
      <c r="H604" s="1745"/>
      <c r="I604" s="1746"/>
      <c r="J604" s="1745"/>
      <c r="K604" s="1690"/>
      <c r="L604" s="1746"/>
      <c r="M604" s="1689">
        <v>2300</v>
      </c>
      <c r="N604" s="1690"/>
      <c r="O604" s="1695">
        <f t="shared" si="86"/>
        <v>0</v>
      </c>
      <c r="P604" s="1690"/>
      <c r="Q604" s="1690"/>
      <c r="R604" s="1754"/>
    </row>
    <row r="605" spans="1:18" s="1870" customFormat="1" ht="16.5" customHeight="1" hidden="1">
      <c r="A605" s="1743">
        <v>4260</v>
      </c>
      <c r="B605" s="1751" t="s">
        <v>118</v>
      </c>
      <c r="C605" s="1689"/>
      <c r="D605" s="893">
        <f t="shared" si="88"/>
        <v>0</v>
      </c>
      <c r="E605" s="1690">
        <f t="shared" si="87"/>
        <v>0</v>
      </c>
      <c r="F605" s="1666" t="e">
        <f t="shared" si="84"/>
        <v>#DIV/0!</v>
      </c>
      <c r="G605" s="1690"/>
      <c r="H605" s="1745"/>
      <c r="I605" s="1746"/>
      <c r="J605" s="1745"/>
      <c r="K605" s="1690"/>
      <c r="L605" s="1746"/>
      <c r="M605" s="1689"/>
      <c r="N605" s="1690"/>
      <c r="O605" s="1695" t="e">
        <f t="shared" si="86"/>
        <v>#DIV/0!</v>
      </c>
      <c r="P605" s="1690"/>
      <c r="Q605" s="1690"/>
      <c r="R605" s="1754"/>
    </row>
    <row r="606" spans="1:18" s="1870" customFormat="1" ht="16.5" customHeight="1">
      <c r="A606" s="1743">
        <v>4280</v>
      </c>
      <c r="B606" s="1751" t="s">
        <v>170</v>
      </c>
      <c r="C606" s="1689">
        <v>300</v>
      </c>
      <c r="D606" s="893">
        <f t="shared" si="88"/>
        <v>300</v>
      </c>
      <c r="E606" s="1690">
        <f t="shared" si="87"/>
        <v>0</v>
      </c>
      <c r="F606" s="1666">
        <f t="shared" si="84"/>
        <v>0</v>
      </c>
      <c r="G606" s="1690"/>
      <c r="H606" s="1745"/>
      <c r="I606" s="1746"/>
      <c r="J606" s="1745"/>
      <c r="K606" s="1690"/>
      <c r="L606" s="1746"/>
      <c r="M606" s="1689">
        <v>300</v>
      </c>
      <c r="N606" s="1690"/>
      <c r="O606" s="1695">
        <f t="shared" si="86"/>
        <v>0</v>
      </c>
      <c r="P606" s="1690"/>
      <c r="Q606" s="1690"/>
      <c r="R606" s="1754"/>
    </row>
    <row r="607" spans="1:18" s="1870" customFormat="1" ht="16.5" customHeight="1">
      <c r="A607" s="1743">
        <v>4300</v>
      </c>
      <c r="B607" s="1751" t="s">
        <v>122</v>
      </c>
      <c r="C607" s="1689">
        <v>8600</v>
      </c>
      <c r="D607" s="893">
        <f t="shared" si="88"/>
        <v>6600</v>
      </c>
      <c r="E607" s="1690">
        <f t="shared" si="87"/>
        <v>3237</v>
      </c>
      <c r="F607" s="1666">
        <f t="shared" si="84"/>
        <v>49.04545454545455</v>
      </c>
      <c r="G607" s="1690"/>
      <c r="H607" s="1745"/>
      <c r="I607" s="1746"/>
      <c r="J607" s="1745"/>
      <c r="K607" s="1690"/>
      <c r="L607" s="1746"/>
      <c r="M607" s="1689">
        <v>6600</v>
      </c>
      <c r="N607" s="1690">
        <v>3237</v>
      </c>
      <c r="O607" s="1695">
        <f t="shared" si="86"/>
        <v>49.04545454545455</v>
      </c>
      <c r="P607" s="1690"/>
      <c r="Q607" s="1690"/>
      <c r="R607" s="1754"/>
    </row>
    <row r="608" spans="1:18" s="1870" customFormat="1" ht="24">
      <c r="A608" s="1743">
        <v>4350</v>
      </c>
      <c r="B608" s="1751" t="s">
        <v>326</v>
      </c>
      <c r="C608" s="1689"/>
      <c r="D608" s="893">
        <f t="shared" si="88"/>
        <v>2000</v>
      </c>
      <c r="E608" s="1690">
        <f t="shared" si="87"/>
        <v>758</v>
      </c>
      <c r="F608" s="1666">
        <f t="shared" si="84"/>
        <v>37.9</v>
      </c>
      <c r="G608" s="1690"/>
      <c r="H608" s="1745"/>
      <c r="I608" s="1746"/>
      <c r="J608" s="1745"/>
      <c r="K608" s="1690"/>
      <c r="L608" s="1746"/>
      <c r="M608" s="1689">
        <v>2000</v>
      </c>
      <c r="N608" s="1690">
        <v>758</v>
      </c>
      <c r="O608" s="1695">
        <f t="shared" si="86"/>
        <v>37.9</v>
      </c>
      <c r="P608" s="1690"/>
      <c r="Q608" s="1690"/>
      <c r="R608" s="1754"/>
    </row>
    <row r="609" spans="1:18" s="1870" customFormat="1" ht="16.5" customHeight="1">
      <c r="A609" s="1743">
        <v>4410</v>
      </c>
      <c r="B609" s="1751" t="s">
        <v>96</v>
      </c>
      <c r="C609" s="1689">
        <v>600</v>
      </c>
      <c r="D609" s="893">
        <f t="shared" si="88"/>
        <v>600</v>
      </c>
      <c r="E609" s="1690">
        <f t="shared" si="87"/>
        <v>149</v>
      </c>
      <c r="F609" s="1666">
        <f t="shared" si="84"/>
        <v>24.833333333333332</v>
      </c>
      <c r="G609" s="1690"/>
      <c r="H609" s="1745"/>
      <c r="I609" s="1746"/>
      <c r="J609" s="1745"/>
      <c r="K609" s="1690"/>
      <c r="L609" s="1746"/>
      <c r="M609" s="1689">
        <v>600</v>
      </c>
      <c r="N609" s="1690">
        <v>149</v>
      </c>
      <c r="O609" s="1695">
        <f t="shared" si="86"/>
        <v>24.833333333333332</v>
      </c>
      <c r="P609" s="1690"/>
      <c r="Q609" s="1690"/>
      <c r="R609" s="1754"/>
    </row>
    <row r="610" spans="1:18" s="1870" customFormat="1" ht="15" customHeight="1">
      <c r="A610" s="1743">
        <v>4440</v>
      </c>
      <c r="B610" s="1751" t="s">
        <v>126</v>
      </c>
      <c r="C610" s="1689">
        <v>9000</v>
      </c>
      <c r="D610" s="893">
        <f t="shared" si="88"/>
        <v>9000</v>
      </c>
      <c r="E610" s="1690">
        <f t="shared" si="87"/>
        <v>6750</v>
      </c>
      <c r="F610" s="1666">
        <f t="shared" si="84"/>
        <v>75</v>
      </c>
      <c r="G610" s="1690"/>
      <c r="H610" s="1745"/>
      <c r="I610" s="1746"/>
      <c r="J610" s="1745"/>
      <c r="K610" s="1690"/>
      <c r="L610" s="1746"/>
      <c r="M610" s="1689">
        <v>9000</v>
      </c>
      <c r="N610" s="1690">
        <v>6750</v>
      </c>
      <c r="O610" s="1669">
        <f t="shared" si="86"/>
        <v>75</v>
      </c>
      <c r="P610" s="1690"/>
      <c r="Q610" s="1690"/>
      <c r="R610" s="1754"/>
    </row>
    <row r="611" spans="1:18" s="1980" customFormat="1" ht="30" customHeight="1" hidden="1">
      <c r="A611" s="1783">
        <v>80133</v>
      </c>
      <c r="B611" s="1882" t="s">
        <v>343</v>
      </c>
      <c r="C611" s="886">
        <f>SUM(C612)</f>
        <v>0</v>
      </c>
      <c r="D611" s="908"/>
      <c r="E611" s="908"/>
      <c r="F611" s="1681"/>
      <c r="G611" s="908"/>
      <c r="H611" s="1816"/>
      <c r="I611" s="1741"/>
      <c r="J611" s="1816"/>
      <c r="K611" s="908"/>
      <c r="L611" s="1741"/>
      <c r="M611" s="886"/>
      <c r="N611" s="908"/>
      <c r="O611" s="1688"/>
      <c r="P611" s="908"/>
      <c r="Q611" s="908"/>
      <c r="R611" s="889"/>
    </row>
    <row r="612" spans="1:18" s="1870" customFormat="1" ht="48" hidden="1">
      <c r="A612" s="1743">
        <v>2540</v>
      </c>
      <c r="B612" s="1751" t="s">
        <v>840</v>
      </c>
      <c r="C612" s="1689">
        <v>0</v>
      </c>
      <c r="D612" s="893"/>
      <c r="E612" s="919"/>
      <c r="F612" s="1681"/>
      <c r="G612" s="1690"/>
      <c r="H612" s="1745"/>
      <c r="I612" s="1746"/>
      <c r="J612" s="1745"/>
      <c r="K612" s="1690"/>
      <c r="L612" s="1746"/>
      <c r="M612" s="1689"/>
      <c r="N612" s="1690"/>
      <c r="O612" s="1695"/>
      <c r="P612" s="1690"/>
      <c r="Q612" s="1690"/>
      <c r="R612" s="1754"/>
    </row>
    <row r="613" spans="1:18" s="1870" customFormat="1" ht="26.25" customHeight="1">
      <c r="A613" s="1736">
        <v>80134</v>
      </c>
      <c r="B613" s="1835" t="s">
        <v>344</v>
      </c>
      <c r="C613" s="1738">
        <f>SUM(C614:C627)</f>
        <v>1160800</v>
      </c>
      <c r="D613" s="908">
        <f>G613+J613+P613+M613</f>
        <v>1159060</v>
      </c>
      <c r="E613" s="1680">
        <f>H613+K613+Q613+N613</f>
        <v>538238</v>
      </c>
      <c r="F613" s="1681">
        <f t="shared" si="84"/>
        <v>46.43745794005487</v>
      </c>
      <c r="G613" s="1781"/>
      <c r="H613" s="1777"/>
      <c r="I613" s="1881"/>
      <c r="J613" s="1777"/>
      <c r="K613" s="1781"/>
      <c r="L613" s="1881"/>
      <c r="M613" s="1983">
        <f>SUM(M614:M627)</f>
        <v>1159060</v>
      </c>
      <c r="N613" s="1680">
        <f>SUM(N614:N627)</f>
        <v>538238</v>
      </c>
      <c r="O613" s="1688">
        <f t="shared" si="86"/>
        <v>46.43745794005487</v>
      </c>
      <c r="P613" s="1680"/>
      <c r="Q613" s="1680"/>
      <c r="R613" s="1782"/>
    </row>
    <row r="614" spans="1:18" s="1870" customFormat="1" ht="24">
      <c r="A614" s="1722">
        <v>3020</v>
      </c>
      <c r="B614" s="1751" t="s">
        <v>332</v>
      </c>
      <c r="C614" s="1693">
        <v>4800</v>
      </c>
      <c r="D614" s="932">
        <f aca="true" t="shared" si="89" ref="D614:E635">G614+J614+P614+M614</f>
        <v>2800</v>
      </c>
      <c r="E614" s="1707">
        <f>SUM(H614+K614+N614+Q614)</f>
        <v>768</v>
      </c>
      <c r="F614" s="1691">
        <f t="shared" si="84"/>
        <v>27.42857142857143</v>
      </c>
      <c r="G614" s="1707"/>
      <c r="H614" s="1854"/>
      <c r="I614" s="1849"/>
      <c r="J614" s="1854"/>
      <c r="K614" s="1707"/>
      <c r="L614" s="1849"/>
      <c r="M614" s="1693">
        <f>4800-2000</f>
        <v>2800</v>
      </c>
      <c r="N614" s="1707">
        <v>768</v>
      </c>
      <c r="O614" s="1695">
        <f t="shared" si="86"/>
        <v>27.42857142857143</v>
      </c>
      <c r="P614" s="1707"/>
      <c r="Q614" s="1707"/>
      <c r="R614" s="1856"/>
    </row>
    <row r="615" spans="1:18" s="1870" customFormat="1" ht="28.5" customHeight="1">
      <c r="A615" s="1743">
        <v>4010</v>
      </c>
      <c r="B615" s="1751" t="s">
        <v>104</v>
      </c>
      <c r="C615" s="1689">
        <v>813400</v>
      </c>
      <c r="D615" s="893">
        <f t="shared" si="89"/>
        <v>813400</v>
      </c>
      <c r="E615" s="1690">
        <f aca="true" t="shared" si="90" ref="E615:E627">SUM(H615+K615+N615+Q615)</f>
        <v>339970</v>
      </c>
      <c r="F615" s="1666">
        <f t="shared" si="84"/>
        <v>41.79616424883206</v>
      </c>
      <c r="G615" s="1690"/>
      <c r="H615" s="1745"/>
      <c r="I615" s="1746"/>
      <c r="J615" s="1745"/>
      <c r="K615" s="1690"/>
      <c r="L615" s="1746"/>
      <c r="M615" s="1689">
        <v>813400</v>
      </c>
      <c r="N615" s="1690">
        <v>339970</v>
      </c>
      <c r="O615" s="1695">
        <f t="shared" si="86"/>
        <v>41.79616424883206</v>
      </c>
      <c r="P615" s="1690"/>
      <c r="Q615" s="1690"/>
      <c r="R615" s="1754"/>
    </row>
    <row r="616" spans="1:18" s="1870" customFormat="1" ht="24.75" customHeight="1">
      <c r="A616" s="1743">
        <v>4040</v>
      </c>
      <c r="B616" s="1751" t="s">
        <v>108</v>
      </c>
      <c r="C616" s="1689">
        <v>44300</v>
      </c>
      <c r="D616" s="893">
        <f t="shared" si="89"/>
        <v>40280</v>
      </c>
      <c r="E616" s="1690">
        <f t="shared" si="90"/>
        <v>40280</v>
      </c>
      <c r="F616" s="1666">
        <f t="shared" si="84"/>
        <v>100</v>
      </c>
      <c r="G616" s="1690"/>
      <c r="H616" s="1745"/>
      <c r="I616" s="1746"/>
      <c r="J616" s="1745"/>
      <c r="K616" s="1690"/>
      <c r="L616" s="1746"/>
      <c r="M616" s="1689">
        <v>40280</v>
      </c>
      <c r="N616" s="1690">
        <v>40280</v>
      </c>
      <c r="O616" s="1669">
        <f t="shared" si="86"/>
        <v>100</v>
      </c>
      <c r="P616" s="1690"/>
      <c r="Q616" s="1690"/>
      <c r="R616" s="1754"/>
    </row>
    <row r="617" spans="1:18" s="1870" customFormat="1" ht="23.25" customHeight="1">
      <c r="A617" s="1743">
        <v>4110</v>
      </c>
      <c r="B617" s="1751" t="s">
        <v>110</v>
      </c>
      <c r="C617" s="1689">
        <v>150600</v>
      </c>
      <c r="D617" s="893">
        <f t="shared" si="89"/>
        <v>149900</v>
      </c>
      <c r="E617" s="1690">
        <f t="shared" si="90"/>
        <v>61871</v>
      </c>
      <c r="F617" s="1666">
        <f t="shared" si="84"/>
        <v>41.274849899933294</v>
      </c>
      <c r="G617" s="1690"/>
      <c r="H617" s="1745"/>
      <c r="I617" s="1746"/>
      <c r="J617" s="1745"/>
      <c r="K617" s="1690"/>
      <c r="L617" s="1746"/>
      <c r="M617" s="1689">
        <v>149900</v>
      </c>
      <c r="N617" s="1690">
        <v>61871</v>
      </c>
      <c r="O617" s="1695">
        <f t="shared" si="86"/>
        <v>41.274849899933294</v>
      </c>
      <c r="P617" s="1690"/>
      <c r="Q617" s="1690"/>
      <c r="R617" s="1754"/>
    </row>
    <row r="618" spans="1:18" s="1870" customFormat="1" ht="15" customHeight="1">
      <c r="A618" s="1743">
        <v>4120</v>
      </c>
      <c r="B618" s="1751" t="s">
        <v>208</v>
      </c>
      <c r="C618" s="1689">
        <v>21000</v>
      </c>
      <c r="D618" s="893">
        <f t="shared" si="89"/>
        <v>20900</v>
      </c>
      <c r="E618" s="1690">
        <f t="shared" si="90"/>
        <v>8362</v>
      </c>
      <c r="F618" s="1666">
        <f t="shared" si="84"/>
        <v>40.00956937799043</v>
      </c>
      <c r="G618" s="1690"/>
      <c r="H618" s="1745"/>
      <c r="I618" s="1746"/>
      <c r="J618" s="1745"/>
      <c r="K618" s="1690"/>
      <c r="L618" s="1746"/>
      <c r="M618" s="1689">
        <v>20900</v>
      </c>
      <c r="N618" s="1690">
        <v>8362</v>
      </c>
      <c r="O618" s="1695">
        <f t="shared" si="86"/>
        <v>40.00956937799043</v>
      </c>
      <c r="P618" s="1690"/>
      <c r="Q618" s="1690"/>
      <c r="R618" s="1754"/>
    </row>
    <row r="619" spans="1:18" s="1870" customFormat="1" ht="24.75" customHeight="1">
      <c r="A619" s="1743">
        <v>4210</v>
      </c>
      <c r="B619" s="1751" t="s">
        <v>114</v>
      </c>
      <c r="C619" s="1689">
        <v>8000</v>
      </c>
      <c r="D619" s="893">
        <f t="shared" si="89"/>
        <v>10000</v>
      </c>
      <c r="E619" s="1690">
        <f t="shared" si="90"/>
        <v>7473</v>
      </c>
      <c r="F619" s="1666">
        <f t="shared" si="84"/>
        <v>74.72999999999999</v>
      </c>
      <c r="G619" s="1690"/>
      <c r="H619" s="1745"/>
      <c r="I619" s="1746"/>
      <c r="J619" s="1745"/>
      <c r="K619" s="1690"/>
      <c r="L619" s="1746"/>
      <c r="M619" s="1689">
        <f>8000+2000</f>
        <v>10000</v>
      </c>
      <c r="N619" s="1690">
        <v>7473</v>
      </c>
      <c r="O619" s="1695">
        <f t="shared" si="86"/>
        <v>74.72999999999999</v>
      </c>
      <c r="P619" s="1690"/>
      <c r="Q619" s="1690"/>
      <c r="R619" s="1754"/>
    </row>
    <row r="620" spans="1:18" s="1870" customFormat="1" ht="37.5" customHeight="1">
      <c r="A620" s="1743">
        <v>4240</v>
      </c>
      <c r="B620" s="1751" t="s">
        <v>185</v>
      </c>
      <c r="C620" s="1689">
        <v>3500</v>
      </c>
      <c r="D620" s="893">
        <f t="shared" si="89"/>
        <v>3500</v>
      </c>
      <c r="E620" s="893">
        <f t="shared" si="89"/>
        <v>2002</v>
      </c>
      <c r="F620" s="1666">
        <f t="shared" si="84"/>
        <v>57.199999999999996</v>
      </c>
      <c r="G620" s="1690"/>
      <c r="H620" s="1745"/>
      <c r="I620" s="1746"/>
      <c r="J620" s="1745"/>
      <c r="K620" s="1690"/>
      <c r="L620" s="1746"/>
      <c r="M620" s="1689">
        <v>3500</v>
      </c>
      <c r="N620" s="1690">
        <v>2002</v>
      </c>
      <c r="O620" s="1695">
        <f t="shared" si="86"/>
        <v>57.199999999999996</v>
      </c>
      <c r="P620" s="1690"/>
      <c r="Q620" s="1690"/>
      <c r="R620" s="1754"/>
    </row>
    <row r="621" spans="1:18" s="1870" customFormat="1" ht="15.75" customHeight="1">
      <c r="A621" s="1743">
        <v>4260</v>
      </c>
      <c r="B621" s="1751" t="s">
        <v>118</v>
      </c>
      <c r="C621" s="1689">
        <v>44600</v>
      </c>
      <c r="D621" s="893">
        <f t="shared" si="89"/>
        <v>44600</v>
      </c>
      <c r="E621" s="893">
        <f t="shared" si="89"/>
        <v>31338</v>
      </c>
      <c r="F621" s="1666">
        <f t="shared" si="84"/>
        <v>70.26457399103138</v>
      </c>
      <c r="G621" s="1690"/>
      <c r="H621" s="1745"/>
      <c r="I621" s="1746"/>
      <c r="J621" s="1745"/>
      <c r="K621" s="1690"/>
      <c r="L621" s="1746"/>
      <c r="M621" s="1689">
        <v>44600</v>
      </c>
      <c r="N621" s="1690">
        <v>31338</v>
      </c>
      <c r="O621" s="1695">
        <f t="shared" si="86"/>
        <v>70.26457399103138</v>
      </c>
      <c r="P621" s="1690"/>
      <c r="Q621" s="1690"/>
      <c r="R621" s="1754"/>
    </row>
    <row r="622" spans="1:18" s="1870" customFormat="1" ht="19.5" customHeight="1">
      <c r="A622" s="1743">
        <v>4270</v>
      </c>
      <c r="B622" s="1751" t="s">
        <v>120</v>
      </c>
      <c r="C622" s="1689">
        <v>700</v>
      </c>
      <c r="D622" s="893">
        <f t="shared" si="89"/>
        <v>700</v>
      </c>
      <c r="E622" s="893">
        <f t="shared" si="89"/>
        <v>0</v>
      </c>
      <c r="F622" s="1666">
        <f t="shared" si="84"/>
        <v>0</v>
      </c>
      <c r="G622" s="1690"/>
      <c r="H622" s="1745"/>
      <c r="I622" s="1746"/>
      <c r="J622" s="1745"/>
      <c r="K622" s="1690"/>
      <c r="L622" s="1746"/>
      <c r="M622" s="1689">
        <v>700</v>
      </c>
      <c r="N622" s="1690"/>
      <c r="O622" s="1695">
        <f t="shared" si="86"/>
        <v>0</v>
      </c>
      <c r="P622" s="1690"/>
      <c r="Q622" s="1690"/>
      <c r="R622" s="1754"/>
    </row>
    <row r="623" spans="1:18" s="1870" customFormat="1" ht="21.75" customHeight="1">
      <c r="A623" s="1743">
        <v>4280</v>
      </c>
      <c r="B623" s="1751" t="s">
        <v>170</v>
      </c>
      <c r="C623" s="1689">
        <v>800</v>
      </c>
      <c r="D623" s="893">
        <f t="shared" si="89"/>
        <v>1200</v>
      </c>
      <c r="E623" s="893">
        <f t="shared" si="89"/>
        <v>807</v>
      </c>
      <c r="F623" s="1666">
        <f t="shared" si="84"/>
        <v>67.25</v>
      </c>
      <c r="G623" s="1690"/>
      <c r="H623" s="1745"/>
      <c r="I623" s="1746"/>
      <c r="J623" s="1745"/>
      <c r="K623" s="1690"/>
      <c r="L623" s="1746"/>
      <c r="M623" s="1689">
        <v>1200</v>
      </c>
      <c r="N623" s="1690">
        <v>807</v>
      </c>
      <c r="O623" s="1695">
        <f t="shared" si="86"/>
        <v>67.25</v>
      </c>
      <c r="P623" s="1690"/>
      <c r="Q623" s="1690"/>
      <c r="R623" s="1754"/>
    </row>
    <row r="624" spans="1:18" s="1870" customFormat="1" ht="16.5" customHeight="1">
      <c r="A624" s="1743">
        <v>4300</v>
      </c>
      <c r="B624" s="1751" t="s">
        <v>122</v>
      </c>
      <c r="C624" s="1689">
        <v>32000</v>
      </c>
      <c r="D624" s="893">
        <f t="shared" si="89"/>
        <v>33500</v>
      </c>
      <c r="E624" s="1690">
        <f>SUM(H624+K624+N624+Q624)</f>
        <v>17634</v>
      </c>
      <c r="F624" s="1666">
        <f>E624/D624*100</f>
        <v>52.63880597014925</v>
      </c>
      <c r="G624" s="1690"/>
      <c r="H624" s="1745"/>
      <c r="I624" s="1746"/>
      <c r="J624" s="1745"/>
      <c r="K624" s="1690"/>
      <c r="L624" s="1746"/>
      <c r="M624" s="1689">
        <v>33500</v>
      </c>
      <c r="N624" s="1690">
        <v>17634</v>
      </c>
      <c r="O624" s="1695">
        <f>N624/M624*100</f>
        <v>52.63880597014925</v>
      </c>
      <c r="P624" s="1690"/>
      <c r="Q624" s="1690"/>
      <c r="R624" s="1754"/>
    </row>
    <row r="625" spans="1:18" s="1870" customFormat="1" ht="24">
      <c r="A625" s="1743">
        <v>4350</v>
      </c>
      <c r="B625" s="1751" t="s">
        <v>326</v>
      </c>
      <c r="C625" s="1689"/>
      <c r="D625" s="893">
        <f t="shared" si="89"/>
        <v>1180</v>
      </c>
      <c r="E625" s="1690">
        <f>SUM(H625+K625+N625+Q625)</f>
        <v>28</v>
      </c>
      <c r="F625" s="1666">
        <f>E625/D625*100</f>
        <v>2.3728813559322033</v>
      </c>
      <c r="G625" s="1690"/>
      <c r="H625" s="1745"/>
      <c r="I625" s="1746"/>
      <c r="J625" s="1745"/>
      <c r="K625" s="1690"/>
      <c r="L625" s="1746"/>
      <c r="M625" s="1689">
        <v>1180</v>
      </c>
      <c r="N625" s="1690">
        <v>28</v>
      </c>
      <c r="O625" s="1695">
        <f>N625/M625*100</f>
        <v>2.3728813559322033</v>
      </c>
      <c r="P625" s="1690"/>
      <c r="Q625" s="1690"/>
      <c r="R625" s="1754"/>
    </row>
    <row r="626" spans="1:18" s="1870" customFormat="1" ht="16.5" customHeight="1">
      <c r="A626" s="1743">
        <v>4410</v>
      </c>
      <c r="B626" s="1751" t="s">
        <v>96</v>
      </c>
      <c r="C626" s="1689">
        <v>500</v>
      </c>
      <c r="D626" s="893">
        <f t="shared" si="89"/>
        <v>500</v>
      </c>
      <c r="E626" s="1690">
        <f>SUM(H626+K626+N626+Q626)</f>
        <v>240</v>
      </c>
      <c r="F626" s="1666">
        <f>E626/D626*100</f>
        <v>48</v>
      </c>
      <c r="G626" s="1690"/>
      <c r="H626" s="1745"/>
      <c r="I626" s="1746"/>
      <c r="J626" s="1745"/>
      <c r="K626" s="1690"/>
      <c r="L626" s="1746"/>
      <c r="M626" s="1689">
        <v>500</v>
      </c>
      <c r="N626" s="1690">
        <v>240</v>
      </c>
      <c r="O626" s="1695">
        <f>N626/M626*100</f>
        <v>48</v>
      </c>
      <c r="P626" s="1690"/>
      <c r="Q626" s="1690"/>
      <c r="R626" s="1754"/>
    </row>
    <row r="627" spans="1:18" s="1870" customFormat="1" ht="13.5" customHeight="1">
      <c r="A627" s="1798">
        <v>4440</v>
      </c>
      <c r="B627" s="1799" t="s">
        <v>126</v>
      </c>
      <c r="C627" s="1800">
        <v>36600</v>
      </c>
      <c r="D627" s="925">
        <f t="shared" si="89"/>
        <v>36600</v>
      </c>
      <c r="E627" s="1791">
        <f t="shared" si="90"/>
        <v>27465</v>
      </c>
      <c r="F627" s="1719">
        <f t="shared" si="84"/>
        <v>75.04098360655738</v>
      </c>
      <c r="G627" s="1791"/>
      <c r="H627" s="1801"/>
      <c r="I627" s="1857"/>
      <c r="J627" s="1801"/>
      <c r="K627" s="1791"/>
      <c r="L627" s="1857"/>
      <c r="M627" s="1800">
        <v>36600</v>
      </c>
      <c r="N627" s="1791">
        <v>27465</v>
      </c>
      <c r="O627" s="1974">
        <f t="shared" si="86"/>
        <v>75.04098360655738</v>
      </c>
      <c r="P627" s="1791"/>
      <c r="Q627" s="1791"/>
      <c r="R627" s="1845"/>
    </row>
    <row r="628" spans="1:18" s="1870" customFormat="1" ht="60">
      <c r="A628" s="1736">
        <v>80140</v>
      </c>
      <c r="B628" s="1835" t="s">
        <v>345</v>
      </c>
      <c r="C628" s="1738">
        <f>SUM(C629:C643)</f>
        <v>3000000</v>
      </c>
      <c r="D628" s="908">
        <f t="shared" si="89"/>
        <v>2964000</v>
      </c>
      <c r="E628" s="1680">
        <f>H628+K628+Q628+N628</f>
        <v>1604816</v>
      </c>
      <c r="F628" s="1681">
        <f t="shared" si="84"/>
        <v>54.14358974358975</v>
      </c>
      <c r="G628" s="1781"/>
      <c r="H628" s="1777"/>
      <c r="I628" s="1881"/>
      <c r="J628" s="1777"/>
      <c r="K628" s="1781"/>
      <c r="L628" s="1881"/>
      <c r="M628" s="1738">
        <f>SUM(M629:M643)</f>
        <v>2964000</v>
      </c>
      <c r="N628" s="1680">
        <f>SUM(N629:N643)</f>
        <v>1604816</v>
      </c>
      <c r="O628" s="1688">
        <f t="shared" si="86"/>
        <v>54.14358974358975</v>
      </c>
      <c r="P628" s="1680"/>
      <c r="Q628" s="1680"/>
      <c r="R628" s="1782"/>
    </row>
    <row r="629" spans="1:18" s="1870" customFormat="1" ht="24">
      <c r="A629" s="1743">
        <v>3020</v>
      </c>
      <c r="B629" s="1751" t="s">
        <v>332</v>
      </c>
      <c r="C629" s="1689">
        <v>8000</v>
      </c>
      <c r="D629" s="893">
        <f t="shared" si="89"/>
        <v>4510</v>
      </c>
      <c r="E629" s="1690">
        <f aca="true" t="shared" si="91" ref="E629:E643">SUM(H629+K629+N629+Q629)</f>
        <v>617</v>
      </c>
      <c r="F629" s="1666">
        <f t="shared" si="84"/>
        <v>13.680709534368072</v>
      </c>
      <c r="G629" s="1690"/>
      <c r="H629" s="1745"/>
      <c r="I629" s="1746"/>
      <c r="J629" s="1745"/>
      <c r="K629" s="1690"/>
      <c r="L629" s="1746"/>
      <c r="M629" s="1689">
        <f>8000-3490</f>
        <v>4510</v>
      </c>
      <c r="N629" s="1690">
        <v>617</v>
      </c>
      <c r="O629" s="1695">
        <f t="shared" si="86"/>
        <v>13.680709534368072</v>
      </c>
      <c r="P629" s="1690"/>
      <c r="Q629" s="1690"/>
      <c r="R629" s="1754"/>
    </row>
    <row r="630" spans="1:18" s="1870" customFormat="1" ht="24">
      <c r="A630" s="1743">
        <v>4010</v>
      </c>
      <c r="B630" s="1751" t="s">
        <v>104</v>
      </c>
      <c r="C630" s="1689">
        <v>1990000</v>
      </c>
      <c r="D630" s="893">
        <f t="shared" si="89"/>
        <v>1955110</v>
      </c>
      <c r="E630" s="1690">
        <f t="shared" si="91"/>
        <v>954325</v>
      </c>
      <c r="F630" s="1666">
        <f t="shared" si="84"/>
        <v>48.8118315593496</v>
      </c>
      <c r="G630" s="1690"/>
      <c r="H630" s="1745"/>
      <c r="I630" s="1746"/>
      <c r="J630" s="1745"/>
      <c r="K630" s="1690"/>
      <c r="L630" s="1746"/>
      <c r="M630" s="1689">
        <v>1955110</v>
      </c>
      <c r="N630" s="1690">
        <v>954325</v>
      </c>
      <c r="O630" s="1695">
        <f t="shared" si="86"/>
        <v>48.8118315593496</v>
      </c>
      <c r="P630" s="1690"/>
      <c r="Q630" s="1690"/>
      <c r="R630" s="1754"/>
    </row>
    <row r="631" spans="1:18" s="1870" customFormat="1" ht="24">
      <c r="A631" s="1743">
        <v>4040</v>
      </c>
      <c r="B631" s="1751" t="s">
        <v>108</v>
      </c>
      <c r="C631" s="1689">
        <v>176600</v>
      </c>
      <c r="D631" s="893">
        <f t="shared" si="89"/>
        <v>176600</v>
      </c>
      <c r="E631" s="1690">
        <f t="shared" si="91"/>
        <v>161707</v>
      </c>
      <c r="F631" s="1666">
        <f t="shared" si="84"/>
        <v>91.56681766704416</v>
      </c>
      <c r="G631" s="1690"/>
      <c r="H631" s="1745"/>
      <c r="I631" s="1746"/>
      <c r="J631" s="1745"/>
      <c r="K631" s="1690"/>
      <c r="L631" s="1746"/>
      <c r="M631" s="1689">
        <v>176600</v>
      </c>
      <c r="N631" s="1690">
        <v>161707</v>
      </c>
      <c r="O631" s="1669">
        <f t="shared" si="86"/>
        <v>91.56681766704416</v>
      </c>
      <c r="P631" s="1690"/>
      <c r="Q631" s="1690"/>
      <c r="R631" s="1754"/>
    </row>
    <row r="632" spans="1:18" s="1870" customFormat="1" ht="24">
      <c r="A632" s="1743">
        <v>4110</v>
      </c>
      <c r="B632" s="1751" t="s">
        <v>110</v>
      </c>
      <c r="C632" s="1689">
        <v>380000</v>
      </c>
      <c r="D632" s="893">
        <f t="shared" si="89"/>
        <v>376400</v>
      </c>
      <c r="E632" s="1690">
        <f t="shared" si="91"/>
        <v>184540</v>
      </c>
      <c r="F632" s="1666">
        <f t="shared" si="84"/>
        <v>49.02763018065887</v>
      </c>
      <c r="G632" s="1690"/>
      <c r="H632" s="1745"/>
      <c r="I632" s="1746"/>
      <c r="J632" s="1745"/>
      <c r="K632" s="1690"/>
      <c r="L632" s="1746"/>
      <c r="M632" s="1689">
        <v>376400</v>
      </c>
      <c r="N632" s="1690">
        <v>184540</v>
      </c>
      <c r="O632" s="1695">
        <f t="shared" si="86"/>
        <v>49.02763018065887</v>
      </c>
      <c r="P632" s="1690"/>
      <c r="Q632" s="1690"/>
      <c r="R632" s="1754"/>
    </row>
    <row r="633" spans="1:18" s="1870" customFormat="1" ht="12.75">
      <c r="A633" s="1743">
        <v>4120</v>
      </c>
      <c r="B633" s="1751" t="s">
        <v>208</v>
      </c>
      <c r="C633" s="1689">
        <v>50000</v>
      </c>
      <c r="D633" s="893">
        <f t="shared" si="89"/>
        <v>50000</v>
      </c>
      <c r="E633" s="1690">
        <f t="shared" si="91"/>
        <v>26998</v>
      </c>
      <c r="F633" s="1666">
        <f aca="true" t="shared" si="92" ref="F633:F696">E633/D633*100</f>
        <v>53.996</v>
      </c>
      <c r="G633" s="1690"/>
      <c r="H633" s="1745"/>
      <c r="I633" s="1746"/>
      <c r="J633" s="1745"/>
      <c r="K633" s="1690"/>
      <c r="L633" s="1746"/>
      <c r="M633" s="1689">
        <v>50000</v>
      </c>
      <c r="N633" s="1690">
        <v>26998</v>
      </c>
      <c r="O633" s="1695">
        <f t="shared" si="86"/>
        <v>53.996</v>
      </c>
      <c r="P633" s="1690"/>
      <c r="Q633" s="1690"/>
      <c r="R633" s="1754"/>
    </row>
    <row r="634" spans="1:18" s="1870" customFormat="1" ht="24">
      <c r="A634" s="1743">
        <v>4210</v>
      </c>
      <c r="B634" s="1751" t="s">
        <v>114</v>
      </c>
      <c r="C634" s="1689">
        <v>30000</v>
      </c>
      <c r="D634" s="893">
        <f t="shared" si="89"/>
        <v>41600</v>
      </c>
      <c r="E634" s="1690">
        <f t="shared" si="91"/>
        <v>29171</v>
      </c>
      <c r="F634" s="1666">
        <f t="shared" si="92"/>
        <v>70.12259615384615</v>
      </c>
      <c r="G634" s="1690"/>
      <c r="H634" s="1745"/>
      <c r="I634" s="1746"/>
      <c r="J634" s="1745"/>
      <c r="K634" s="1690"/>
      <c r="L634" s="1746"/>
      <c r="M634" s="1689">
        <f>38000+3600</f>
        <v>41600</v>
      </c>
      <c r="N634" s="1690">
        <v>29171</v>
      </c>
      <c r="O634" s="1695">
        <f t="shared" si="86"/>
        <v>70.12259615384615</v>
      </c>
      <c r="P634" s="1690"/>
      <c r="Q634" s="1690"/>
      <c r="R634" s="1754"/>
    </row>
    <row r="635" spans="1:18" s="1870" customFormat="1" ht="36">
      <c r="A635" s="1743">
        <v>4240</v>
      </c>
      <c r="B635" s="1751" t="s">
        <v>185</v>
      </c>
      <c r="C635" s="1689">
        <v>10000</v>
      </c>
      <c r="D635" s="893">
        <f t="shared" si="89"/>
        <v>10000</v>
      </c>
      <c r="E635" s="1690">
        <f t="shared" si="91"/>
        <v>25</v>
      </c>
      <c r="F635" s="1666">
        <f t="shared" si="92"/>
        <v>0.25</v>
      </c>
      <c r="G635" s="1690"/>
      <c r="H635" s="1745"/>
      <c r="I635" s="1746"/>
      <c r="J635" s="1745"/>
      <c r="K635" s="1690"/>
      <c r="L635" s="1746"/>
      <c r="M635" s="1689">
        <f>10000</f>
        <v>10000</v>
      </c>
      <c r="N635" s="1690">
        <v>25</v>
      </c>
      <c r="O635" s="1695">
        <f t="shared" si="86"/>
        <v>0.25</v>
      </c>
      <c r="P635" s="1690"/>
      <c r="Q635" s="1690"/>
      <c r="R635" s="1754"/>
    </row>
    <row r="636" spans="1:18" s="1870" customFormat="1" ht="14.25" customHeight="1">
      <c r="A636" s="1743">
        <v>4260</v>
      </c>
      <c r="B636" s="1751" t="s">
        <v>118</v>
      </c>
      <c r="C636" s="1689">
        <v>190000</v>
      </c>
      <c r="D636" s="893">
        <f aca="true" t="shared" si="93" ref="D636:E674">G636+J636+P636+M636</f>
        <v>159900</v>
      </c>
      <c r="E636" s="1690">
        <f t="shared" si="91"/>
        <v>110823</v>
      </c>
      <c r="F636" s="1666">
        <f t="shared" si="92"/>
        <v>69.3076923076923</v>
      </c>
      <c r="G636" s="1690"/>
      <c r="H636" s="1745"/>
      <c r="I636" s="1746"/>
      <c r="J636" s="1745"/>
      <c r="K636" s="1690"/>
      <c r="L636" s="1746"/>
      <c r="M636" s="1689">
        <v>159900</v>
      </c>
      <c r="N636" s="1690">
        <v>110823</v>
      </c>
      <c r="O636" s="1695">
        <f t="shared" si="86"/>
        <v>69.3076923076923</v>
      </c>
      <c r="P636" s="1690"/>
      <c r="Q636" s="1690"/>
      <c r="R636" s="1754"/>
    </row>
    <row r="637" spans="1:18" s="1870" customFormat="1" ht="14.25" customHeight="1">
      <c r="A637" s="1743">
        <v>4270</v>
      </c>
      <c r="B637" s="1751" t="s">
        <v>120</v>
      </c>
      <c r="C637" s="1689">
        <v>5000</v>
      </c>
      <c r="D637" s="893">
        <f t="shared" si="93"/>
        <v>7000</v>
      </c>
      <c r="E637" s="1690">
        <f t="shared" si="91"/>
        <v>4750</v>
      </c>
      <c r="F637" s="1666">
        <f t="shared" si="92"/>
        <v>67.85714285714286</v>
      </c>
      <c r="G637" s="1690"/>
      <c r="H637" s="1745"/>
      <c r="I637" s="1746"/>
      <c r="J637" s="1745"/>
      <c r="K637" s="1690"/>
      <c r="L637" s="1746"/>
      <c r="M637" s="1689">
        <f>5000+2000</f>
        <v>7000</v>
      </c>
      <c r="N637" s="1690">
        <v>4750</v>
      </c>
      <c r="O637" s="1695">
        <f t="shared" si="86"/>
        <v>67.85714285714286</v>
      </c>
      <c r="P637" s="1690"/>
      <c r="Q637" s="1690"/>
      <c r="R637" s="1754"/>
    </row>
    <row r="638" spans="1:18" s="1870" customFormat="1" ht="14.25" customHeight="1">
      <c r="A638" s="1743">
        <v>4280</v>
      </c>
      <c r="B638" s="1751" t="s">
        <v>170</v>
      </c>
      <c r="C638" s="1689">
        <v>1600</v>
      </c>
      <c r="D638" s="893">
        <f t="shared" si="93"/>
        <v>1600</v>
      </c>
      <c r="E638" s="1690">
        <f t="shared" si="91"/>
        <v>459</v>
      </c>
      <c r="F638" s="1666">
        <f t="shared" si="92"/>
        <v>28.6875</v>
      </c>
      <c r="G638" s="1690"/>
      <c r="H638" s="1745"/>
      <c r="I638" s="1746"/>
      <c r="J638" s="1745"/>
      <c r="K638" s="1690"/>
      <c r="L638" s="1746"/>
      <c r="M638" s="1689">
        <v>1600</v>
      </c>
      <c r="N638" s="1690">
        <v>459</v>
      </c>
      <c r="O638" s="1695">
        <f t="shared" si="86"/>
        <v>28.6875</v>
      </c>
      <c r="P638" s="1690"/>
      <c r="Q638" s="1690"/>
      <c r="R638" s="1754"/>
    </row>
    <row r="639" spans="1:18" s="1870" customFormat="1" ht="14.25" customHeight="1">
      <c r="A639" s="1743">
        <v>4300</v>
      </c>
      <c r="B639" s="1751" t="s">
        <v>122</v>
      </c>
      <c r="C639" s="1689">
        <v>40000</v>
      </c>
      <c r="D639" s="893">
        <f t="shared" si="93"/>
        <v>37090</v>
      </c>
      <c r="E639" s="1690">
        <f t="shared" si="91"/>
        <v>22814</v>
      </c>
      <c r="F639" s="1666">
        <f t="shared" si="92"/>
        <v>61.50984092747371</v>
      </c>
      <c r="G639" s="1690"/>
      <c r="H639" s="1745"/>
      <c r="I639" s="1746"/>
      <c r="J639" s="1745"/>
      <c r="K639" s="1690"/>
      <c r="L639" s="1746"/>
      <c r="M639" s="1689">
        <f>35090+2000</f>
        <v>37090</v>
      </c>
      <c r="N639" s="1690">
        <v>22814</v>
      </c>
      <c r="O639" s="1695">
        <f t="shared" si="86"/>
        <v>61.50984092747371</v>
      </c>
      <c r="P639" s="1690"/>
      <c r="Q639" s="1690"/>
      <c r="R639" s="1754"/>
    </row>
    <row r="640" spans="1:18" s="1870" customFormat="1" ht="24">
      <c r="A640" s="1743">
        <v>4350</v>
      </c>
      <c r="B640" s="1751" t="s">
        <v>326</v>
      </c>
      <c r="C640" s="1689"/>
      <c r="D640" s="893">
        <f t="shared" si="93"/>
        <v>25390</v>
      </c>
      <c r="E640" s="1690">
        <f t="shared" si="91"/>
        <v>12083</v>
      </c>
      <c r="F640" s="1666">
        <f t="shared" si="92"/>
        <v>47.589602205592755</v>
      </c>
      <c r="G640" s="1690"/>
      <c r="H640" s="1745"/>
      <c r="I640" s="1746"/>
      <c r="J640" s="1745"/>
      <c r="K640" s="1690"/>
      <c r="L640" s="1746"/>
      <c r="M640" s="1689">
        <f>21900+3490</f>
        <v>25390</v>
      </c>
      <c r="N640" s="1690">
        <v>12083</v>
      </c>
      <c r="O640" s="1695">
        <f t="shared" si="86"/>
        <v>47.589602205592755</v>
      </c>
      <c r="P640" s="1690"/>
      <c r="Q640" s="1690"/>
      <c r="R640" s="1754"/>
    </row>
    <row r="641" spans="1:18" s="1870" customFormat="1" ht="14.25" customHeight="1">
      <c r="A641" s="1743">
        <v>4410</v>
      </c>
      <c r="B641" s="1751" t="s">
        <v>96</v>
      </c>
      <c r="C641" s="1689">
        <v>1300</v>
      </c>
      <c r="D641" s="893">
        <f t="shared" si="93"/>
        <v>1300</v>
      </c>
      <c r="E641" s="1690">
        <f t="shared" si="91"/>
        <v>1035</v>
      </c>
      <c r="F641" s="1666">
        <f t="shared" si="92"/>
        <v>79.61538461538461</v>
      </c>
      <c r="G641" s="1690"/>
      <c r="H641" s="1745"/>
      <c r="I641" s="1746"/>
      <c r="J641" s="1745"/>
      <c r="K641" s="1690"/>
      <c r="L641" s="1746"/>
      <c r="M641" s="1689">
        <v>1300</v>
      </c>
      <c r="N641" s="1690">
        <v>1035</v>
      </c>
      <c r="O641" s="1695">
        <f t="shared" si="86"/>
        <v>79.61538461538461</v>
      </c>
      <c r="P641" s="1690"/>
      <c r="Q641" s="1690"/>
      <c r="R641" s="1754"/>
    </row>
    <row r="642" spans="1:18" s="1870" customFormat="1" ht="14.25" customHeight="1" hidden="1">
      <c r="A642" s="1743">
        <v>4430</v>
      </c>
      <c r="B642" s="1751" t="s">
        <v>124</v>
      </c>
      <c r="C642" s="1689"/>
      <c r="D642" s="893">
        <f t="shared" si="93"/>
        <v>0</v>
      </c>
      <c r="E642" s="1690">
        <f t="shared" si="91"/>
        <v>0</v>
      </c>
      <c r="F642" s="1666" t="e">
        <f t="shared" si="92"/>
        <v>#DIV/0!</v>
      </c>
      <c r="G642" s="1690"/>
      <c r="H642" s="1745"/>
      <c r="I642" s="1746"/>
      <c r="J642" s="1745"/>
      <c r="K642" s="1690"/>
      <c r="L642" s="1746"/>
      <c r="M642" s="1689"/>
      <c r="N642" s="1690"/>
      <c r="O642" s="1695" t="e">
        <f t="shared" si="86"/>
        <v>#DIV/0!</v>
      </c>
      <c r="P642" s="1690"/>
      <c r="Q642" s="1690"/>
      <c r="R642" s="1754"/>
    </row>
    <row r="643" spans="1:18" s="1870" customFormat="1" ht="14.25" customHeight="1">
      <c r="A643" s="1743">
        <v>4440</v>
      </c>
      <c r="B643" s="1751" t="s">
        <v>126</v>
      </c>
      <c r="C643" s="1689">
        <v>117500</v>
      </c>
      <c r="D643" s="893">
        <f t="shared" si="93"/>
        <v>117500</v>
      </c>
      <c r="E643" s="1690">
        <f t="shared" si="91"/>
        <v>95469</v>
      </c>
      <c r="F643" s="1666">
        <f t="shared" si="92"/>
        <v>81.25021276595744</v>
      </c>
      <c r="G643" s="1690"/>
      <c r="H643" s="1745"/>
      <c r="I643" s="1746"/>
      <c r="J643" s="1745"/>
      <c r="K643" s="1690"/>
      <c r="L643" s="1746"/>
      <c r="M643" s="1689">
        <v>117500</v>
      </c>
      <c r="N643" s="1690">
        <v>95469</v>
      </c>
      <c r="O643" s="1695">
        <f t="shared" si="86"/>
        <v>81.25021276595744</v>
      </c>
      <c r="P643" s="1690"/>
      <c r="Q643" s="1690"/>
      <c r="R643" s="1754"/>
    </row>
    <row r="644" spans="1:18" s="1980" customFormat="1" ht="15" customHeight="1">
      <c r="A644" s="1783">
        <v>80145</v>
      </c>
      <c r="B644" s="1882" t="s">
        <v>346</v>
      </c>
      <c r="C644" s="886">
        <f>SUM(C646)</f>
        <v>14000</v>
      </c>
      <c r="D644" s="908">
        <f t="shared" si="93"/>
        <v>14000</v>
      </c>
      <c r="E644" s="908">
        <f>H644+K644+Q644+N644</f>
        <v>300</v>
      </c>
      <c r="F644" s="1681">
        <f>E644/D644*100</f>
        <v>2.142857142857143</v>
      </c>
      <c r="G644" s="1984">
        <f>SUM(G645:G646)</f>
        <v>7000</v>
      </c>
      <c r="H644" s="908">
        <f>SUM(H645:H646)</f>
        <v>200</v>
      </c>
      <c r="I644" s="1776">
        <f>H644/G644*100</f>
        <v>2.857142857142857</v>
      </c>
      <c r="J644" s="1816"/>
      <c r="K644" s="908"/>
      <c r="L644" s="1741"/>
      <c r="M644" s="886">
        <f>SUM(M645:M646)</f>
        <v>7000</v>
      </c>
      <c r="N644" s="908">
        <f>SUM(N645:N646)</f>
        <v>100</v>
      </c>
      <c r="O644" s="1688">
        <f>N644/M644*100</f>
        <v>1.4285714285714286</v>
      </c>
      <c r="P644" s="908"/>
      <c r="Q644" s="908"/>
      <c r="R644" s="889"/>
    </row>
    <row r="645" spans="1:18" s="1585" customFormat="1" ht="24">
      <c r="A645" s="1846">
        <v>4170</v>
      </c>
      <c r="B645" s="1847" t="s">
        <v>169</v>
      </c>
      <c r="C645" s="927"/>
      <c r="D645" s="932">
        <f t="shared" si="93"/>
        <v>14000</v>
      </c>
      <c r="E645" s="1707">
        <f>SUM(H645+K645+N645+Q645)</f>
        <v>300</v>
      </c>
      <c r="F645" s="1691">
        <f>E645/D645*100</f>
        <v>2.142857142857143</v>
      </c>
      <c r="G645" s="927">
        <v>7000</v>
      </c>
      <c r="H645" s="1848">
        <v>200</v>
      </c>
      <c r="I645" s="1710">
        <f>H645/G645*100</f>
        <v>2.857142857142857</v>
      </c>
      <c r="J645" s="1848"/>
      <c r="K645" s="932"/>
      <c r="L645" s="1849"/>
      <c r="M645" s="927">
        <v>7000</v>
      </c>
      <c r="N645" s="932">
        <v>100</v>
      </c>
      <c r="O645" s="1674">
        <f>N645/M645*100</f>
        <v>1.4285714285714286</v>
      </c>
      <c r="P645" s="932"/>
      <c r="Q645" s="932"/>
      <c r="R645" s="950"/>
    </row>
    <row r="646" spans="1:18" s="1870" customFormat="1" ht="14.25" customHeight="1">
      <c r="A646" s="1798">
        <v>4300</v>
      </c>
      <c r="B646" s="1799" t="s">
        <v>122</v>
      </c>
      <c r="C646" s="1800">
        <v>14000</v>
      </c>
      <c r="D646" s="925">
        <f t="shared" si="93"/>
        <v>0</v>
      </c>
      <c r="E646" s="1791">
        <f>SUM(H646+K646+N646+Q646)</f>
        <v>0</v>
      </c>
      <c r="F646" s="1719"/>
      <c r="G646" s="1791"/>
      <c r="H646" s="1801"/>
      <c r="I646" s="1739"/>
      <c r="J646" s="1801"/>
      <c r="K646" s="1791"/>
      <c r="L646" s="1857"/>
      <c r="M646" s="1800"/>
      <c r="N646" s="1791"/>
      <c r="O646" s="1720"/>
      <c r="P646" s="1791"/>
      <c r="Q646" s="1791"/>
      <c r="R646" s="1845"/>
    </row>
    <row r="647" spans="1:18" s="1980" customFormat="1" ht="30" customHeight="1">
      <c r="A647" s="1783">
        <v>80146</v>
      </c>
      <c r="B647" s="1882" t="s">
        <v>842</v>
      </c>
      <c r="C647" s="886">
        <f>SUM(C648:C656)</f>
        <v>497100</v>
      </c>
      <c r="D647" s="908">
        <f t="shared" si="93"/>
        <v>497055</v>
      </c>
      <c r="E647" s="908">
        <f>H647+K647+Q647+N647</f>
        <v>174988</v>
      </c>
      <c r="F647" s="1681">
        <f aca="true" t="shared" si="94" ref="F647:F656">E647/D647*100</f>
        <v>35.2049571978956</v>
      </c>
      <c r="G647" s="886">
        <f>SUM(G648:G656)</f>
        <v>271100</v>
      </c>
      <c r="H647" s="1883">
        <f>SUM(H648:H656)</f>
        <v>98264</v>
      </c>
      <c r="I647" s="1776">
        <f aca="true" t="shared" si="95" ref="I647:I710">H647/G647*100</f>
        <v>36.246403541128736</v>
      </c>
      <c r="J647" s="1816"/>
      <c r="K647" s="908"/>
      <c r="L647" s="1741"/>
      <c r="M647" s="886">
        <f>SUM(M648:M656)</f>
        <v>225955</v>
      </c>
      <c r="N647" s="908">
        <f>SUM(N648:N656)</f>
        <v>76724</v>
      </c>
      <c r="O647" s="1688">
        <f t="shared" si="86"/>
        <v>33.9554336040362</v>
      </c>
      <c r="P647" s="908"/>
      <c r="Q647" s="908"/>
      <c r="R647" s="889"/>
    </row>
    <row r="648" spans="1:18" s="1870" customFormat="1" ht="24">
      <c r="A648" s="1722">
        <v>2510</v>
      </c>
      <c r="B648" s="1853" t="s">
        <v>347</v>
      </c>
      <c r="C648" s="1693">
        <v>44000</v>
      </c>
      <c r="D648" s="932">
        <f t="shared" si="93"/>
        <v>44000</v>
      </c>
      <c r="E648" s="932">
        <f>H648+K648+Q648+N648</f>
        <v>0</v>
      </c>
      <c r="F648" s="1691">
        <f t="shared" si="94"/>
        <v>0</v>
      </c>
      <c r="G648" s="1693">
        <v>44000</v>
      </c>
      <c r="H648" s="1854"/>
      <c r="I648" s="1669">
        <f t="shared" si="95"/>
        <v>0</v>
      </c>
      <c r="J648" s="1854"/>
      <c r="K648" s="1707"/>
      <c r="L648" s="1849"/>
      <c r="M648" s="1693"/>
      <c r="N648" s="1707"/>
      <c r="O648" s="1674"/>
      <c r="P648" s="1707"/>
      <c r="Q648" s="1707"/>
      <c r="R648" s="1856"/>
    </row>
    <row r="649" spans="1:18" s="1870" customFormat="1" ht="26.25" customHeight="1">
      <c r="A649" s="1743">
        <v>4010</v>
      </c>
      <c r="B649" s="1751" t="s">
        <v>104</v>
      </c>
      <c r="C649" s="1689">
        <v>172100</v>
      </c>
      <c r="D649" s="893">
        <f t="shared" si="93"/>
        <v>172370</v>
      </c>
      <c r="E649" s="893">
        <f>H649+K649+Q649+N649</f>
        <v>85750</v>
      </c>
      <c r="F649" s="1666">
        <f t="shared" si="94"/>
        <v>49.74763589951848</v>
      </c>
      <c r="G649" s="1689">
        <v>85800</v>
      </c>
      <c r="H649" s="1745">
        <v>42966</v>
      </c>
      <c r="I649" s="1669">
        <f t="shared" si="95"/>
        <v>50.07692307692307</v>
      </c>
      <c r="J649" s="1745"/>
      <c r="K649" s="1690"/>
      <c r="L649" s="1746"/>
      <c r="M649" s="1689">
        <f>86500+70</f>
        <v>86570</v>
      </c>
      <c r="N649" s="1690">
        <v>42784</v>
      </c>
      <c r="O649" s="1695">
        <f t="shared" si="86"/>
        <v>49.42127757883794</v>
      </c>
      <c r="P649" s="1690"/>
      <c r="Q649" s="1690"/>
      <c r="R649" s="1754"/>
    </row>
    <row r="650" spans="1:18" s="1870" customFormat="1" ht="24">
      <c r="A650" s="1743">
        <v>4040</v>
      </c>
      <c r="B650" s="1751" t="s">
        <v>108</v>
      </c>
      <c r="C650" s="1689">
        <v>12600</v>
      </c>
      <c r="D650" s="893">
        <f t="shared" si="93"/>
        <v>12315</v>
      </c>
      <c r="E650" s="1690">
        <f>SUM(H650+K650+N650+Q650)</f>
        <v>12306</v>
      </c>
      <c r="F650" s="1666">
        <f t="shared" si="94"/>
        <v>99.92691839220463</v>
      </c>
      <c r="G650" s="1690">
        <v>5520</v>
      </c>
      <c r="H650" s="1745">
        <v>5516</v>
      </c>
      <c r="I650" s="1669">
        <f t="shared" si="95"/>
        <v>99.92753623188406</v>
      </c>
      <c r="J650" s="1745"/>
      <c r="K650" s="1690"/>
      <c r="L650" s="1746"/>
      <c r="M650" s="1689">
        <f>7790-995</f>
        <v>6795</v>
      </c>
      <c r="N650" s="1690">
        <v>6790</v>
      </c>
      <c r="O650" s="1695">
        <f>N650/M650*100</f>
        <v>99.92641648270786</v>
      </c>
      <c r="P650" s="1690"/>
      <c r="Q650" s="1690"/>
      <c r="R650" s="1754"/>
    </row>
    <row r="651" spans="1:18" s="1870" customFormat="1" ht="26.25" customHeight="1">
      <c r="A651" s="1743">
        <v>4110</v>
      </c>
      <c r="B651" s="1751" t="s">
        <v>110</v>
      </c>
      <c r="C651" s="1689">
        <v>32700</v>
      </c>
      <c r="D651" s="893">
        <f t="shared" si="93"/>
        <v>32770</v>
      </c>
      <c r="E651" s="893">
        <f t="shared" si="93"/>
        <v>15934</v>
      </c>
      <c r="F651" s="1666">
        <f t="shared" si="94"/>
        <v>48.62374122673177</v>
      </c>
      <c r="G651" s="1689">
        <v>16180</v>
      </c>
      <c r="H651" s="1745">
        <v>7494</v>
      </c>
      <c r="I651" s="1669">
        <f t="shared" si="95"/>
        <v>46.316440049443756</v>
      </c>
      <c r="J651" s="1745"/>
      <c r="K651" s="1690"/>
      <c r="L651" s="1746"/>
      <c r="M651" s="1689">
        <v>16590</v>
      </c>
      <c r="N651" s="1690">
        <v>8440</v>
      </c>
      <c r="O651" s="1695">
        <f t="shared" si="86"/>
        <v>50.874020494273665</v>
      </c>
      <c r="P651" s="1690"/>
      <c r="Q651" s="1690"/>
      <c r="R651" s="1754"/>
    </row>
    <row r="652" spans="1:18" s="1870" customFormat="1" ht="18" customHeight="1">
      <c r="A652" s="1743">
        <v>4120</v>
      </c>
      <c r="B652" s="1751" t="s">
        <v>208</v>
      </c>
      <c r="C652" s="1689">
        <v>4900</v>
      </c>
      <c r="D652" s="893">
        <f t="shared" si="93"/>
        <v>4900</v>
      </c>
      <c r="E652" s="893">
        <f t="shared" si="93"/>
        <v>2056</v>
      </c>
      <c r="F652" s="1666">
        <f t="shared" si="94"/>
        <v>41.95918367346938</v>
      </c>
      <c r="G652" s="1689">
        <v>2400</v>
      </c>
      <c r="H652" s="1745">
        <v>998</v>
      </c>
      <c r="I652" s="1669">
        <f t="shared" si="95"/>
        <v>41.583333333333336</v>
      </c>
      <c r="J652" s="1745"/>
      <c r="K652" s="1690"/>
      <c r="L652" s="1746"/>
      <c r="M652" s="1689">
        <v>2500</v>
      </c>
      <c r="N652" s="1690">
        <v>1058</v>
      </c>
      <c r="O652" s="1695">
        <f t="shared" si="86"/>
        <v>42.32</v>
      </c>
      <c r="P652" s="1690"/>
      <c r="Q652" s="1690"/>
      <c r="R652" s="1754"/>
    </row>
    <row r="653" spans="1:18" s="1870" customFormat="1" ht="18" customHeight="1">
      <c r="A653" s="1743">
        <v>4140</v>
      </c>
      <c r="B653" s="1751" t="s">
        <v>168</v>
      </c>
      <c r="C653" s="1689">
        <v>200</v>
      </c>
      <c r="D653" s="893">
        <f t="shared" si="93"/>
        <v>100</v>
      </c>
      <c r="E653" s="893">
        <f t="shared" si="93"/>
        <v>43</v>
      </c>
      <c r="F653" s="1666">
        <f t="shared" si="94"/>
        <v>43</v>
      </c>
      <c r="G653" s="1689">
        <v>100</v>
      </c>
      <c r="H653" s="1745">
        <v>43</v>
      </c>
      <c r="I653" s="1669">
        <f t="shared" si="95"/>
        <v>43</v>
      </c>
      <c r="J653" s="1745"/>
      <c r="K653" s="1690"/>
      <c r="L653" s="1746"/>
      <c r="M653" s="1689"/>
      <c r="N653" s="1690"/>
      <c r="O653" s="1695"/>
      <c r="P653" s="1690"/>
      <c r="Q653" s="1690"/>
      <c r="R653" s="1754"/>
    </row>
    <row r="654" spans="1:18" s="1870" customFormat="1" ht="24" hidden="1">
      <c r="A654" s="1743">
        <v>4210</v>
      </c>
      <c r="B654" s="1751" t="s">
        <v>114</v>
      </c>
      <c r="C654" s="1689"/>
      <c r="D654" s="893">
        <f t="shared" si="93"/>
        <v>0</v>
      </c>
      <c r="E654" s="893">
        <f t="shared" si="93"/>
        <v>0</v>
      </c>
      <c r="F654" s="1666" t="e">
        <f t="shared" si="94"/>
        <v>#DIV/0!</v>
      </c>
      <c r="G654" s="1689"/>
      <c r="H654" s="1745"/>
      <c r="I654" s="1669"/>
      <c r="J654" s="1745"/>
      <c r="K654" s="1690"/>
      <c r="L654" s="1746"/>
      <c r="M654" s="1689"/>
      <c r="N654" s="1690"/>
      <c r="O654" s="1695"/>
      <c r="P654" s="1690"/>
      <c r="Q654" s="1690"/>
      <c r="R654" s="1754"/>
    </row>
    <row r="655" spans="1:18" s="1870" customFormat="1" ht="18" customHeight="1">
      <c r="A655" s="1743">
        <v>4440</v>
      </c>
      <c r="B655" s="1751" t="s">
        <v>126</v>
      </c>
      <c r="C655" s="1689">
        <v>9700</v>
      </c>
      <c r="D655" s="893">
        <f t="shared" si="93"/>
        <v>9700</v>
      </c>
      <c r="E655" s="893">
        <f t="shared" si="93"/>
        <v>7952</v>
      </c>
      <c r="F655" s="1666">
        <f t="shared" si="94"/>
        <v>81.97938144329898</v>
      </c>
      <c r="G655" s="1689">
        <v>4800</v>
      </c>
      <c r="H655" s="1745">
        <v>4245</v>
      </c>
      <c r="I655" s="1669">
        <f t="shared" si="95"/>
        <v>88.4375</v>
      </c>
      <c r="J655" s="1745"/>
      <c r="K655" s="1690"/>
      <c r="L655" s="1746"/>
      <c r="M655" s="1689">
        <v>4900</v>
      </c>
      <c r="N655" s="1690">
        <v>3707</v>
      </c>
      <c r="O655" s="1891">
        <f t="shared" si="86"/>
        <v>75.65306122448979</v>
      </c>
      <c r="P655" s="1690"/>
      <c r="Q655" s="1690"/>
      <c r="R655" s="1754"/>
    </row>
    <row r="656" spans="1:18" s="1870" customFormat="1" ht="27" customHeight="1">
      <c r="A656" s="1798">
        <v>4300</v>
      </c>
      <c r="B656" s="1799" t="s">
        <v>348</v>
      </c>
      <c r="C656" s="1800">
        <v>220900</v>
      </c>
      <c r="D656" s="925">
        <f t="shared" si="93"/>
        <v>220900</v>
      </c>
      <c r="E656" s="925">
        <f t="shared" si="93"/>
        <v>50947</v>
      </c>
      <c r="F656" s="1719">
        <f t="shared" si="94"/>
        <v>23.063377093707558</v>
      </c>
      <c r="G656" s="1800">
        <v>112300</v>
      </c>
      <c r="H656" s="1801">
        <v>37002</v>
      </c>
      <c r="I656" s="1739">
        <f t="shared" si="95"/>
        <v>32.94924309884239</v>
      </c>
      <c r="J656" s="1801"/>
      <c r="K656" s="1791"/>
      <c r="L656" s="1857"/>
      <c r="M656" s="1800">
        <v>108600</v>
      </c>
      <c r="N656" s="1791">
        <v>13945</v>
      </c>
      <c r="O656" s="1695">
        <f t="shared" si="86"/>
        <v>12.840699815837938</v>
      </c>
      <c r="P656" s="1791"/>
      <c r="Q656" s="1791"/>
      <c r="R656" s="1845"/>
    </row>
    <row r="657" spans="1:18" ht="12.75">
      <c r="A657" s="1736">
        <v>80195</v>
      </c>
      <c r="B657" s="1835" t="s">
        <v>829</v>
      </c>
      <c r="C657" s="886">
        <f>SUM(C681:C709)+C675+C658-SUM(C693:C702)</f>
        <v>5344317</v>
      </c>
      <c r="D657" s="908">
        <f t="shared" si="93"/>
        <v>5847423</v>
      </c>
      <c r="E657" s="908">
        <f t="shared" si="93"/>
        <v>1765590</v>
      </c>
      <c r="F657" s="1681">
        <f t="shared" si="92"/>
        <v>30.194326629012476</v>
      </c>
      <c r="G657" s="1984">
        <f>SUM(G681:G709)+G675+G658-SUM(G693:G702)</f>
        <v>3476470</v>
      </c>
      <c r="H657" s="908">
        <f>SUM(H681:H709)+H675+H658-SUM(H693:H702)</f>
        <v>1306021</v>
      </c>
      <c r="I657" s="1776">
        <f t="shared" si="95"/>
        <v>37.567446288908</v>
      </c>
      <c r="J657" s="1816"/>
      <c r="K657" s="908"/>
      <c r="L657" s="1741"/>
      <c r="M657" s="886">
        <f>SUM(M676:M709)-SUM(M693:M702)</f>
        <v>2370953</v>
      </c>
      <c r="N657" s="908">
        <f>SUM(N676:N709)-SUM(N693:N702)</f>
        <v>459569</v>
      </c>
      <c r="O657" s="1688">
        <f t="shared" si="86"/>
        <v>19.383302832236655</v>
      </c>
      <c r="P657" s="1680"/>
      <c r="Q657" s="1680"/>
      <c r="R657" s="1782"/>
    </row>
    <row r="658" spans="1:18" ht="48">
      <c r="A658" s="1837"/>
      <c r="B658" s="1859" t="s">
        <v>349</v>
      </c>
      <c r="C658" s="1839">
        <f>SUM(C659:C674)</f>
        <v>1047817</v>
      </c>
      <c r="D658" s="884">
        <f t="shared" si="93"/>
        <v>1052817</v>
      </c>
      <c r="E658" s="884">
        <f aca="true" t="shared" si="96" ref="E658:E673">SUM(H658+K658+N658+Q658)</f>
        <v>468988</v>
      </c>
      <c r="F658" s="1719">
        <f t="shared" si="92"/>
        <v>44.54601321977133</v>
      </c>
      <c r="G658" s="1839">
        <f>SUM(G659:G674)</f>
        <v>1052817</v>
      </c>
      <c r="H658" s="1842">
        <f>SUM(H659:H674)</f>
        <v>468988</v>
      </c>
      <c r="I658" s="1739">
        <f t="shared" si="95"/>
        <v>44.54601321977133</v>
      </c>
      <c r="J658" s="1989"/>
      <c r="K658" s="1842"/>
      <c r="L658" s="1844"/>
      <c r="M658" s="1842"/>
      <c r="N658" s="1842"/>
      <c r="O658" s="1804"/>
      <c r="P658" s="1842"/>
      <c r="Q658" s="1842"/>
      <c r="R658" s="1804"/>
    </row>
    <row r="659" spans="1:18" ht="24">
      <c r="A659" s="1743">
        <v>3020</v>
      </c>
      <c r="B659" s="1751" t="s">
        <v>332</v>
      </c>
      <c r="C659" s="895">
        <v>600</v>
      </c>
      <c r="D659" s="893">
        <f t="shared" si="93"/>
        <v>600</v>
      </c>
      <c r="E659" s="1690">
        <f t="shared" si="96"/>
        <v>0</v>
      </c>
      <c r="F659" s="1666">
        <f t="shared" si="92"/>
        <v>0</v>
      </c>
      <c r="G659" s="895">
        <v>600</v>
      </c>
      <c r="H659" s="893"/>
      <c r="I659" s="1669">
        <f t="shared" si="95"/>
        <v>0</v>
      </c>
      <c r="J659" s="1988"/>
      <c r="K659" s="1830"/>
      <c r="L659" s="1832"/>
      <c r="M659" s="1830"/>
      <c r="N659" s="1830"/>
      <c r="O659" s="1747"/>
      <c r="P659" s="1830"/>
      <c r="Q659" s="1830"/>
      <c r="R659" s="1747"/>
    </row>
    <row r="660" spans="1:18" ht="24">
      <c r="A660" s="1743">
        <v>4010</v>
      </c>
      <c r="B660" s="1751" t="s">
        <v>279</v>
      </c>
      <c r="C660" s="895">
        <v>560217</v>
      </c>
      <c r="D660" s="893">
        <f t="shared" si="93"/>
        <v>560217</v>
      </c>
      <c r="E660" s="1690">
        <f t="shared" si="96"/>
        <v>236285</v>
      </c>
      <c r="F660" s="1666">
        <f t="shared" si="92"/>
        <v>42.17740625507616</v>
      </c>
      <c r="G660" s="895">
        <v>560217</v>
      </c>
      <c r="H660" s="893">
        <v>236285</v>
      </c>
      <c r="I660" s="1669">
        <f t="shared" si="95"/>
        <v>42.17740625507616</v>
      </c>
      <c r="J660" s="1988"/>
      <c r="K660" s="1830"/>
      <c r="L660" s="1832"/>
      <c r="M660" s="1830"/>
      <c r="N660" s="1830"/>
      <c r="O660" s="1747"/>
      <c r="P660" s="1830"/>
      <c r="Q660" s="1830"/>
      <c r="R660" s="1747"/>
    </row>
    <row r="661" spans="1:18" ht="24">
      <c r="A661" s="1743">
        <v>4040</v>
      </c>
      <c r="B661" s="1751" t="s">
        <v>108</v>
      </c>
      <c r="C661" s="895">
        <v>44700</v>
      </c>
      <c r="D661" s="893">
        <f t="shared" si="93"/>
        <v>42012</v>
      </c>
      <c r="E661" s="1690">
        <f t="shared" si="96"/>
        <v>42011</v>
      </c>
      <c r="F661" s="1666">
        <f t="shared" si="92"/>
        <v>99.99761972769686</v>
      </c>
      <c r="G661" s="895">
        <f>44700-2688</f>
        <v>42012</v>
      </c>
      <c r="H661" s="893">
        <v>42011</v>
      </c>
      <c r="I661" s="1669">
        <f t="shared" si="95"/>
        <v>99.99761972769686</v>
      </c>
      <c r="J661" s="1745"/>
      <c r="K661" s="1690"/>
      <c r="L661" s="1746"/>
      <c r="M661" s="1690"/>
      <c r="N661" s="1690"/>
      <c r="O661" s="1695"/>
      <c r="P661" s="1690"/>
      <c r="Q661" s="1690"/>
      <c r="R661" s="1747"/>
    </row>
    <row r="662" spans="1:18" ht="24">
      <c r="A662" s="1743">
        <v>4110</v>
      </c>
      <c r="B662" s="1751" t="s">
        <v>110</v>
      </c>
      <c r="C662" s="895">
        <v>102700</v>
      </c>
      <c r="D662" s="893">
        <f t="shared" si="93"/>
        <v>102700</v>
      </c>
      <c r="E662" s="1690">
        <f t="shared" si="96"/>
        <v>48098</v>
      </c>
      <c r="F662" s="1666">
        <f t="shared" si="92"/>
        <v>46.83349561830574</v>
      </c>
      <c r="G662" s="895">
        <v>102700</v>
      </c>
      <c r="H662" s="893">
        <v>48098</v>
      </c>
      <c r="I662" s="1669">
        <f t="shared" si="95"/>
        <v>46.83349561830574</v>
      </c>
      <c r="J662" s="1988"/>
      <c r="K662" s="1830"/>
      <c r="L662" s="1832"/>
      <c r="M662" s="1830"/>
      <c r="N662" s="1830"/>
      <c r="O662" s="1747"/>
      <c r="P662" s="1830"/>
      <c r="Q662" s="1830"/>
      <c r="R662" s="1747"/>
    </row>
    <row r="663" spans="1:18" ht="12.75">
      <c r="A663" s="1743">
        <v>4120</v>
      </c>
      <c r="B663" s="1751" t="s">
        <v>208</v>
      </c>
      <c r="C663" s="895">
        <v>14200</v>
      </c>
      <c r="D663" s="893">
        <f t="shared" si="93"/>
        <v>14200</v>
      </c>
      <c r="E663" s="1690">
        <f t="shared" si="96"/>
        <v>5904</v>
      </c>
      <c r="F663" s="1666">
        <f t="shared" si="92"/>
        <v>41.57746478873239</v>
      </c>
      <c r="G663" s="895">
        <v>14200</v>
      </c>
      <c r="H663" s="893">
        <v>5904</v>
      </c>
      <c r="I663" s="1669">
        <f t="shared" si="95"/>
        <v>41.57746478873239</v>
      </c>
      <c r="J663" s="1988"/>
      <c r="K663" s="1830"/>
      <c r="L663" s="1832"/>
      <c r="M663" s="1830"/>
      <c r="N663" s="1830"/>
      <c r="O663" s="1747"/>
      <c r="P663" s="1830"/>
      <c r="Q663" s="1830"/>
      <c r="R663" s="1747"/>
    </row>
    <row r="664" spans="1:18" ht="24">
      <c r="A664" s="1743">
        <v>4170</v>
      </c>
      <c r="B664" s="1751" t="s">
        <v>169</v>
      </c>
      <c r="C664" s="895"/>
      <c r="D664" s="893">
        <f t="shared" si="93"/>
        <v>660</v>
      </c>
      <c r="E664" s="1690">
        <f t="shared" si="96"/>
        <v>660</v>
      </c>
      <c r="F664" s="1666">
        <f t="shared" si="92"/>
        <v>100</v>
      </c>
      <c r="G664" s="895">
        <v>660</v>
      </c>
      <c r="H664" s="893">
        <v>660</v>
      </c>
      <c r="I664" s="1669">
        <f t="shared" si="95"/>
        <v>100</v>
      </c>
      <c r="J664" s="1988"/>
      <c r="K664" s="1830"/>
      <c r="L664" s="1832"/>
      <c r="M664" s="1830"/>
      <c r="N664" s="1830"/>
      <c r="O664" s="1747"/>
      <c r="P664" s="1830"/>
      <c r="Q664" s="1830"/>
      <c r="R664" s="1747"/>
    </row>
    <row r="665" spans="1:18" ht="24">
      <c r="A665" s="1743">
        <v>4210</v>
      </c>
      <c r="B665" s="1751" t="s">
        <v>114</v>
      </c>
      <c r="C665" s="895">
        <v>34100</v>
      </c>
      <c r="D665" s="893">
        <f t="shared" si="93"/>
        <v>34100</v>
      </c>
      <c r="E665" s="1690">
        <f t="shared" si="96"/>
        <v>14455</v>
      </c>
      <c r="F665" s="1666">
        <f t="shared" si="92"/>
        <v>42.3900293255132</v>
      </c>
      <c r="G665" s="895">
        <v>34100</v>
      </c>
      <c r="H665" s="893">
        <v>14455</v>
      </c>
      <c r="I665" s="1669">
        <f t="shared" si="95"/>
        <v>42.3900293255132</v>
      </c>
      <c r="J665" s="1988"/>
      <c r="K665" s="1830"/>
      <c r="L665" s="1832"/>
      <c r="M665" s="1830"/>
      <c r="N665" s="1830"/>
      <c r="O665" s="1747"/>
      <c r="P665" s="1830"/>
      <c r="Q665" s="1830"/>
      <c r="R665" s="1747"/>
    </row>
    <row r="666" spans="1:18" ht="12.75">
      <c r="A666" s="1743">
        <v>4260</v>
      </c>
      <c r="B666" s="1751" t="s">
        <v>118</v>
      </c>
      <c r="C666" s="895">
        <v>13600</v>
      </c>
      <c r="D666" s="893">
        <f t="shared" si="93"/>
        <v>13600</v>
      </c>
      <c r="E666" s="1690">
        <f t="shared" si="96"/>
        <v>6310</v>
      </c>
      <c r="F666" s="1666">
        <f t="shared" si="92"/>
        <v>46.39705882352941</v>
      </c>
      <c r="G666" s="895">
        <v>13600</v>
      </c>
      <c r="H666" s="893">
        <v>6310</v>
      </c>
      <c r="I666" s="1669">
        <f t="shared" si="95"/>
        <v>46.39705882352941</v>
      </c>
      <c r="J666" s="1988"/>
      <c r="K666" s="1830"/>
      <c r="L666" s="1832"/>
      <c r="M666" s="1830"/>
      <c r="N666" s="1830"/>
      <c r="O666" s="1747"/>
      <c r="P666" s="1830"/>
      <c r="Q666" s="1830"/>
      <c r="R666" s="1747"/>
    </row>
    <row r="667" spans="1:18" ht="12.75">
      <c r="A667" s="1743">
        <v>4270</v>
      </c>
      <c r="B667" s="1751" t="s">
        <v>120</v>
      </c>
      <c r="C667" s="895">
        <v>210000</v>
      </c>
      <c r="D667" s="893">
        <f t="shared" si="93"/>
        <v>210000</v>
      </c>
      <c r="E667" s="1690">
        <f t="shared" si="96"/>
        <v>81552</v>
      </c>
      <c r="F667" s="1666">
        <f t="shared" si="92"/>
        <v>38.83428571428571</v>
      </c>
      <c r="G667" s="895">
        <v>210000</v>
      </c>
      <c r="H667" s="893">
        <v>81552</v>
      </c>
      <c r="I667" s="1669">
        <f t="shared" si="95"/>
        <v>38.83428571428571</v>
      </c>
      <c r="J667" s="1988"/>
      <c r="K667" s="1830"/>
      <c r="L667" s="1832"/>
      <c r="M667" s="1830"/>
      <c r="N667" s="1830"/>
      <c r="O667" s="1747"/>
      <c r="P667" s="1830"/>
      <c r="Q667" s="1830"/>
      <c r="R667" s="1747"/>
    </row>
    <row r="668" spans="1:18" ht="12.75">
      <c r="A668" s="1743">
        <v>4280</v>
      </c>
      <c r="B668" s="1751" t="s">
        <v>170</v>
      </c>
      <c r="C668" s="895">
        <v>200</v>
      </c>
      <c r="D668" s="893">
        <f t="shared" si="93"/>
        <v>200</v>
      </c>
      <c r="E668" s="1690">
        <f t="shared" si="96"/>
        <v>20</v>
      </c>
      <c r="F668" s="1666">
        <f t="shared" si="92"/>
        <v>10</v>
      </c>
      <c r="G668" s="895">
        <v>200</v>
      </c>
      <c r="H668" s="893">
        <v>20</v>
      </c>
      <c r="I668" s="1669">
        <f t="shared" si="95"/>
        <v>10</v>
      </c>
      <c r="J668" s="1988"/>
      <c r="K668" s="1830"/>
      <c r="L668" s="1832"/>
      <c r="M668" s="1830"/>
      <c r="N668" s="1830"/>
      <c r="O668" s="1747"/>
      <c r="P668" s="1830"/>
      <c r="Q668" s="1830"/>
      <c r="R668" s="1747"/>
    </row>
    <row r="669" spans="1:18" ht="12.75">
      <c r="A669" s="1743">
        <v>4300</v>
      </c>
      <c r="B669" s="1751" t="s">
        <v>136</v>
      </c>
      <c r="C669" s="895">
        <v>50200</v>
      </c>
      <c r="D669" s="893">
        <f t="shared" si="93"/>
        <v>50728</v>
      </c>
      <c r="E669" s="1690">
        <f t="shared" si="96"/>
        <v>21576</v>
      </c>
      <c r="F669" s="1666">
        <f t="shared" si="92"/>
        <v>42.53272354518215</v>
      </c>
      <c r="G669" s="895">
        <f>48040+2688</f>
        <v>50728</v>
      </c>
      <c r="H669" s="893">
        <v>21576</v>
      </c>
      <c r="I669" s="1669">
        <f t="shared" si="95"/>
        <v>42.53272354518215</v>
      </c>
      <c r="J669" s="1988"/>
      <c r="K669" s="1830"/>
      <c r="L669" s="1832"/>
      <c r="M669" s="893"/>
      <c r="N669" s="1830"/>
      <c r="O669" s="1747"/>
      <c r="P669" s="1830"/>
      <c r="Q669" s="1830"/>
      <c r="R669" s="1747"/>
    </row>
    <row r="670" spans="1:18" ht="24">
      <c r="A670" s="1743">
        <v>4350</v>
      </c>
      <c r="B670" s="1751" t="s">
        <v>326</v>
      </c>
      <c r="C670" s="895"/>
      <c r="D670" s="893">
        <f t="shared" si="93"/>
        <v>1500</v>
      </c>
      <c r="E670" s="1690">
        <f t="shared" si="96"/>
        <v>719</v>
      </c>
      <c r="F670" s="1666">
        <f t="shared" si="92"/>
        <v>47.93333333333333</v>
      </c>
      <c r="G670" s="895">
        <v>1500</v>
      </c>
      <c r="H670" s="893">
        <v>719</v>
      </c>
      <c r="I670" s="1669">
        <f t="shared" si="95"/>
        <v>47.93333333333333</v>
      </c>
      <c r="J670" s="1988"/>
      <c r="K670" s="1830"/>
      <c r="L670" s="1832"/>
      <c r="M670" s="893"/>
      <c r="N670" s="1830"/>
      <c r="O670" s="1747"/>
      <c r="P670" s="1830"/>
      <c r="Q670" s="1830"/>
      <c r="R670" s="1747"/>
    </row>
    <row r="671" spans="1:18" ht="12.75">
      <c r="A671" s="1743">
        <v>4410</v>
      </c>
      <c r="B671" s="1751" t="s">
        <v>96</v>
      </c>
      <c r="C671" s="895">
        <v>3300</v>
      </c>
      <c r="D671" s="893">
        <f t="shared" si="93"/>
        <v>3300</v>
      </c>
      <c r="E671" s="1690">
        <f t="shared" si="96"/>
        <v>1273</v>
      </c>
      <c r="F671" s="1666">
        <f t="shared" si="92"/>
        <v>38.57575757575758</v>
      </c>
      <c r="G671" s="895">
        <v>3300</v>
      </c>
      <c r="H671" s="893">
        <v>1273</v>
      </c>
      <c r="I671" s="1669">
        <f t="shared" si="95"/>
        <v>38.57575757575758</v>
      </c>
      <c r="J671" s="1988"/>
      <c r="K671" s="1830"/>
      <c r="L671" s="1832"/>
      <c r="M671" s="1830"/>
      <c r="N671" s="1830"/>
      <c r="O671" s="1747"/>
      <c r="P671" s="1830"/>
      <c r="Q671" s="1830"/>
      <c r="R671" s="1747"/>
    </row>
    <row r="672" spans="1:18" ht="12.75">
      <c r="A672" s="1743">
        <v>4430</v>
      </c>
      <c r="B672" s="1751" t="s">
        <v>124</v>
      </c>
      <c r="C672" s="895">
        <v>500</v>
      </c>
      <c r="D672" s="893">
        <f t="shared" si="93"/>
        <v>500</v>
      </c>
      <c r="E672" s="1690">
        <f t="shared" si="96"/>
        <v>0</v>
      </c>
      <c r="F672" s="1666">
        <f t="shared" si="92"/>
        <v>0</v>
      </c>
      <c r="G672" s="895">
        <v>500</v>
      </c>
      <c r="H672" s="893"/>
      <c r="I672" s="1669">
        <f t="shared" si="95"/>
        <v>0</v>
      </c>
      <c r="J672" s="1988"/>
      <c r="K672" s="1830"/>
      <c r="L672" s="1832"/>
      <c r="M672" s="1830"/>
      <c r="N672" s="1830"/>
      <c r="O672" s="1747"/>
      <c r="P672" s="1830"/>
      <c r="Q672" s="1830"/>
      <c r="R672" s="1747"/>
    </row>
    <row r="673" spans="1:18" ht="12.75">
      <c r="A673" s="1743">
        <v>4440</v>
      </c>
      <c r="B673" s="1751" t="s">
        <v>126</v>
      </c>
      <c r="C673" s="895">
        <v>13500</v>
      </c>
      <c r="D673" s="893">
        <f t="shared" si="93"/>
        <v>13500</v>
      </c>
      <c r="E673" s="1690">
        <f t="shared" si="96"/>
        <v>10125</v>
      </c>
      <c r="F673" s="1666">
        <f t="shared" si="92"/>
        <v>75</v>
      </c>
      <c r="G673" s="895">
        <v>13500</v>
      </c>
      <c r="H673" s="893">
        <v>10125</v>
      </c>
      <c r="I673" s="1669">
        <f t="shared" si="95"/>
        <v>75</v>
      </c>
      <c r="J673" s="1988"/>
      <c r="K673" s="1830"/>
      <c r="L673" s="1832"/>
      <c r="M673" s="893"/>
      <c r="N673" s="893"/>
      <c r="O673" s="1747"/>
      <c r="P673" s="1830"/>
      <c r="Q673" s="1830"/>
      <c r="R673" s="1747"/>
    </row>
    <row r="674" spans="1:18" ht="24">
      <c r="A674" s="1743">
        <v>6050</v>
      </c>
      <c r="B674" s="1977" t="s">
        <v>144</v>
      </c>
      <c r="C674" s="895">
        <v>0</v>
      </c>
      <c r="D674" s="893">
        <f t="shared" si="93"/>
        <v>5000</v>
      </c>
      <c r="E674" s="1690">
        <f>SUM(H674+K674+N674+Q674)</f>
        <v>0</v>
      </c>
      <c r="F674" s="1666">
        <f>E674/D674*100</f>
        <v>0</v>
      </c>
      <c r="G674" s="895">
        <v>5000</v>
      </c>
      <c r="H674" s="893"/>
      <c r="I674" s="1669">
        <f t="shared" si="95"/>
        <v>0</v>
      </c>
      <c r="J674" s="1988"/>
      <c r="K674" s="1830"/>
      <c r="L674" s="1832"/>
      <c r="M674" s="893"/>
      <c r="N674" s="893"/>
      <c r="O674" s="1747"/>
      <c r="P674" s="1830"/>
      <c r="Q674" s="1830"/>
      <c r="R674" s="1747"/>
    </row>
    <row r="675" spans="1:18" ht="12.75">
      <c r="A675" s="1827"/>
      <c r="B675" s="1828" t="s">
        <v>350</v>
      </c>
      <c r="C675" s="1763">
        <f>SUM(C676:C680)</f>
        <v>582500</v>
      </c>
      <c r="D675" s="1765">
        <f aca="true" t="shared" si="97" ref="D675:D723">G675+J675+P675+M675</f>
        <v>641000</v>
      </c>
      <c r="E675" s="1765">
        <f>SUM(E676:E680)</f>
        <v>318384</v>
      </c>
      <c r="F675" s="1666">
        <f t="shared" si="92"/>
        <v>49.66989079563183</v>
      </c>
      <c r="G675" s="1763">
        <f>SUM(G676:G680)</f>
        <v>399500</v>
      </c>
      <c r="H675" s="1766">
        <f>SUM(H676:H680)</f>
        <v>191596</v>
      </c>
      <c r="I675" s="1669">
        <f t="shared" si="95"/>
        <v>47.95894868585732</v>
      </c>
      <c r="J675" s="1766"/>
      <c r="K675" s="1765"/>
      <c r="L675" s="1832"/>
      <c r="M675" s="1763">
        <f>SUM(M676:M680)</f>
        <v>241500</v>
      </c>
      <c r="N675" s="1765">
        <f>SUM(N676:N680)</f>
        <v>126788</v>
      </c>
      <c r="O675" s="1695">
        <f aca="true" t="shared" si="98" ref="O675:O697">N675/M675*100</f>
        <v>52.500207039337475</v>
      </c>
      <c r="P675" s="1830"/>
      <c r="Q675" s="1830"/>
      <c r="R675" s="1754"/>
    </row>
    <row r="676" spans="1:18" ht="24">
      <c r="A676" s="1743">
        <v>4010</v>
      </c>
      <c r="B676" s="1751" t="s">
        <v>104</v>
      </c>
      <c r="C676" s="895">
        <v>483900</v>
      </c>
      <c r="D676" s="893">
        <f t="shared" si="97"/>
        <v>527700</v>
      </c>
      <c r="E676" s="893">
        <f aca="true" t="shared" si="99" ref="E676:E709">SUM(H676+K676+N676+Q676)</f>
        <v>266363</v>
      </c>
      <c r="F676" s="1666">
        <f t="shared" si="92"/>
        <v>50.47621754784915</v>
      </c>
      <c r="G676" s="895">
        <f>283400+48400-4600</f>
        <v>327200</v>
      </c>
      <c r="H676" s="1820">
        <v>159389</v>
      </c>
      <c r="I676" s="1669">
        <f t="shared" si="95"/>
        <v>48.7130195599022</v>
      </c>
      <c r="J676" s="1745"/>
      <c r="K676" s="1690"/>
      <c r="L676" s="1746"/>
      <c r="M676" s="1689">
        <v>200500</v>
      </c>
      <c r="N676" s="1690">
        <v>106974</v>
      </c>
      <c r="O676" s="1695">
        <f t="shared" si="98"/>
        <v>53.35361596009975</v>
      </c>
      <c r="P676" s="1689"/>
      <c r="Q676" s="1690"/>
      <c r="R676" s="1754"/>
    </row>
    <row r="677" spans="1:18" ht="24">
      <c r="A677" s="1743">
        <v>4110</v>
      </c>
      <c r="B677" s="1751" t="s">
        <v>110</v>
      </c>
      <c r="C677" s="895">
        <v>86800</v>
      </c>
      <c r="D677" s="893">
        <f t="shared" si="97"/>
        <v>95650</v>
      </c>
      <c r="E677" s="893">
        <f t="shared" si="99"/>
        <v>44088</v>
      </c>
      <c r="F677" s="1666">
        <f t="shared" si="92"/>
        <v>46.09304756926294</v>
      </c>
      <c r="G677" s="895">
        <f>50700+100+8750</f>
        <v>59550</v>
      </c>
      <c r="H677" s="1820">
        <f>26633+1</f>
        <v>26634</v>
      </c>
      <c r="I677" s="1669">
        <f t="shared" si="95"/>
        <v>44.72544080604534</v>
      </c>
      <c r="J677" s="1745"/>
      <c r="K677" s="1690"/>
      <c r="L677" s="1746"/>
      <c r="M677" s="1689">
        <v>36100</v>
      </c>
      <c r="N677" s="1690">
        <v>17454</v>
      </c>
      <c r="O677" s="1695">
        <f t="shared" si="98"/>
        <v>48.34903047091413</v>
      </c>
      <c r="P677" s="1690"/>
      <c r="Q677" s="1690"/>
      <c r="R677" s="1754"/>
    </row>
    <row r="678" spans="1:18" ht="24">
      <c r="A678" s="1743">
        <v>4170</v>
      </c>
      <c r="B678" s="1751" t="s">
        <v>169</v>
      </c>
      <c r="C678" s="895"/>
      <c r="D678" s="893">
        <f t="shared" si="97"/>
        <v>4600</v>
      </c>
      <c r="E678" s="893">
        <f t="shared" si="99"/>
        <v>1930</v>
      </c>
      <c r="F678" s="1666">
        <f t="shared" si="92"/>
        <v>41.95652173913044</v>
      </c>
      <c r="G678" s="895">
        <v>4600</v>
      </c>
      <c r="H678" s="1820">
        <v>1930</v>
      </c>
      <c r="I678" s="1669">
        <f t="shared" si="95"/>
        <v>41.95652173913044</v>
      </c>
      <c r="J678" s="1745"/>
      <c r="K678" s="1690"/>
      <c r="L678" s="1746"/>
      <c r="M678" s="1689"/>
      <c r="N678" s="1690"/>
      <c r="O678" s="1695"/>
      <c r="P678" s="1690"/>
      <c r="Q678" s="1690"/>
      <c r="R678" s="1754"/>
    </row>
    <row r="679" spans="1:18" ht="12.75">
      <c r="A679" s="1743">
        <v>4120</v>
      </c>
      <c r="B679" s="1751" t="s">
        <v>208</v>
      </c>
      <c r="C679" s="895">
        <v>11800</v>
      </c>
      <c r="D679" s="893">
        <f t="shared" si="97"/>
        <v>13050</v>
      </c>
      <c r="E679" s="893">
        <f t="shared" si="99"/>
        <v>6003</v>
      </c>
      <c r="F679" s="1666">
        <f t="shared" si="92"/>
        <v>46</v>
      </c>
      <c r="G679" s="895">
        <f>6900-100+1350</f>
        <v>8150</v>
      </c>
      <c r="H679" s="1820">
        <f>3644-1</f>
        <v>3643</v>
      </c>
      <c r="I679" s="1669">
        <f t="shared" si="95"/>
        <v>44.69938650306749</v>
      </c>
      <c r="J679" s="1745"/>
      <c r="K679" s="1690"/>
      <c r="L679" s="1746"/>
      <c r="M679" s="1689">
        <v>4900</v>
      </c>
      <c r="N679" s="1690">
        <v>2360</v>
      </c>
      <c r="O679" s="1695">
        <f t="shared" si="98"/>
        <v>48.16326530612245</v>
      </c>
      <c r="P679" s="1690"/>
      <c r="Q679" s="1690"/>
      <c r="R679" s="1754"/>
    </row>
    <row r="680" spans="1:18" ht="12.75" hidden="1">
      <c r="A680" s="1743">
        <v>4440</v>
      </c>
      <c r="B680" s="1751" t="s">
        <v>126</v>
      </c>
      <c r="C680" s="895"/>
      <c r="D680" s="893">
        <f t="shared" si="97"/>
        <v>0</v>
      </c>
      <c r="E680" s="893">
        <f t="shared" si="99"/>
        <v>0</v>
      </c>
      <c r="F680" s="1666" t="e">
        <f t="shared" si="92"/>
        <v>#DIV/0!</v>
      </c>
      <c r="G680" s="893"/>
      <c r="H680" s="1820"/>
      <c r="I680" s="1669" t="e">
        <f t="shared" si="95"/>
        <v>#DIV/0!</v>
      </c>
      <c r="J680" s="1745"/>
      <c r="K680" s="1690"/>
      <c r="L680" s="1746"/>
      <c r="M680" s="1689"/>
      <c r="N680" s="1690"/>
      <c r="O680" s="1891" t="e">
        <f t="shared" si="98"/>
        <v>#DIV/0!</v>
      </c>
      <c r="P680" s="1690"/>
      <c r="Q680" s="1690"/>
      <c r="R680" s="1754"/>
    </row>
    <row r="681" spans="1:18" ht="36" hidden="1">
      <c r="A681" s="1743">
        <v>3020</v>
      </c>
      <c r="B681" s="1751" t="s">
        <v>164</v>
      </c>
      <c r="C681" s="895"/>
      <c r="D681" s="893">
        <f t="shared" si="97"/>
        <v>0</v>
      </c>
      <c r="E681" s="893">
        <f t="shared" si="99"/>
        <v>0</v>
      </c>
      <c r="F681" s="1666" t="e">
        <f t="shared" si="92"/>
        <v>#DIV/0!</v>
      </c>
      <c r="G681" s="893"/>
      <c r="H681" s="1820"/>
      <c r="I681" s="1669" t="e">
        <f t="shared" si="95"/>
        <v>#DIV/0!</v>
      </c>
      <c r="J681" s="1745"/>
      <c r="K681" s="1690"/>
      <c r="L681" s="1746"/>
      <c r="M681" s="1689"/>
      <c r="N681" s="1690"/>
      <c r="O681" s="1891" t="e">
        <f t="shared" si="98"/>
        <v>#DIV/0!</v>
      </c>
      <c r="P681" s="1690"/>
      <c r="Q681" s="1690"/>
      <c r="R681" s="1754"/>
    </row>
    <row r="682" spans="1:18" ht="36" hidden="1">
      <c r="A682" s="1743">
        <v>3020</v>
      </c>
      <c r="B682" s="1751" t="s">
        <v>164</v>
      </c>
      <c r="C682" s="895"/>
      <c r="D682" s="893">
        <f t="shared" si="97"/>
        <v>0</v>
      </c>
      <c r="E682" s="893">
        <f t="shared" si="99"/>
        <v>0</v>
      </c>
      <c r="F682" s="1666" t="e">
        <f t="shared" si="92"/>
        <v>#DIV/0!</v>
      </c>
      <c r="G682" s="893"/>
      <c r="H682" s="1820"/>
      <c r="I682" s="1669" t="e">
        <f t="shared" si="95"/>
        <v>#DIV/0!</v>
      </c>
      <c r="J682" s="1745"/>
      <c r="K682" s="1690"/>
      <c r="L682" s="1746"/>
      <c r="M682" s="1689"/>
      <c r="N682" s="1690"/>
      <c r="O682" s="1891" t="e">
        <f t="shared" si="98"/>
        <v>#DIV/0!</v>
      </c>
      <c r="P682" s="1690"/>
      <c r="Q682" s="1690"/>
      <c r="R682" s="1754"/>
    </row>
    <row r="683" spans="1:18" ht="24.75" customHeight="1" hidden="1">
      <c r="A683" s="1743">
        <v>3240</v>
      </c>
      <c r="B683" s="1751" t="s">
        <v>351</v>
      </c>
      <c r="C683" s="895"/>
      <c r="D683" s="893">
        <f t="shared" si="97"/>
        <v>0</v>
      </c>
      <c r="E683" s="893">
        <f t="shared" si="99"/>
        <v>0</v>
      </c>
      <c r="F683" s="1666" t="e">
        <f t="shared" si="92"/>
        <v>#DIV/0!</v>
      </c>
      <c r="G683" s="893"/>
      <c r="H683" s="1820"/>
      <c r="I683" s="1669" t="e">
        <f t="shared" si="95"/>
        <v>#DIV/0!</v>
      </c>
      <c r="J683" s="1745"/>
      <c r="K683" s="1690"/>
      <c r="L683" s="1746"/>
      <c r="M683" s="1689"/>
      <c r="N683" s="1690"/>
      <c r="O683" s="1891" t="e">
        <f t="shared" si="98"/>
        <v>#DIV/0!</v>
      </c>
      <c r="P683" s="1690"/>
      <c r="Q683" s="1690"/>
      <c r="R683" s="1754"/>
    </row>
    <row r="684" spans="1:18" ht="60">
      <c r="A684" s="1743">
        <v>3020</v>
      </c>
      <c r="B684" s="1751" t="s">
        <v>352</v>
      </c>
      <c r="C684" s="895">
        <v>100000</v>
      </c>
      <c r="D684" s="893">
        <f t="shared" si="97"/>
        <v>100000</v>
      </c>
      <c r="E684" s="893">
        <f t="shared" si="99"/>
        <v>0</v>
      </c>
      <c r="F684" s="1666">
        <f t="shared" si="92"/>
        <v>0</v>
      </c>
      <c r="G684" s="893"/>
      <c r="H684" s="1820"/>
      <c r="I684" s="1669"/>
      <c r="J684" s="1745"/>
      <c r="K684" s="1690"/>
      <c r="L684" s="1746"/>
      <c r="M684" s="1689">
        <v>100000</v>
      </c>
      <c r="N684" s="1690"/>
      <c r="O684" s="1891">
        <f t="shared" si="98"/>
        <v>0</v>
      </c>
      <c r="P684" s="1690"/>
      <c r="Q684" s="1690"/>
      <c r="R684" s="1754"/>
    </row>
    <row r="685" spans="1:18" ht="35.25" customHeight="1">
      <c r="A685" s="1743">
        <v>4010</v>
      </c>
      <c r="B685" s="1751" t="s">
        <v>353</v>
      </c>
      <c r="C685" s="895">
        <v>200000</v>
      </c>
      <c r="D685" s="893">
        <f t="shared" si="97"/>
        <v>48260</v>
      </c>
      <c r="E685" s="893">
        <f>SUM(H685+K685+N685+Q685)</f>
        <v>0</v>
      </c>
      <c r="F685" s="1666">
        <f t="shared" si="92"/>
        <v>0</v>
      </c>
      <c r="G685" s="893"/>
      <c r="H685" s="1820"/>
      <c r="I685" s="1669"/>
      <c r="J685" s="1745"/>
      <c r="K685" s="1690"/>
      <c r="L685" s="1746"/>
      <c r="M685" s="1689">
        <f>100000-14610-37130</f>
        <v>48260</v>
      </c>
      <c r="N685" s="1690"/>
      <c r="O685" s="1891">
        <f t="shared" si="98"/>
        <v>0</v>
      </c>
      <c r="P685" s="1690"/>
      <c r="Q685" s="1690"/>
      <c r="R685" s="1754"/>
    </row>
    <row r="686" spans="1:18" ht="35.25" customHeight="1">
      <c r="A686" s="1743">
        <v>4010</v>
      </c>
      <c r="B686" s="1751" t="s">
        <v>354</v>
      </c>
      <c r="C686" s="895">
        <v>300000</v>
      </c>
      <c r="D686" s="893">
        <f t="shared" si="97"/>
        <v>264480</v>
      </c>
      <c r="E686" s="893">
        <f>SUM(H686+K686+N686+Q686)</f>
        <v>0</v>
      </c>
      <c r="F686" s="1666">
        <f>E686/D686*100</f>
        <v>0</v>
      </c>
      <c r="G686" s="893">
        <f>200000-100000-1500-11000-3020</f>
        <v>84480</v>
      </c>
      <c r="H686" s="1820"/>
      <c r="I686" s="1669">
        <f t="shared" si="95"/>
        <v>0</v>
      </c>
      <c r="J686" s="1745"/>
      <c r="K686" s="1690"/>
      <c r="L686" s="1746"/>
      <c r="M686" s="1689">
        <f>100000+80000</f>
        <v>180000</v>
      </c>
      <c r="N686" s="1690"/>
      <c r="O686" s="1695">
        <f t="shared" si="98"/>
        <v>0</v>
      </c>
      <c r="P686" s="1690"/>
      <c r="Q686" s="1690"/>
      <c r="R686" s="1754"/>
    </row>
    <row r="687" spans="1:18" ht="24">
      <c r="A687" s="1743">
        <v>4170</v>
      </c>
      <c r="B687" s="1751" t="s">
        <v>169</v>
      </c>
      <c r="C687" s="895"/>
      <c r="D687" s="893">
        <f t="shared" si="97"/>
        <v>17340</v>
      </c>
      <c r="E687" s="893">
        <f>SUM(H687+K687+N687+Q687)</f>
        <v>11421</v>
      </c>
      <c r="F687" s="1666">
        <f>E687/D687*100</f>
        <v>65.86505190311419</v>
      </c>
      <c r="G687" s="893"/>
      <c r="H687" s="1820"/>
      <c r="I687" s="1669"/>
      <c r="J687" s="1745"/>
      <c r="K687" s="1690"/>
      <c r="L687" s="1746"/>
      <c r="M687" s="1689">
        <f>20000-2660</f>
        <v>17340</v>
      </c>
      <c r="N687" s="1690">
        <v>11421</v>
      </c>
      <c r="O687" s="1695">
        <f t="shared" si="98"/>
        <v>65.86505190311419</v>
      </c>
      <c r="P687" s="1690"/>
      <c r="Q687" s="1690"/>
      <c r="R687" s="1754"/>
    </row>
    <row r="688" spans="1:18" ht="27.75" customHeight="1">
      <c r="A688" s="1743">
        <v>4210</v>
      </c>
      <c r="B688" s="1751" t="s">
        <v>114</v>
      </c>
      <c r="C688" s="895">
        <v>15000</v>
      </c>
      <c r="D688" s="893">
        <f t="shared" si="97"/>
        <v>11081</v>
      </c>
      <c r="E688" s="893">
        <f t="shared" si="99"/>
        <v>4518</v>
      </c>
      <c r="F688" s="1666">
        <f t="shared" si="92"/>
        <v>40.7724934572692</v>
      </c>
      <c r="G688" s="893">
        <f>5000-3419</f>
        <v>1581</v>
      </c>
      <c r="H688" s="1820">
        <v>578</v>
      </c>
      <c r="I688" s="1669">
        <f t="shared" si="95"/>
        <v>36.55913978494624</v>
      </c>
      <c r="J688" s="1745"/>
      <c r="K688" s="1690"/>
      <c r="L688" s="1746"/>
      <c r="M688" s="1689">
        <f>10000-1000+3940-3440</f>
        <v>9500</v>
      </c>
      <c r="N688" s="1690">
        <v>3940</v>
      </c>
      <c r="O688" s="1695">
        <f t="shared" si="98"/>
        <v>41.473684210526315</v>
      </c>
      <c r="P688" s="1690"/>
      <c r="Q688" s="1690"/>
      <c r="R688" s="1754"/>
    </row>
    <row r="689" spans="1:18" ht="35.25" customHeight="1">
      <c r="A689" s="1743">
        <v>4240</v>
      </c>
      <c r="B689" s="1751" t="s">
        <v>185</v>
      </c>
      <c r="C689" s="895">
        <v>17000</v>
      </c>
      <c r="D689" s="893">
        <f t="shared" si="97"/>
        <v>0</v>
      </c>
      <c r="E689" s="893">
        <f t="shared" si="99"/>
        <v>0</v>
      </c>
      <c r="F689" s="1666"/>
      <c r="G689" s="893"/>
      <c r="H689" s="1820"/>
      <c r="I689" s="1669"/>
      <c r="J689" s="1745"/>
      <c r="K689" s="1690"/>
      <c r="L689" s="1746"/>
      <c r="M689" s="1689"/>
      <c r="N689" s="1690"/>
      <c r="O689" s="1695"/>
      <c r="P689" s="1690"/>
      <c r="Q689" s="1690"/>
      <c r="R689" s="1754"/>
    </row>
    <row r="690" spans="1:18" ht="15.75" customHeight="1">
      <c r="A690" s="1743">
        <v>4270</v>
      </c>
      <c r="B690" s="1751" t="s">
        <v>120</v>
      </c>
      <c r="C690" s="895">
        <v>1226000</v>
      </c>
      <c r="D690" s="893">
        <f t="shared" si="97"/>
        <v>1226000</v>
      </c>
      <c r="E690" s="893">
        <f t="shared" si="99"/>
        <v>28304</v>
      </c>
      <c r="F690" s="1666">
        <f t="shared" si="92"/>
        <v>2.308646003262643</v>
      </c>
      <c r="G690" s="893">
        <v>626000</v>
      </c>
      <c r="H690" s="1820">
        <v>27354</v>
      </c>
      <c r="I690" s="1669">
        <f t="shared" si="95"/>
        <v>4.36964856230032</v>
      </c>
      <c r="J690" s="1745"/>
      <c r="K690" s="1690"/>
      <c r="L690" s="1746"/>
      <c r="M690" s="1689">
        <v>600000</v>
      </c>
      <c r="N690" s="1690">
        <v>950</v>
      </c>
      <c r="O690" s="1695">
        <f t="shared" si="98"/>
        <v>0.15833333333333333</v>
      </c>
      <c r="P690" s="1690"/>
      <c r="Q690" s="1690"/>
      <c r="R690" s="1754"/>
    </row>
    <row r="691" spans="1:18" ht="23.25" customHeight="1" hidden="1">
      <c r="A691" s="1743">
        <v>4300</v>
      </c>
      <c r="B691" s="1751" t="s">
        <v>355</v>
      </c>
      <c r="C691" s="895"/>
      <c r="D691" s="893">
        <f t="shared" si="97"/>
        <v>0</v>
      </c>
      <c r="E691" s="893">
        <f t="shared" si="99"/>
        <v>0</v>
      </c>
      <c r="F691" s="1666" t="e">
        <f t="shared" si="92"/>
        <v>#DIV/0!</v>
      </c>
      <c r="G691" s="895">
        <f>26245-26245</f>
        <v>0</v>
      </c>
      <c r="H691" s="893"/>
      <c r="I691" s="1669" t="e">
        <f t="shared" si="95"/>
        <v>#DIV/0!</v>
      </c>
      <c r="J691" s="1745"/>
      <c r="K691" s="1690"/>
      <c r="L691" s="1746"/>
      <c r="M691" s="895">
        <f>33800-33800</f>
        <v>0</v>
      </c>
      <c r="N691" s="893">
        <v>0</v>
      </c>
      <c r="O691" s="1695" t="e">
        <f t="shared" si="98"/>
        <v>#DIV/0!</v>
      </c>
      <c r="P691" s="1690"/>
      <c r="Q691" s="1690"/>
      <c r="R691" s="1754"/>
    </row>
    <row r="692" spans="1:18" ht="12.75">
      <c r="A692" s="1743">
        <v>4300</v>
      </c>
      <c r="B692" s="1751" t="s">
        <v>122</v>
      </c>
      <c r="C692" s="895">
        <f>SUM(C693:C702)</f>
        <v>1073000</v>
      </c>
      <c r="D692" s="893">
        <f t="shared" si="97"/>
        <v>900276</v>
      </c>
      <c r="E692" s="893">
        <f t="shared" si="99"/>
        <v>310711</v>
      </c>
      <c r="F692" s="1666">
        <f t="shared" si="92"/>
        <v>34.51286050055761</v>
      </c>
      <c r="G692" s="1878">
        <f>SUM(G693:G702)</f>
        <v>819200</v>
      </c>
      <c r="H692" s="893">
        <f>SUM(H693:H702)</f>
        <v>285715</v>
      </c>
      <c r="I692" s="1669">
        <f t="shared" si="95"/>
        <v>34.8773193359375</v>
      </c>
      <c r="J692" s="1745"/>
      <c r="K692" s="1690"/>
      <c r="L692" s="1746"/>
      <c r="M692" s="895">
        <f>SUM(M693:M702)</f>
        <v>81076</v>
      </c>
      <c r="N692" s="893">
        <f>SUM(N693:N702)</f>
        <v>24996</v>
      </c>
      <c r="O692" s="1695">
        <f t="shared" si="98"/>
        <v>30.830332034140806</v>
      </c>
      <c r="P692" s="1690"/>
      <c r="Q692" s="1690"/>
      <c r="R692" s="1754"/>
    </row>
    <row r="693" spans="1:18" s="1585" customFormat="1" ht="12.75">
      <c r="A693" s="1805"/>
      <c r="B693" s="1904" t="s">
        <v>356</v>
      </c>
      <c r="C693" s="1807">
        <v>665700</v>
      </c>
      <c r="D693" s="1808">
        <f t="shared" si="97"/>
        <v>818500</v>
      </c>
      <c r="E693" s="1808">
        <f t="shared" si="99"/>
        <v>292436</v>
      </c>
      <c r="F693" s="1990">
        <f t="shared" si="92"/>
        <v>35.72828344532682</v>
      </c>
      <c r="G693" s="1807">
        <f>650000+149800+3000</f>
        <v>802800</v>
      </c>
      <c r="H693" s="1808">
        <v>285715</v>
      </c>
      <c r="I693" s="1666">
        <f t="shared" si="95"/>
        <v>35.58981066268061</v>
      </c>
      <c r="J693" s="1810"/>
      <c r="K693" s="1808"/>
      <c r="L693" s="1809"/>
      <c r="M693" s="1807">
        <v>15700</v>
      </c>
      <c r="N693" s="1808">
        <v>6721</v>
      </c>
      <c r="O693" s="1879">
        <f t="shared" si="98"/>
        <v>42.80891719745223</v>
      </c>
      <c r="P693" s="1808"/>
      <c r="Q693" s="1808"/>
      <c r="R693" s="1813"/>
    </row>
    <row r="694" spans="1:18" s="1585" customFormat="1" ht="24">
      <c r="A694" s="1805"/>
      <c r="B694" s="1904" t="s">
        <v>357</v>
      </c>
      <c r="C694" s="1807">
        <v>150000</v>
      </c>
      <c r="D694" s="1808">
        <f t="shared" si="97"/>
        <v>18200</v>
      </c>
      <c r="E694" s="1808">
        <f t="shared" si="99"/>
        <v>0</v>
      </c>
      <c r="F694" s="1990">
        <f t="shared" si="92"/>
        <v>0</v>
      </c>
      <c r="G694" s="1807"/>
      <c r="H694" s="1808"/>
      <c r="I694" s="1666"/>
      <c r="J694" s="1810"/>
      <c r="K694" s="1808"/>
      <c r="L694" s="1809"/>
      <c r="M694" s="1807">
        <f>150000-45800-86000</f>
        <v>18200</v>
      </c>
      <c r="N694" s="1808"/>
      <c r="O694" s="1891">
        <f t="shared" si="98"/>
        <v>0</v>
      </c>
      <c r="P694" s="1808"/>
      <c r="Q694" s="1808"/>
      <c r="R694" s="1813"/>
    </row>
    <row r="695" spans="1:18" s="1585" customFormat="1" ht="12.75">
      <c r="A695" s="1805"/>
      <c r="B695" s="1904" t="s">
        <v>358</v>
      </c>
      <c r="C695" s="1807">
        <v>2500</v>
      </c>
      <c r="D695" s="1808">
        <f t="shared" si="97"/>
        <v>0</v>
      </c>
      <c r="E695" s="1808">
        <f t="shared" si="99"/>
        <v>0</v>
      </c>
      <c r="F695" s="1990"/>
      <c r="G695" s="1807"/>
      <c r="H695" s="1808"/>
      <c r="I695" s="1666"/>
      <c r="J695" s="1810"/>
      <c r="K695" s="1808"/>
      <c r="L695" s="1809"/>
      <c r="M695" s="1807"/>
      <c r="N695" s="1808"/>
      <c r="O695" s="1891"/>
      <c r="P695" s="1808"/>
      <c r="Q695" s="1808"/>
      <c r="R695" s="1813"/>
    </row>
    <row r="696" spans="1:18" s="1585" customFormat="1" ht="12.75">
      <c r="A696" s="1805"/>
      <c r="B696" s="1904" t="s">
        <v>122</v>
      </c>
      <c r="C696" s="1807">
        <v>9200</v>
      </c>
      <c r="D696" s="1808">
        <f t="shared" si="97"/>
        <v>30600</v>
      </c>
      <c r="E696" s="1808">
        <f t="shared" si="99"/>
        <v>8515</v>
      </c>
      <c r="F696" s="1990">
        <f t="shared" si="92"/>
        <v>27.826797385620917</v>
      </c>
      <c r="G696" s="1807">
        <v>16400</v>
      </c>
      <c r="H696" s="1808"/>
      <c r="I696" s="1666"/>
      <c r="J696" s="1810"/>
      <c r="K696" s="1808"/>
      <c r="L696" s="1809"/>
      <c r="M696" s="1807">
        <f>9200+5000</f>
        <v>14200</v>
      </c>
      <c r="N696" s="1808">
        <v>8515</v>
      </c>
      <c r="O696" s="1891">
        <f t="shared" si="98"/>
        <v>59.96478873239437</v>
      </c>
      <c r="P696" s="1808"/>
      <c r="Q696" s="1808"/>
      <c r="R696" s="1813"/>
    </row>
    <row r="697" spans="1:18" s="1585" customFormat="1" ht="12.75">
      <c r="A697" s="1805"/>
      <c r="B697" s="1904" t="s">
        <v>359</v>
      </c>
      <c r="C697" s="1807">
        <v>21600</v>
      </c>
      <c r="D697" s="1808">
        <f t="shared" si="97"/>
        <v>21600</v>
      </c>
      <c r="E697" s="1808">
        <f t="shared" si="99"/>
        <v>0</v>
      </c>
      <c r="F697" s="1990">
        <f>E697/D697*100</f>
        <v>0</v>
      </c>
      <c r="G697" s="1807"/>
      <c r="H697" s="1808"/>
      <c r="I697" s="1666"/>
      <c r="J697" s="1810"/>
      <c r="K697" s="1808"/>
      <c r="L697" s="1809"/>
      <c r="M697" s="1807">
        <v>21600</v>
      </c>
      <c r="N697" s="1808"/>
      <c r="O697" s="1891">
        <f t="shared" si="98"/>
        <v>0</v>
      </c>
      <c r="P697" s="1808"/>
      <c r="Q697" s="1808"/>
      <c r="R697" s="1813"/>
    </row>
    <row r="698" spans="1:18" s="1585" customFormat="1" ht="24">
      <c r="A698" s="1805"/>
      <c r="B698" s="1904" t="s">
        <v>360</v>
      </c>
      <c r="C698" s="1807">
        <v>168000</v>
      </c>
      <c r="D698" s="1808">
        <f t="shared" si="97"/>
        <v>0</v>
      </c>
      <c r="E698" s="1808">
        <f t="shared" si="99"/>
        <v>0</v>
      </c>
      <c r="F698" s="1990"/>
      <c r="G698" s="1807"/>
      <c r="H698" s="1808"/>
      <c r="I698" s="1666"/>
      <c r="J698" s="1810"/>
      <c r="K698" s="1808"/>
      <c r="L698" s="1809"/>
      <c r="M698" s="1807"/>
      <c r="N698" s="1808"/>
      <c r="O698" s="1891"/>
      <c r="P698" s="1808"/>
      <c r="Q698" s="1808"/>
      <c r="R698" s="1813"/>
    </row>
    <row r="699" spans="1:18" s="1585" customFormat="1" ht="12.75">
      <c r="A699" s="1805"/>
      <c r="B699" s="1904" t="s">
        <v>361</v>
      </c>
      <c r="C699" s="1807">
        <v>20000</v>
      </c>
      <c r="D699" s="1808">
        <f t="shared" si="97"/>
        <v>2760</v>
      </c>
      <c r="E699" s="1808">
        <f t="shared" si="99"/>
        <v>2760</v>
      </c>
      <c r="F699" s="1990"/>
      <c r="G699" s="1807"/>
      <c r="H699" s="1808"/>
      <c r="I699" s="1666"/>
      <c r="J699" s="1810"/>
      <c r="K699" s="1808"/>
      <c r="L699" s="1809"/>
      <c r="M699" s="1807">
        <v>2760</v>
      </c>
      <c r="N699" s="1808">
        <v>2760</v>
      </c>
      <c r="O699" s="1891"/>
      <c r="P699" s="1808"/>
      <c r="Q699" s="1808"/>
      <c r="R699" s="1813"/>
    </row>
    <row r="700" spans="1:18" s="1585" customFormat="1" ht="24">
      <c r="A700" s="1805"/>
      <c r="B700" s="1904" t="s">
        <v>362</v>
      </c>
      <c r="C700" s="1807">
        <v>5000</v>
      </c>
      <c r="D700" s="1808">
        <f t="shared" si="97"/>
        <v>5000</v>
      </c>
      <c r="E700" s="1808">
        <f t="shared" si="99"/>
        <v>5000</v>
      </c>
      <c r="F700" s="1990">
        <f aca="true" t="shared" si="100" ref="F700:F763">E700/D700*100</f>
        <v>100</v>
      </c>
      <c r="G700" s="1807"/>
      <c r="H700" s="1808"/>
      <c r="I700" s="1666"/>
      <c r="J700" s="1810"/>
      <c r="K700" s="1808"/>
      <c r="L700" s="1809"/>
      <c r="M700" s="1807">
        <v>5000</v>
      </c>
      <c r="N700" s="1808">
        <v>5000</v>
      </c>
      <c r="O700" s="1891">
        <f>N700/M700*100</f>
        <v>100</v>
      </c>
      <c r="P700" s="1808"/>
      <c r="Q700" s="1808"/>
      <c r="R700" s="1813"/>
    </row>
    <row r="701" spans="1:18" s="1585" customFormat="1" ht="24">
      <c r="A701" s="1805"/>
      <c r="B701" s="1904" t="s">
        <v>363</v>
      </c>
      <c r="C701" s="1807">
        <v>19000</v>
      </c>
      <c r="D701" s="1808">
        <f t="shared" si="97"/>
        <v>3616</v>
      </c>
      <c r="E701" s="1808">
        <f t="shared" si="99"/>
        <v>2000</v>
      </c>
      <c r="F701" s="1990">
        <f t="shared" si="100"/>
        <v>55.309734513274336</v>
      </c>
      <c r="G701" s="1807"/>
      <c r="H701" s="1808"/>
      <c r="I701" s="1666"/>
      <c r="J701" s="1810"/>
      <c r="K701" s="1808"/>
      <c r="L701" s="1809"/>
      <c r="M701" s="1807">
        <f>9000-2384-3000</f>
        <v>3616</v>
      </c>
      <c r="N701" s="1808">
        <v>2000</v>
      </c>
      <c r="O701" s="1891">
        <f>N701/M701*100</f>
        <v>55.309734513274336</v>
      </c>
      <c r="P701" s="1808"/>
      <c r="Q701" s="1808"/>
      <c r="R701" s="1813"/>
    </row>
    <row r="702" spans="1:18" s="1585" customFormat="1" ht="36">
      <c r="A702" s="1805"/>
      <c r="B702" s="1904" t="s">
        <v>364</v>
      </c>
      <c r="C702" s="1807">
        <v>12000</v>
      </c>
      <c r="D702" s="1808">
        <f t="shared" si="97"/>
        <v>0</v>
      </c>
      <c r="E702" s="1808">
        <f t="shared" si="99"/>
        <v>0</v>
      </c>
      <c r="F702" s="1990"/>
      <c r="G702" s="1807"/>
      <c r="H702" s="1808"/>
      <c r="I702" s="1666"/>
      <c r="J702" s="1810"/>
      <c r="K702" s="1808"/>
      <c r="L702" s="1809"/>
      <c r="M702" s="1807"/>
      <c r="N702" s="1808"/>
      <c r="O702" s="1891"/>
      <c r="P702" s="1808"/>
      <c r="Q702" s="1808"/>
      <c r="R702" s="1813"/>
    </row>
    <row r="703" spans="1:18" ht="12.75">
      <c r="A703" s="1743">
        <v>4430</v>
      </c>
      <c r="B703" s="1751" t="s">
        <v>124</v>
      </c>
      <c r="C703" s="895">
        <v>75000</v>
      </c>
      <c r="D703" s="893">
        <f t="shared" si="97"/>
        <v>175800</v>
      </c>
      <c r="E703" s="893">
        <f t="shared" si="99"/>
        <v>95629</v>
      </c>
      <c r="F703" s="1990">
        <f t="shared" si="100"/>
        <v>54.39647326507395</v>
      </c>
      <c r="G703" s="895">
        <f>30000+50400</f>
        <v>80400</v>
      </c>
      <c r="H703" s="893">
        <v>40915</v>
      </c>
      <c r="I703" s="1666">
        <f t="shared" si="95"/>
        <v>50.88930348258707</v>
      </c>
      <c r="J703" s="1745"/>
      <c r="K703" s="1690"/>
      <c r="L703" s="1746"/>
      <c r="M703" s="1689">
        <f>45000+50400</f>
        <v>95400</v>
      </c>
      <c r="N703" s="1690">
        <v>54714</v>
      </c>
      <c r="O703" s="1695">
        <f>N703/M703*100</f>
        <v>57.35220125786164</v>
      </c>
      <c r="P703" s="1690"/>
      <c r="Q703" s="1690"/>
      <c r="R703" s="1754"/>
    </row>
    <row r="704" spans="1:18" ht="12.75">
      <c r="A704" s="1743">
        <v>4440</v>
      </c>
      <c r="B704" s="1751" t="s">
        <v>365</v>
      </c>
      <c r="C704" s="895">
        <v>650000</v>
      </c>
      <c r="D704" s="893">
        <f t="shared" si="97"/>
        <v>655578</v>
      </c>
      <c r="E704" s="893">
        <f t="shared" si="99"/>
        <v>491684</v>
      </c>
      <c r="F704" s="1990">
        <f t="shared" si="100"/>
        <v>75.00007626857521</v>
      </c>
      <c r="G704" s="895">
        <f>350000+4492</f>
        <v>354492</v>
      </c>
      <c r="H704" s="893">
        <v>265869</v>
      </c>
      <c r="I704" s="1666">
        <f t="shared" si="95"/>
        <v>75</v>
      </c>
      <c r="J704" s="1745"/>
      <c r="K704" s="1690"/>
      <c r="L704" s="1746"/>
      <c r="M704" s="1689">
        <f>300000+1086</f>
        <v>301086</v>
      </c>
      <c r="N704" s="1690">
        <v>225815</v>
      </c>
      <c r="O704" s="1891">
        <f>N704/M704*100</f>
        <v>75.00016606550952</v>
      </c>
      <c r="P704" s="1690"/>
      <c r="Q704" s="1690"/>
      <c r="R704" s="1754"/>
    </row>
    <row r="705" spans="1:18" ht="36">
      <c r="A705" s="1743">
        <v>6068</v>
      </c>
      <c r="B705" s="1751" t="s">
        <v>179</v>
      </c>
      <c r="C705" s="895"/>
      <c r="D705" s="893">
        <f t="shared" si="97"/>
        <v>502791</v>
      </c>
      <c r="E705" s="893">
        <f t="shared" si="99"/>
        <v>7422</v>
      </c>
      <c r="F705" s="1990">
        <f t="shared" si="100"/>
        <v>1.47616007446434</v>
      </c>
      <c r="G705" s="895"/>
      <c r="H705" s="893"/>
      <c r="I705" s="1666"/>
      <c r="J705" s="1745"/>
      <c r="K705" s="1690"/>
      <c r="L705" s="1746"/>
      <c r="M705" s="1689">
        <v>502791</v>
      </c>
      <c r="N705" s="1690">
        <v>7422</v>
      </c>
      <c r="O705" s="1891">
        <f>N705/M705*100</f>
        <v>1.47616007446434</v>
      </c>
      <c r="P705" s="1690"/>
      <c r="Q705" s="1690"/>
      <c r="R705" s="1754"/>
    </row>
    <row r="706" spans="1:18" ht="36">
      <c r="A706" s="1743">
        <v>6069</v>
      </c>
      <c r="B706" s="1751" t="s">
        <v>179</v>
      </c>
      <c r="C706" s="895"/>
      <c r="D706" s="893">
        <f t="shared" si="97"/>
        <v>194000</v>
      </c>
      <c r="E706" s="893">
        <f t="shared" si="99"/>
        <v>3523</v>
      </c>
      <c r="F706" s="1990">
        <f t="shared" si="100"/>
        <v>1.815979381443299</v>
      </c>
      <c r="G706" s="895"/>
      <c r="H706" s="893"/>
      <c r="I706" s="1666"/>
      <c r="J706" s="1745"/>
      <c r="K706" s="1690"/>
      <c r="L706" s="1746"/>
      <c r="M706" s="1689">
        <f>168000+26000</f>
        <v>194000</v>
      </c>
      <c r="N706" s="1690">
        <v>3523</v>
      </c>
      <c r="O706" s="1891">
        <f>N706/M706*100</f>
        <v>1.815979381443299</v>
      </c>
      <c r="P706" s="1690"/>
      <c r="Q706" s="1690"/>
      <c r="R706" s="1754"/>
    </row>
    <row r="707" spans="1:18" ht="60">
      <c r="A707" s="1743">
        <v>2540</v>
      </c>
      <c r="B707" s="1751" t="s">
        <v>366</v>
      </c>
      <c r="C707" s="895">
        <v>30000</v>
      </c>
      <c r="D707" s="893">
        <f t="shared" si="97"/>
        <v>30000</v>
      </c>
      <c r="E707" s="893">
        <f t="shared" si="99"/>
        <v>15006</v>
      </c>
      <c r="F707" s="1990">
        <f t="shared" si="100"/>
        <v>50.019999999999996</v>
      </c>
      <c r="G707" s="895">
        <v>30000</v>
      </c>
      <c r="H707" s="893">
        <v>15006</v>
      </c>
      <c r="I707" s="1666">
        <f t="shared" si="95"/>
        <v>50.019999999999996</v>
      </c>
      <c r="J707" s="1745"/>
      <c r="K707" s="1690"/>
      <c r="L707" s="1746"/>
      <c r="M707" s="1689"/>
      <c r="N707" s="1690"/>
      <c r="O707" s="1695"/>
      <c r="P707" s="1690"/>
      <c r="Q707" s="1690"/>
      <c r="R707" s="1754"/>
    </row>
    <row r="708" spans="1:18" ht="36" hidden="1">
      <c r="A708" s="1743">
        <v>2550</v>
      </c>
      <c r="B708" s="1751" t="s">
        <v>367</v>
      </c>
      <c r="C708" s="895"/>
      <c r="D708" s="893">
        <f t="shared" si="97"/>
        <v>0</v>
      </c>
      <c r="E708" s="893">
        <f t="shared" si="99"/>
        <v>0</v>
      </c>
      <c r="F708" s="1990" t="e">
        <f t="shared" si="100"/>
        <v>#DIV/0!</v>
      </c>
      <c r="G708" s="895"/>
      <c r="H708" s="893"/>
      <c r="I708" s="1666" t="e">
        <f t="shared" si="95"/>
        <v>#DIV/0!</v>
      </c>
      <c r="J708" s="1745"/>
      <c r="K708" s="1690"/>
      <c r="L708" s="1746"/>
      <c r="M708" s="1689"/>
      <c r="N708" s="1690"/>
      <c r="O708" s="1695"/>
      <c r="P708" s="1690"/>
      <c r="Q708" s="1690"/>
      <c r="R708" s="1754"/>
    </row>
    <row r="709" spans="1:18" ht="64.5" customHeight="1" thickBot="1">
      <c r="A709" s="1743">
        <v>2820</v>
      </c>
      <c r="B709" s="1751" t="s">
        <v>368</v>
      </c>
      <c r="C709" s="895">
        <v>28000</v>
      </c>
      <c r="D709" s="893">
        <f t="shared" si="97"/>
        <v>28000</v>
      </c>
      <c r="E709" s="893">
        <f t="shared" si="99"/>
        <v>10000</v>
      </c>
      <c r="F709" s="1990">
        <f t="shared" si="100"/>
        <v>35.714285714285715</v>
      </c>
      <c r="G709" s="1689">
        <v>28000</v>
      </c>
      <c r="H709" s="1690">
        <v>10000</v>
      </c>
      <c r="I709" s="1666">
        <f t="shared" si="95"/>
        <v>35.714285714285715</v>
      </c>
      <c r="J709" s="1745"/>
      <c r="K709" s="1690"/>
      <c r="L709" s="1746"/>
      <c r="M709" s="1689"/>
      <c r="N709" s="1690"/>
      <c r="O709" s="1695"/>
      <c r="P709" s="1690"/>
      <c r="Q709" s="1690"/>
      <c r="R709" s="1754"/>
    </row>
    <row r="710" spans="1:18" ht="27" customHeight="1" thickBot="1" thickTop="1">
      <c r="A710" s="1729">
        <v>803</v>
      </c>
      <c r="B710" s="1730" t="s">
        <v>369</v>
      </c>
      <c r="C710" s="875">
        <f>SUM(C711)+C715</f>
        <v>78500</v>
      </c>
      <c r="D710" s="876">
        <f t="shared" si="97"/>
        <v>77370</v>
      </c>
      <c r="E710" s="876">
        <f>E711+E715</f>
        <v>60794</v>
      </c>
      <c r="F710" s="1991">
        <f t="shared" si="100"/>
        <v>78.57567532635389</v>
      </c>
      <c r="G710" s="1731">
        <f>G711+G715</f>
        <v>77370</v>
      </c>
      <c r="H710" s="1716">
        <f>H711+H715</f>
        <v>60794</v>
      </c>
      <c r="I710" s="1642">
        <f t="shared" si="95"/>
        <v>78.57567532635389</v>
      </c>
      <c r="J710" s="1732"/>
      <c r="K710" s="1716"/>
      <c r="L710" s="1733"/>
      <c r="M710" s="1731"/>
      <c r="N710" s="1716"/>
      <c r="O710" s="1734"/>
      <c r="P710" s="1716"/>
      <c r="Q710" s="1716"/>
      <c r="R710" s="1834"/>
    </row>
    <row r="711" spans="1:18" ht="23.25" customHeight="1" thickTop="1">
      <c r="A711" s="1931">
        <v>80309</v>
      </c>
      <c r="B711" s="1932" t="s">
        <v>370</v>
      </c>
      <c r="C711" s="901">
        <f>SUM(C712:C714)</f>
        <v>72500</v>
      </c>
      <c r="D711" s="906">
        <f t="shared" si="97"/>
        <v>66370</v>
      </c>
      <c r="E711" s="906">
        <f>SUM(E712:E714)</f>
        <v>60794</v>
      </c>
      <c r="F711" s="1992">
        <f t="shared" si="100"/>
        <v>91.5986138315504</v>
      </c>
      <c r="G711" s="1933">
        <f>SUM(G712:G714)</f>
        <v>66370</v>
      </c>
      <c r="H711" s="1836">
        <f>SUM(H712:H714)</f>
        <v>60794</v>
      </c>
      <c r="I711" s="1654">
        <f aca="true" t="shared" si="101" ref="I711:I724">H711/G711*100</f>
        <v>91.5986138315504</v>
      </c>
      <c r="J711" s="1956"/>
      <c r="K711" s="1836"/>
      <c r="L711" s="1875"/>
      <c r="M711" s="1933"/>
      <c r="N711" s="1836"/>
      <c r="O711" s="1993"/>
      <c r="P711" s="1836"/>
      <c r="Q711" s="1836"/>
      <c r="R711" s="1958"/>
    </row>
    <row r="712" spans="1:18" ht="26.25" customHeight="1">
      <c r="A712" s="1722">
        <v>3210</v>
      </c>
      <c r="B712" s="1853" t="s">
        <v>371</v>
      </c>
      <c r="C712" s="927">
        <v>10000</v>
      </c>
      <c r="D712" s="932">
        <f t="shared" si="97"/>
        <v>12870</v>
      </c>
      <c r="E712" s="932">
        <f>SUM(H712+K712+N712+Q712)</f>
        <v>8190</v>
      </c>
      <c r="F712" s="1994">
        <f t="shared" si="100"/>
        <v>63.63636363636363</v>
      </c>
      <c r="G712" s="1693">
        <f>10000+2870</f>
        <v>12870</v>
      </c>
      <c r="H712" s="1707">
        <v>8190</v>
      </c>
      <c r="I712" s="1691">
        <f t="shared" si="101"/>
        <v>63.63636363636363</v>
      </c>
      <c r="J712" s="1854"/>
      <c r="K712" s="1707"/>
      <c r="L712" s="1849"/>
      <c r="M712" s="1693"/>
      <c r="N712" s="1707"/>
      <c r="O712" s="1855"/>
      <c r="P712" s="1707"/>
      <c r="Q712" s="1707"/>
      <c r="R712" s="1856"/>
    </row>
    <row r="713" spans="1:18" ht="26.25" customHeight="1">
      <c r="A713" s="1743">
        <v>3218</v>
      </c>
      <c r="B713" s="1751" t="s">
        <v>371</v>
      </c>
      <c r="C713" s="895">
        <v>46875</v>
      </c>
      <c r="D713" s="893">
        <f t="shared" si="97"/>
        <v>40125</v>
      </c>
      <c r="E713" s="893">
        <f>SUM(H713+K713+N713+Q713)</f>
        <v>39453</v>
      </c>
      <c r="F713" s="1990">
        <f t="shared" si="100"/>
        <v>98.32523364485981</v>
      </c>
      <c r="G713" s="1689">
        <f>46875-6750</f>
        <v>40125</v>
      </c>
      <c r="H713" s="1690">
        <v>39453</v>
      </c>
      <c r="I713" s="1666">
        <f t="shared" si="101"/>
        <v>98.32523364485981</v>
      </c>
      <c r="J713" s="1745"/>
      <c r="K713" s="1690"/>
      <c r="L713" s="1746"/>
      <c r="M713" s="1689"/>
      <c r="N713" s="1690"/>
      <c r="O713" s="1747"/>
      <c r="P713" s="1690"/>
      <c r="Q713" s="1690"/>
      <c r="R713" s="1754"/>
    </row>
    <row r="714" spans="1:18" ht="26.25" customHeight="1">
      <c r="A714" s="1798">
        <v>3219</v>
      </c>
      <c r="B714" s="1751" t="s">
        <v>371</v>
      </c>
      <c r="C714" s="924">
        <v>15625</v>
      </c>
      <c r="D714" s="893">
        <f t="shared" si="97"/>
        <v>13375</v>
      </c>
      <c r="E714" s="893">
        <f>SUM(H714+K714+N714+Q714)</f>
        <v>13151</v>
      </c>
      <c r="F714" s="1990">
        <f t="shared" si="100"/>
        <v>98.32523364485981</v>
      </c>
      <c r="G714" s="1800">
        <f>15625-2250</f>
        <v>13375</v>
      </c>
      <c r="H714" s="1791">
        <v>13151</v>
      </c>
      <c r="I714" s="1666">
        <f t="shared" si="101"/>
        <v>98.32523364485981</v>
      </c>
      <c r="J714" s="1801"/>
      <c r="K714" s="1791"/>
      <c r="L714" s="1857"/>
      <c r="M714" s="1800"/>
      <c r="N714" s="1791"/>
      <c r="O714" s="1804"/>
      <c r="P714" s="1791"/>
      <c r="Q714" s="1791"/>
      <c r="R714" s="1845"/>
    </row>
    <row r="715" spans="1:18" ht="17.25" customHeight="1">
      <c r="A715" s="1783">
        <v>80395</v>
      </c>
      <c r="B715" s="1882" t="s">
        <v>829</v>
      </c>
      <c r="C715" s="886">
        <f>C716</f>
        <v>6000</v>
      </c>
      <c r="D715" s="908">
        <f>G715+J715+P715+M715</f>
        <v>11000</v>
      </c>
      <c r="E715" s="908">
        <f>SUM(E716:E716)</f>
        <v>0</v>
      </c>
      <c r="F715" s="1776">
        <f t="shared" si="100"/>
        <v>0</v>
      </c>
      <c r="G715" s="886">
        <f>SUM(G716:G717)</f>
        <v>11000</v>
      </c>
      <c r="H715" s="908">
        <f>SUM(H716:H717)</f>
        <v>0</v>
      </c>
      <c r="I715" s="1776">
        <f t="shared" si="101"/>
        <v>0</v>
      </c>
      <c r="J715" s="1777"/>
      <c r="K715" s="1781"/>
      <c r="L715" s="1881"/>
      <c r="M715" s="1774"/>
      <c r="N715" s="1781"/>
      <c r="O715" s="1742"/>
      <c r="P715" s="1781"/>
      <c r="Q715" s="1781"/>
      <c r="R715" s="1782"/>
    </row>
    <row r="716" spans="1:18" ht="57" customHeight="1">
      <c r="A716" s="1743">
        <v>2820</v>
      </c>
      <c r="B716" s="1995" t="s">
        <v>844</v>
      </c>
      <c r="C716" s="895">
        <v>6000</v>
      </c>
      <c r="D716" s="893">
        <f>G716+J716+P716+M716</f>
        <v>6000</v>
      </c>
      <c r="E716" s="893">
        <f>SUM(H716+K716+N716+Q716)</f>
        <v>0</v>
      </c>
      <c r="F716" s="1990">
        <f>E716/D716*100</f>
        <v>0</v>
      </c>
      <c r="G716" s="1689">
        <v>6000</v>
      </c>
      <c r="H716" s="1690"/>
      <c r="I716" s="1666">
        <f>H716/G716*100</f>
        <v>0</v>
      </c>
      <c r="J716" s="1745"/>
      <c r="K716" s="1690"/>
      <c r="L716" s="1746"/>
      <c r="M716" s="1689"/>
      <c r="N716" s="1690"/>
      <c r="O716" s="1695"/>
      <c r="P716" s="1690"/>
      <c r="Q716" s="1690"/>
      <c r="R716" s="1754"/>
    </row>
    <row r="717" spans="1:18" ht="34.5" thickBot="1">
      <c r="A717" s="1743">
        <v>3040</v>
      </c>
      <c r="B717" s="1995" t="s">
        <v>372</v>
      </c>
      <c r="C717" s="895"/>
      <c r="D717" s="893">
        <f>G717+J717+P717+M717</f>
        <v>5000</v>
      </c>
      <c r="E717" s="893">
        <f>SUM(H717+K717+N717+Q717)</f>
        <v>0</v>
      </c>
      <c r="F717" s="1990">
        <f>E717/D717*100</f>
        <v>0</v>
      </c>
      <c r="G717" s="1689">
        <v>5000</v>
      </c>
      <c r="H717" s="1690"/>
      <c r="I717" s="1666">
        <f>H717/G717*100</f>
        <v>0</v>
      </c>
      <c r="J717" s="1745"/>
      <c r="K717" s="1690"/>
      <c r="L717" s="1746"/>
      <c r="M717" s="1689"/>
      <c r="N717" s="1690"/>
      <c r="O717" s="1695"/>
      <c r="P717" s="1690"/>
      <c r="Q717" s="1690"/>
      <c r="R717" s="1754"/>
    </row>
    <row r="718" spans="1:18" s="1735" customFormat="1" ht="17.25" customHeight="1" thickBot="1" thickTop="1">
      <c r="A718" s="1729">
        <v>851</v>
      </c>
      <c r="B718" s="1730" t="s">
        <v>631</v>
      </c>
      <c r="C718" s="1731">
        <f>C721+C726+C732+C741+C743+C759+C719</f>
        <v>1875700</v>
      </c>
      <c r="D718" s="876">
        <f t="shared" si="97"/>
        <v>4127410</v>
      </c>
      <c r="E718" s="1716">
        <f>H718+K718+Q718+N718</f>
        <v>1068071</v>
      </c>
      <c r="F718" s="1991">
        <f t="shared" si="100"/>
        <v>25.877511562941407</v>
      </c>
      <c r="G718" s="1731">
        <f>G721+G726+G732+G741+G743+G759+G719</f>
        <v>4118410</v>
      </c>
      <c r="H718" s="1716">
        <f>H721+H726+H732+H741+H743+H759+H719</f>
        <v>1064660</v>
      </c>
      <c r="I718" s="1642">
        <f t="shared" si="101"/>
        <v>25.851238706199727</v>
      </c>
      <c r="J718" s="1732"/>
      <c r="K718" s="1716"/>
      <c r="L718" s="1733"/>
      <c r="M718" s="1731"/>
      <c r="N718" s="1716"/>
      <c r="O718" s="1734"/>
      <c r="P718" s="1716">
        <f>P721+P726+P732+P741+P743+P759</f>
        <v>9000</v>
      </c>
      <c r="Q718" s="1716">
        <f>Q721+Q726+Q732+Q741+Q743+Q759</f>
        <v>3411</v>
      </c>
      <c r="R718" s="1649">
        <f>Q718/P718*100</f>
        <v>37.9</v>
      </c>
    </row>
    <row r="719" spans="1:18" s="1735" customFormat="1" ht="17.25" customHeight="1" thickTop="1">
      <c r="A719" s="1931">
        <v>85111</v>
      </c>
      <c r="B719" s="1932" t="s">
        <v>846</v>
      </c>
      <c r="C719" s="1933"/>
      <c r="D719" s="1764">
        <f>G719+J719+M719+P719</f>
        <v>1500000</v>
      </c>
      <c r="E719" s="1934">
        <f>Q719+N719+K719+H719</f>
        <v>0</v>
      </c>
      <c r="F719" s="1992">
        <f t="shared" si="100"/>
        <v>0</v>
      </c>
      <c r="G719" s="1933">
        <f>SUM(G720)</f>
        <v>1500000</v>
      </c>
      <c r="H719" s="1836">
        <f>SUM(H720)</f>
        <v>0</v>
      </c>
      <c r="I719" s="1654">
        <f>H719/G719*100</f>
        <v>0</v>
      </c>
      <c r="J719" s="1956"/>
      <c r="K719" s="1836"/>
      <c r="L719" s="1875"/>
      <c r="M719" s="1933"/>
      <c r="N719" s="1836"/>
      <c r="O719" s="1993"/>
      <c r="P719" s="1836"/>
      <c r="Q719" s="1836"/>
      <c r="R719" s="1996"/>
    </row>
    <row r="720" spans="1:18" s="1586" customFormat="1" ht="72">
      <c r="A720" s="1818">
        <v>2330</v>
      </c>
      <c r="B720" s="1880" t="s">
        <v>373</v>
      </c>
      <c r="C720" s="895"/>
      <c r="D720" s="919">
        <f>G720+J720+M720+P720</f>
        <v>1500000</v>
      </c>
      <c r="E720" s="919">
        <f>Q720+N720+K720+H720</f>
        <v>0</v>
      </c>
      <c r="F720" s="1990">
        <f t="shared" si="100"/>
        <v>0</v>
      </c>
      <c r="G720" s="895">
        <v>1500000</v>
      </c>
      <c r="H720" s="893"/>
      <c r="I720" s="1666">
        <f>H720/G720*100</f>
        <v>0</v>
      </c>
      <c r="J720" s="1820"/>
      <c r="K720" s="893"/>
      <c r="L720" s="1746"/>
      <c r="M720" s="895"/>
      <c r="N720" s="893"/>
      <c r="O720" s="1821"/>
      <c r="P720" s="893"/>
      <c r="Q720" s="893"/>
      <c r="R720" s="894"/>
    </row>
    <row r="721" spans="1:18" ht="25.5" customHeight="1">
      <c r="A721" s="1736">
        <v>85149</v>
      </c>
      <c r="B721" s="1835" t="s">
        <v>848</v>
      </c>
      <c r="C721" s="1678">
        <f>SUM(C722:C725)</f>
        <v>27000</v>
      </c>
      <c r="D721" s="908">
        <f>G721+J721+P721+M721</f>
        <v>170000</v>
      </c>
      <c r="E721" s="1687">
        <f>SUM(E722:E725)</f>
        <v>665</v>
      </c>
      <c r="F721" s="1979">
        <f t="shared" si="100"/>
        <v>0.39117647058823535</v>
      </c>
      <c r="G721" s="1678">
        <f>SUM(G722:G725)</f>
        <v>170000</v>
      </c>
      <c r="H721" s="1687">
        <f>SUM(H722:H725)</f>
        <v>665</v>
      </c>
      <c r="I721" s="1681">
        <f t="shared" si="101"/>
        <v>0.39117647058823535</v>
      </c>
      <c r="J721" s="1792"/>
      <c r="K721" s="1687"/>
      <c r="L721" s="1786"/>
      <c r="M721" s="1678"/>
      <c r="N721" s="1687"/>
      <c r="O721" s="1793"/>
      <c r="P721" s="1687"/>
      <c r="Q721" s="1687"/>
      <c r="R721" s="1721"/>
    </row>
    <row r="722" spans="1:18" ht="52.5" customHeight="1" hidden="1">
      <c r="A722" s="1722">
        <v>2620</v>
      </c>
      <c r="B722" s="1997" t="s">
        <v>374</v>
      </c>
      <c r="C722" s="1693"/>
      <c r="D722" s="932">
        <f t="shared" si="97"/>
        <v>0</v>
      </c>
      <c r="E722" s="1707">
        <f>SUM(H722+K722+N722+Q722)</f>
        <v>0</v>
      </c>
      <c r="F722" s="1994" t="e">
        <f t="shared" si="100"/>
        <v>#DIV/0!</v>
      </c>
      <c r="G722" s="1693">
        <f>8000+7000-15000</f>
        <v>0</v>
      </c>
      <c r="H722" s="1707">
        <f>15000-15000</f>
        <v>0</v>
      </c>
      <c r="I722" s="1691" t="e">
        <f t="shared" si="101"/>
        <v>#DIV/0!</v>
      </c>
      <c r="J722" s="1854"/>
      <c r="K722" s="1707"/>
      <c r="L722" s="1849"/>
      <c r="M722" s="1693"/>
      <c r="N722" s="1707"/>
      <c r="O722" s="1855"/>
      <c r="P722" s="1707"/>
      <c r="Q722" s="1707"/>
      <c r="R722" s="1856"/>
    </row>
    <row r="723" spans="1:18" ht="52.5" customHeight="1">
      <c r="A723" s="1743">
        <v>2570</v>
      </c>
      <c r="B723" s="1997" t="s">
        <v>375</v>
      </c>
      <c r="C723" s="1689">
        <v>20000</v>
      </c>
      <c r="D723" s="893">
        <f t="shared" si="97"/>
        <v>163000</v>
      </c>
      <c r="E723" s="1690">
        <f>SUM(H723+K723+N723+Q723)</f>
        <v>0</v>
      </c>
      <c r="F723" s="1998">
        <f t="shared" si="100"/>
        <v>0</v>
      </c>
      <c r="G723" s="1689">
        <f>20000+150000-7000</f>
        <v>163000</v>
      </c>
      <c r="H723" s="1690"/>
      <c r="I723" s="1666">
        <f t="shared" si="101"/>
        <v>0</v>
      </c>
      <c r="J723" s="1745"/>
      <c r="K723" s="1690"/>
      <c r="L723" s="1746"/>
      <c r="M723" s="1689"/>
      <c r="N723" s="1690"/>
      <c r="O723" s="1747"/>
      <c r="P723" s="1690"/>
      <c r="Q723" s="1690"/>
      <c r="R723" s="1754"/>
    </row>
    <row r="724" spans="1:18" ht="84">
      <c r="A724" s="1743">
        <v>2830</v>
      </c>
      <c r="B724" s="1977" t="s">
        <v>850</v>
      </c>
      <c r="C724" s="1689">
        <v>4000</v>
      </c>
      <c r="D724" s="893">
        <f>G724+J724+P724+M724</f>
        <v>4000</v>
      </c>
      <c r="E724" s="1690">
        <f>SUM(H724+K724+N724+Q724)</f>
        <v>0</v>
      </c>
      <c r="F724" s="1990">
        <f t="shared" si="100"/>
        <v>0</v>
      </c>
      <c r="G724" s="1689">
        <v>4000</v>
      </c>
      <c r="H724" s="1690"/>
      <c r="I724" s="1669">
        <f t="shared" si="101"/>
        <v>0</v>
      </c>
      <c r="J724" s="1745"/>
      <c r="K724" s="1690"/>
      <c r="L724" s="1746"/>
      <c r="M724" s="1689"/>
      <c r="N724" s="1690"/>
      <c r="O724" s="1747"/>
      <c r="P724" s="1690"/>
      <c r="Q724" s="1690"/>
      <c r="R724" s="1754"/>
    </row>
    <row r="725" spans="1:18" ht="16.5" customHeight="1">
      <c r="A725" s="1798">
        <v>4300</v>
      </c>
      <c r="B725" s="1978" t="s">
        <v>122</v>
      </c>
      <c r="C725" s="1800">
        <v>3000</v>
      </c>
      <c r="D725" s="925">
        <f aca="true" t="shared" si="102" ref="D725:D746">G725+J725+P725+M725</f>
        <v>3000</v>
      </c>
      <c r="E725" s="1791">
        <f aca="true" t="shared" si="103" ref="E725:E731">SUM(H725+K725+N725+Q725)</f>
        <v>665</v>
      </c>
      <c r="F725" s="1999">
        <f t="shared" si="100"/>
        <v>22.166666666666668</v>
      </c>
      <c r="G725" s="1800">
        <v>3000</v>
      </c>
      <c r="H725" s="1802">
        <v>665</v>
      </c>
      <c r="I725" s="1719">
        <f>H725/G725*100</f>
        <v>22.166666666666668</v>
      </c>
      <c r="J725" s="1941"/>
      <c r="K725" s="1791"/>
      <c r="L725" s="1857"/>
      <c r="M725" s="1940"/>
      <c r="N725" s="1802"/>
      <c r="O725" s="1942"/>
      <c r="P725" s="1802"/>
      <c r="Q725" s="1802"/>
      <c r="R725" s="1943"/>
    </row>
    <row r="726" spans="1:18" s="1735" customFormat="1" ht="13.5" customHeight="1">
      <c r="A726" s="1736">
        <v>85153</v>
      </c>
      <c r="B726" s="1835" t="s">
        <v>851</v>
      </c>
      <c r="C726" s="1738">
        <f>SUM(C727:C731)</f>
        <v>55000</v>
      </c>
      <c r="D726" s="908">
        <f t="shared" si="102"/>
        <v>55000</v>
      </c>
      <c r="E726" s="1680">
        <f t="shared" si="103"/>
        <v>16788</v>
      </c>
      <c r="F726" s="1979">
        <f t="shared" si="100"/>
        <v>30.523636363636363</v>
      </c>
      <c r="G726" s="1738">
        <f>SUM(G727:G731)</f>
        <v>55000</v>
      </c>
      <c r="H726" s="1680">
        <f>SUM(H727:H731)</f>
        <v>16788</v>
      </c>
      <c r="I726" s="1681">
        <f aca="true" t="shared" si="104" ref="I726:I766">H726/G726*100</f>
        <v>30.523636363636363</v>
      </c>
      <c r="J726" s="1740"/>
      <c r="K726" s="1680"/>
      <c r="L726" s="1741"/>
      <c r="M726" s="1738"/>
      <c r="N726" s="1680"/>
      <c r="O726" s="1742"/>
      <c r="P726" s="1680"/>
      <c r="Q726" s="1680"/>
      <c r="R726" s="1782"/>
    </row>
    <row r="727" spans="1:18" ht="72" customHeight="1" hidden="1">
      <c r="A727" s="1924">
        <v>2620</v>
      </c>
      <c r="B727" s="1853" t="s">
        <v>376</v>
      </c>
      <c r="C727" s="1693"/>
      <c r="D727" s="932">
        <f t="shared" si="102"/>
        <v>0</v>
      </c>
      <c r="E727" s="1707">
        <f t="shared" si="103"/>
        <v>0</v>
      </c>
      <c r="F727" s="1994" t="e">
        <f t="shared" si="100"/>
        <v>#DIV/0!</v>
      </c>
      <c r="G727" s="1693">
        <f>3000-3000</f>
        <v>0</v>
      </c>
      <c r="H727" s="1707">
        <f>3000-3000</f>
        <v>0</v>
      </c>
      <c r="I727" s="1691" t="e">
        <f t="shared" si="104"/>
        <v>#DIV/0!</v>
      </c>
      <c r="J727" s="1854"/>
      <c r="K727" s="1707"/>
      <c r="L727" s="1849"/>
      <c r="M727" s="1693"/>
      <c r="N727" s="1707"/>
      <c r="O727" s="1855"/>
      <c r="P727" s="1707"/>
      <c r="Q727" s="1707"/>
      <c r="R727" s="1856"/>
    </row>
    <row r="728" spans="1:18" ht="72" hidden="1">
      <c r="A728" s="1743">
        <v>2570</v>
      </c>
      <c r="B728" s="1997" t="s">
        <v>377</v>
      </c>
      <c r="C728" s="1689"/>
      <c r="D728" s="893">
        <f t="shared" si="102"/>
        <v>0</v>
      </c>
      <c r="E728" s="1690">
        <f t="shared" si="103"/>
        <v>0</v>
      </c>
      <c r="F728" s="1990" t="e">
        <f t="shared" si="100"/>
        <v>#DIV/0!</v>
      </c>
      <c r="G728" s="1689"/>
      <c r="H728" s="1690"/>
      <c r="I728" s="1666" t="e">
        <f t="shared" si="104"/>
        <v>#DIV/0!</v>
      </c>
      <c r="J728" s="1745"/>
      <c r="K728" s="1690"/>
      <c r="L728" s="1746"/>
      <c r="M728" s="1689"/>
      <c r="N728" s="1690"/>
      <c r="O728" s="1747"/>
      <c r="P728" s="1690"/>
      <c r="Q728" s="1690"/>
      <c r="R728" s="1754"/>
    </row>
    <row r="729" spans="1:18" ht="61.5" customHeight="1">
      <c r="A729" s="1833">
        <v>2820</v>
      </c>
      <c r="B729" s="1751" t="s">
        <v>853</v>
      </c>
      <c r="C729" s="1689">
        <v>45000</v>
      </c>
      <c r="D729" s="893">
        <f t="shared" si="102"/>
        <v>45000</v>
      </c>
      <c r="E729" s="1690">
        <f t="shared" si="103"/>
        <v>14743</v>
      </c>
      <c r="F729" s="1990">
        <f t="shared" si="100"/>
        <v>32.76222222222222</v>
      </c>
      <c r="G729" s="1689">
        <v>45000</v>
      </c>
      <c r="H729" s="1690">
        <v>14743</v>
      </c>
      <c r="I729" s="1666">
        <f t="shared" si="104"/>
        <v>32.76222222222222</v>
      </c>
      <c r="J729" s="1745"/>
      <c r="K729" s="1690"/>
      <c r="L729" s="1746"/>
      <c r="M729" s="1689"/>
      <c r="N729" s="1690"/>
      <c r="O729" s="1747"/>
      <c r="P729" s="1690"/>
      <c r="Q729" s="1690"/>
      <c r="R729" s="1754"/>
    </row>
    <row r="730" spans="1:18" ht="24">
      <c r="A730" s="1743">
        <v>4170</v>
      </c>
      <c r="B730" s="1751" t="s">
        <v>169</v>
      </c>
      <c r="C730" s="1689"/>
      <c r="D730" s="893">
        <f t="shared" si="102"/>
        <v>500</v>
      </c>
      <c r="E730" s="1690">
        <f t="shared" si="103"/>
        <v>300</v>
      </c>
      <c r="F730" s="1990">
        <f t="shared" si="100"/>
        <v>60</v>
      </c>
      <c r="G730" s="1689">
        <v>500</v>
      </c>
      <c r="H730" s="1690">
        <v>300</v>
      </c>
      <c r="I730" s="1666">
        <f t="shared" si="104"/>
        <v>60</v>
      </c>
      <c r="J730" s="1745"/>
      <c r="K730" s="1690"/>
      <c r="L730" s="1746"/>
      <c r="M730" s="1689"/>
      <c r="N730" s="1690"/>
      <c r="O730" s="1747"/>
      <c r="P730" s="1690"/>
      <c r="Q730" s="1690"/>
      <c r="R730" s="1754"/>
    </row>
    <row r="731" spans="1:18" ht="12.75" customHeight="1">
      <c r="A731" s="1743">
        <v>4300</v>
      </c>
      <c r="B731" s="1751" t="s">
        <v>122</v>
      </c>
      <c r="C731" s="1689">
        <v>10000</v>
      </c>
      <c r="D731" s="893">
        <f t="shared" si="102"/>
        <v>9500</v>
      </c>
      <c r="E731" s="1690">
        <f t="shared" si="103"/>
        <v>1745</v>
      </c>
      <c r="F731" s="1990">
        <f t="shared" si="100"/>
        <v>18.36842105263158</v>
      </c>
      <c r="G731" s="1689">
        <f>10000-500</f>
        <v>9500</v>
      </c>
      <c r="H731" s="1690">
        <v>1745</v>
      </c>
      <c r="I731" s="1666">
        <f t="shared" si="104"/>
        <v>18.36842105263158</v>
      </c>
      <c r="J731" s="1745"/>
      <c r="K731" s="1690"/>
      <c r="L731" s="1746"/>
      <c r="M731" s="1689"/>
      <c r="N731" s="1690"/>
      <c r="O731" s="1747"/>
      <c r="P731" s="1690"/>
      <c r="Q731" s="1690"/>
      <c r="R731" s="1754"/>
    </row>
    <row r="732" spans="1:18" ht="24" customHeight="1">
      <c r="A732" s="1736">
        <v>85154</v>
      </c>
      <c r="B732" s="1835" t="s">
        <v>854</v>
      </c>
      <c r="C732" s="1738">
        <f>SUM(C733:C740)</f>
        <v>1274400</v>
      </c>
      <c r="D732" s="908">
        <f t="shared" si="102"/>
        <v>1948100</v>
      </c>
      <c r="E732" s="1680">
        <f>H732+K732+Q732+N732</f>
        <v>845895</v>
      </c>
      <c r="F732" s="1979">
        <f t="shared" si="100"/>
        <v>43.42153893537293</v>
      </c>
      <c r="G732" s="1738">
        <f>SUM(G733:G740)</f>
        <v>1948100</v>
      </c>
      <c r="H732" s="1680">
        <f>SUM(H733:H740)</f>
        <v>845895</v>
      </c>
      <c r="I732" s="1681">
        <f t="shared" si="104"/>
        <v>43.42153893537293</v>
      </c>
      <c r="J732" s="1740"/>
      <c r="K732" s="1680"/>
      <c r="L732" s="1741"/>
      <c r="M732" s="1738"/>
      <c r="N732" s="1680"/>
      <c r="O732" s="1742"/>
      <c r="P732" s="1680"/>
      <c r="Q732" s="1680"/>
      <c r="R732" s="1782"/>
    </row>
    <row r="733" spans="1:18" ht="36">
      <c r="A733" s="1722">
        <v>2480</v>
      </c>
      <c r="B733" s="1853" t="s">
        <v>855</v>
      </c>
      <c r="C733" s="1693">
        <v>120000</v>
      </c>
      <c r="D733" s="932">
        <f t="shared" si="102"/>
        <v>120000</v>
      </c>
      <c r="E733" s="1707">
        <f aca="true" t="shared" si="105" ref="E733:E740">SUM(H733+K733+N733+Q733)</f>
        <v>64000</v>
      </c>
      <c r="F733" s="1994">
        <f t="shared" si="100"/>
        <v>53.333333333333336</v>
      </c>
      <c r="G733" s="1693">
        <v>120000</v>
      </c>
      <c r="H733" s="1707">
        <v>64000</v>
      </c>
      <c r="I733" s="1691">
        <f t="shared" si="104"/>
        <v>53.333333333333336</v>
      </c>
      <c r="J733" s="1854"/>
      <c r="K733" s="1707"/>
      <c r="L733" s="1849"/>
      <c r="M733" s="1693"/>
      <c r="N733" s="1707"/>
      <c r="O733" s="1855"/>
      <c r="P733" s="1707"/>
      <c r="Q733" s="1707"/>
      <c r="R733" s="1856"/>
    </row>
    <row r="734" spans="1:18" ht="60">
      <c r="A734" s="1743">
        <v>2820</v>
      </c>
      <c r="B734" s="1751" t="s">
        <v>853</v>
      </c>
      <c r="C734" s="1689">
        <v>500000</v>
      </c>
      <c r="D734" s="893">
        <f t="shared" si="102"/>
        <v>500000</v>
      </c>
      <c r="E734" s="1690">
        <f t="shared" si="105"/>
        <v>239114</v>
      </c>
      <c r="F734" s="1990">
        <f t="shared" si="100"/>
        <v>47.8228</v>
      </c>
      <c r="G734" s="1689">
        <v>500000</v>
      </c>
      <c r="H734" s="1690">
        <v>239114</v>
      </c>
      <c r="I734" s="1666">
        <f t="shared" si="104"/>
        <v>47.8228</v>
      </c>
      <c r="J734" s="1745"/>
      <c r="K734" s="1690"/>
      <c r="L734" s="1746"/>
      <c r="M734" s="1689"/>
      <c r="N734" s="1690"/>
      <c r="O734" s="1747"/>
      <c r="P734" s="1690"/>
      <c r="Q734" s="1690"/>
      <c r="R734" s="1754"/>
    </row>
    <row r="735" spans="1:18" ht="25.5" customHeight="1">
      <c r="A735" s="1743">
        <v>3030</v>
      </c>
      <c r="B735" s="1751" t="s">
        <v>102</v>
      </c>
      <c r="C735" s="1689">
        <v>36000</v>
      </c>
      <c r="D735" s="893">
        <f t="shared" si="102"/>
        <v>36000</v>
      </c>
      <c r="E735" s="1690">
        <f t="shared" si="105"/>
        <v>17960</v>
      </c>
      <c r="F735" s="1990">
        <f t="shared" si="100"/>
        <v>49.888888888888886</v>
      </c>
      <c r="G735" s="1689">
        <v>36000</v>
      </c>
      <c r="H735" s="1690">
        <v>17960</v>
      </c>
      <c r="I735" s="1666">
        <f t="shared" si="104"/>
        <v>49.888888888888886</v>
      </c>
      <c r="J735" s="1745"/>
      <c r="K735" s="1690"/>
      <c r="L735" s="1746"/>
      <c r="M735" s="1689"/>
      <c r="N735" s="1690"/>
      <c r="O735" s="1747"/>
      <c r="P735" s="1690"/>
      <c r="Q735" s="1690"/>
      <c r="R735" s="1754"/>
    </row>
    <row r="736" spans="1:18" ht="24" customHeight="1">
      <c r="A736" s="1743">
        <v>4210</v>
      </c>
      <c r="B736" s="1751" t="s">
        <v>114</v>
      </c>
      <c r="C736" s="1689">
        <v>25000</v>
      </c>
      <c r="D736" s="893">
        <f t="shared" si="102"/>
        <v>25000</v>
      </c>
      <c r="E736" s="1690">
        <f t="shared" si="105"/>
        <v>17162</v>
      </c>
      <c r="F736" s="1990">
        <f t="shared" si="100"/>
        <v>68.648</v>
      </c>
      <c r="G736" s="1689">
        <v>25000</v>
      </c>
      <c r="H736" s="1690">
        <v>17162</v>
      </c>
      <c r="I736" s="1666">
        <f t="shared" si="104"/>
        <v>68.648</v>
      </c>
      <c r="J736" s="1745"/>
      <c r="K736" s="1690"/>
      <c r="L736" s="1746"/>
      <c r="M736" s="1689"/>
      <c r="N736" s="1690"/>
      <c r="O736" s="1747"/>
      <c r="P736" s="1690"/>
      <c r="Q736" s="1690"/>
      <c r="R736" s="1754"/>
    </row>
    <row r="737" spans="1:18" ht="36">
      <c r="A737" s="1743">
        <v>4240</v>
      </c>
      <c r="B737" s="1751" t="s">
        <v>378</v>
      </c>
      <c r="C737" s="1689">
        <v>6000</v>
      </c>
      <c r="D737" s="893">
        <f t="shared" si="102"/>
        <v>6000</v>
      </c>
      <c r="E737" s="1690">
        <f t="shared" si="105"/>
        <v>60</v>
      </c>
      <c r="F737" s="1990">
        <f t="shared" si="100"/>
        <v>1</v>
      </c>
      <c r="G737" s="1689">
        <v>6000</v>
      </c>
      <c r="H737" s="1690">
        <v>60</v>
      </c>
      <c r="I737" s="1666">
        <f t="shared" si="104"/>
        <v>1</v>
      </c>
      <c r="J737" s="1745"/>
      <c r="K737" s="1690"/>
      <c r="L737" s="1746"/>
      <c r="M737" s="1689"/>
      <c r="N737" s="1690"/>
      <c r="O737" s="1747"/>
      <c r="P737" s="1690"/>
      <c r="Q737" s="1690"/>
      <c r="R737" s="1754"/>
    </row>
    <row r="738" spans="1:18" ht="13.5" customHeight="1">
      <c r="A738" s="1743">
        <v>4300</v>
      </c>
      <c r="B738" s="1751" t="s">
        <v>122</v>
      </c>
      <c r="C738" s="1689">
        <v>485900</v>
      </c>
      <c r="D738" s="893">
        <f t="shared" si="102"/>
        <v>1129600</v>
      </c>
      <c r="E738" s="1690">
        <f t="shared" si="105"/>
        <v>456229</v>
      </c>
      <c r="F738" s="1990">
        <f t="shared" si="100"/>
        <v>40.38854461756374</v>
      </c>
      <c r="G738" s="1689">
        <f>485900+673700-30000</f>
        <v>1129600</v>
      </c>
      <c r="H738" s="1690">
        <v>456229</v>
      </c>
      <c r="I738" s="1666">
        <f t="shared" si="104"/>
        <v>40.38854461756374</v>
      </c>
      <c r="J738" s="1745"/>
      <c r="K738" s="1690"/>
      <c r="L738" s="1746"/>
      <c r="M738" s="1689"/>
      <c r="N738" s="1690"/>
      <c r="O738" s="1747"/>
      <c r="P738" s="1690"/>
      <c r="Q738" s="1690"/>
      <c r="R738" s="1754"/>
    </row>
    <row r="739" spans="1:18" ht="13.5" customHeight="1">
      <c r="A739" s="1743">
        <v>4410</v>
      </c>
      <c r="B739" s="1751" t="s">
        <v>96</v>
      </c>
      <c r="C739" s="1689">
        <v>1500</v>
      </c>
      <c r="D739" s="893">
        <f t="shared" si="102"/>
        <v>1500</v>
      </c>
      <c r="E739" s="1690">
        <f t="shared" si="105"/>
        <v>370</v>
      </c>
      <c r="F739" s="1990">
        <f t="shared" si="100"/>
        <v>24.666666666666668</v>
      </c>
      <c r="G739" s="1689">
        <v>1500</v>
      </c>
      <c r="H739" s="1690">
        <v>370</v>
      </c>
      <c r="I739" s="1666">
        <f t="shared" si="104"/>
        <v>24.666666666666668</v>
      </c>
      <c r="J739" s="1745"/>
      <c r="K739" s="1690"/>
      <c r="L739" s="1746"/>
      <c r="M739" s="1689"/>
      <c r="N739" s="1690"/>
      <c r="O739" s="1747"/>
      <c r="P739" s="1690"/>
      <c r="Q739" s="1690"/>
      <c r="R739" s="1754"/>
    </row>
    <row r="740" spans="1:18" ht="24">
      <c r="A740" s="1798">
        <v>6050</v>
      </c>
      <c r="B740" s="1799" t="s">
        <v>144</v>
      </c>
      <c r="C740" s="1800">
        <v>100000</v>
      </c>
      <c r="D740" s="925">
        <f t="shared" si="102"/>
        <v>130000</v>
      </c>
      <c r="E740" s="1791">
        <f t="shared" si="105"/>
        <v>51000</v>
      </c>
      <c r="F740" s="1999">
        <f t="shared" si="100"/>
        <v>39.23076923076923</v>
      </c>
      <c r="G740" s="1800">
        <f>100000+30000</f>
        <v>130000</v>
      </c>
      <c r="H740" s="1791">
        <v>51000</v>
      </c>
      <c r="I740" s="1719">
        <f t="shared" si="104"/>
        <v>39.23076923076923</v>
      </c>
      <c r="J740" s="1801"/>
      <c r="K740" s="1791"/>
      <c r="L740" s="1857"/>
      <c r="M740" s="1800"/>
      <c r="N740" s="1791"/>
      <c r="O740" s="1804"/>
      <c r="P740" s="1791"/>
      <c r="Q740" s="1791"/>
      <c r="R740" s="1845"/>
    </row>
    <row r="741" spans="1:18" s="1735" customFormat="1" ht="60" customHeight="1">
      <c r="A741" s="1736">
        <v>85156</v>
      </c>
      <c r="B741" s="1835" t="s">
        <v>379</v>
      </c>
      <c r="C741" s="1738">
        <f>SUM(C742)</f>
        <v>9000</v>
      </c>
      <c r="D741" s="908">
        <f t="shared" si="102"/>
        <v>9000</v>
      </c>
      <c r="E741" s="1680">
        <f>SUM(E742)</f>
        <v>3411</v>
      </c>
      <c r="F741" s="1979">
        <f>E741/D741*100</f>
        <v>37.9</v>
      </c>
      <c r="G741" s="1738"/>
      <c r="H741" s="1680"/>
      <c r="I741" s="2000"/>
      <c r="J741" s="1740"/>
      <c r="K741" s="1680"/>
      <c r="L741" s="1741"/>
      <c r="M741" s="1738"/>
      <c r="N741" s="1680"/>
      <c r="O741" s="1742"/>
      <c r="P741" s="1680">
        <f>SUM(P742)</f>
        <v>9000</v>
      </c>
      <c r="Q741" s="1680">
        <f>SUM(Q742)</f>
        <v>3411</v>
      </c>
      <c r="R741" s="1688">
        <f>Q741/P741*100</f>
        <v>37.9</v>
      </c>
    </row>
    <row r="742" spans="1:18" s="1735" customFormat="1" ht="23.25" customHeight="1">
      <c r="A742" s="1743">
        <v>4130</v>
      </c>
      <c r="B742" s="1751" t="s">
        <v>331</v>
      </c>
      <c r="C742" s="1689">
        <v>9000</v>
      </c>
      <c r="D742" s="893">
        <f t="shared" si="102"/>
        <v>9000</v>
      </c>
      <c r="E742" s="1690">
        <f>SUM(H742+K742+N742+Q742)</f>
        <v>3411</v>
      </c>
      <c r="F742" s="1990">
        <f>E742/D742*100</f>
        <v>37.9</v>
      </c>
      <c r="G742" s="1689"/>
      <c r="H742" s="1690"/>
      <c r="I742" s="1912"/>
      <c r="J742" s="1745"/>
      <c r="K742" s="1690"/>
      <c r="L742" s="1746"/>
      <c r="M742" s="1689"/>
      <c r="N742" s="1690"/>
      <c r="O742" s="1747"/>
      <c r="P742" s="1690">
        <v>9000</v>
      </c>
      <c r="Q742" s="1690">
        <v>3411</v>
      </c>
      <c r="R742" s="1695">
        <f>Q742/P742*100</f>
        <v>37.9</v>
      </c>
    </row>
    <row r="743" spans="1:18" ht="13.5" customHeight="1" hidden="1">
      <c r="A743" s="1736">
        <v>85158</v>
      </c>
      <c r="B743" s="1976" t="s">
        <v>380</v>
      </c>
      <c r="C743" s="1738">
        <f>SUM(C745:C758)</f>
        <v>0</v>
      </c>
      <c r="D743" s="908">
        <f t="shared" si="102"/>
        <v>0</v>
      </c>
      <c r="E743" s="1680">
        <f>SUM(E744:E758)</f>
        <v>0</v>
      </c>
      <c r="F743" s="1979" t="e">
        <f t="shared" si="100"/>
        <v>#DIV/0!</v>
      </c>
      <c r="G743" s="1983">
        <f>SUM(G744:G758)</f>
        <v>0</v>
      </c>
      <c r="H743" s="1680">
        <f>SUM(H744:H758)</f>
        <v>0</v>
      </c>
      <c r="I743" s="1681" t="e">
        <f t="shared" si="104"/>
        <v>#DIV/0!</v>
      </c>
      <c r="J743" s="1740"/>
      <c r="K743" s="1680"/>
      <c r="L743" s="1741"/>
      <c r="M743" s="1738"/>
      <c r="N743" s="1680"/>
      <c r="O743" s="1742"/>
      <c r="P743" s="1680"/>
      <c r="Q743" s="1680"/>
      <c r="R743" s="1782"/>
    </row>
    <row r="744" spans="1:18" ht="36.75" customHeight="1" hidden="1">
      <c r="A744" s="1722">
        <v>3020</v>
      </c>
      <c r="B744" s="1853" t="s">
        <v>164</v>
      </c>
      <c r="C744" s="927">
        <v>0</v>
      </c>
      <c r="D744" s="932">
        <f>G744+J744+P744+M744</f>
        <v>0</v>
      </c>
      <c r="E744" s="1707">
        <f>SUM(H744+K744+N744+Q744)</f>
        <v>0</v>
      </c>
      <c r="F744" s="1994" t="e">
        <f t="shared" si="100"/>
        <v>#DIV/0!</v>
      </c>
      <c r="G744" s="1693"/>
      <c r="H744" s="1707"/>
      <c r="I744" s="1691" t="e">
        <f>H744/G744*100</f>
        <v>#DIV/0!</v>
      </c>
      <c r="J744" s="2001"/>
      <c r="K744" s="1986"/>
      <c r="L744" s="1985"/>
      <c r="M744" s="2002"/>
      <c r="N744" s="1986"/>
      <c r="O744" s="1855"/>
      <c r="P744" s="1986"/>
      <c r="Q744" s="1986"/>
      <c r="R744" s="1856"/>
    </row>
    <row r="745" spans="1:18" ht="24.75" customHeight="1" hidden="1">
      <c r="A745" s="1743">
        <v>4010</v>
      </c>
      <c r="B745" s="1977" t="s">
        <v>279</v>
      </c>
      <c r="C745" s="1689"/>
      <c r="D745" s="893">
        <f t="shared" si="102"/>
        <v>0</v>
      </c>
      <c r="E745" s="1690">
        <f>SUM(H745+K745+N745+Q745)</f>
        <v>0</v>
      </c>
      <c r="F745" s="1990" t="e">
        <f t="shared" si="100"/>
        <v>#DIV/0!</v>
      </c>
      <c r="G745" s="1689"/>
      <c r="H745" s="1690"/>
      <c r="I745" s="1666" t="e">
        <f t="shared" si="104"/>
        <v>#DIV/0!</v>
      </c>
      <c r="J745" s="1745"/>
      <c r="K745" s="1690"/>
      <c r="L745" s="1746"/>
      <c r="M745" s="1689"/>
      <c r="N745" s="1690"/>
      <c r="O745" s="1747"/>
      <c r="P745" s="1690"/>
      <c r="Q745" s="1690"/>
      <c r="R745" s="1754"/>
    </row>
    <row r="746" spans="1:18" ht="21.75" customHeight="1" hidden="1">
      <c r="A746" s="1743">
        <v>4040</v>
      </c>
      <c r="B746" s="1977" t="s">
        <v>165</v>
      </c>
      <c r="C746" s="1689"/>
      <c r="D746" s="893">
        <f t="shared" si="102"/>
        <v>0</v>
      </c>
      <c r="E746" s="1690">
        <f>SUM(H746+K746+N746+Q746)</f>
        <v>0</v>
      </c>
      <c r="F746" s="1990" t="e">
        <f t="shared" si="100"/>
        <v>#DIV/0!</v>
      </c>
      <c r="G746" s="1689"/>
      <c r="H746" s="1690"/>
      <c r="I746" s="1666" t="e">
        <f t="shared" si="104"/>
        <v>#DIV/0!</v>
      </c>
      <c r="J746" s="1745"/>
      <c r="K746" s="1690"/>
      <c r="L746" s="1746"/>
      <c r="M746" s="1689"/>
      <c r="N746" s="1690"/>
      <c r="O746" s="1747"/>
      <c r="P746" s="1690"/>
      <c r="Q746" s="1690"/>
      <c r="R746" s="1754"/>
    </row>
    <row r="747" spans="1:18" ht="24.75" customHeight="1" hidden="1">
      <c r="A747" s="1743">
        <v>4110</v>
      </c>
      <c r="B747" s="1977" t="s">
        <v>110</v>
      </c>
      <c r="C747" s="1689"/>
      <c r="D747" s="893">
        <f>G747+J747+P747+M747</f>
        <v>0</v>
      </c>
      <c r="E747" s="1690">
        <f>SUM(H747+K747+N747+Q747)</f>
        <v>0</v>
      </c>
      <c r="F747" s="1990" t="e">
        <f t="shared" si="100"/>
        <v>#DIV/0!</v>
      </c>
      <c r="G747" s="1689"/>
      <c r="H747" s="1690"/>
      <c r="I747" s="1666" t="e">
        <f t="shared" si="104"/>
        <v>#DIV/0!</v>
      </c>
      <c r="J747" s="1745"/>
      <c r="K747" s="1690"/>
      <c r="L747" s="1746"/>
      <c r="M747" s="1690"/>
      <c r="N747" s="1690"/>
      <c r="O747" s="1747"/>
      <c r="P747" s="1690"/>
      <c r="Q747" s="1690"/>
      <c r="R747" s="1754"/>
    </row>
    <row r="748" spans="1:18" ht="11.25" customHeight="1" hidden="1">
      <c r="A748" s="1743">
        <v>4120</v>
      </c>
      <c r="B748" s="1977" t="s">
        <v>208</v>
      </c>
      <c r="C748" s="1689"/>
      <c r="D748" s="893">
        <f>G748+J748+P748+M748</f>
        <v>0</v>
      </c>
      <c r="E748" s="1690">
        <f>SUM(H748+K748+N748+Q748)</f>
        <v>0</v>
      </c>
      <c r="F748" s="1990" t="e">
        <f t="shared" si="100"/>
        <v>#DIV/0!</v>
      </c>
      <c r="G748" s="1689"/>
      <c r="H748" s="1690"/>
      <c r="I748" s="1666" t="e">
        <f t="shared" si="104"/>
        <v>#DIV/0!</v>
      </c>
      <c r="J748" s="1745"/>
      <c r="K748" s="1690"/>
      <c r="L748" s="1746"/>
      <c r="M748" s="1690"/>
      <c r="N748" s="1690"/>
      <c r="O748" s="1747"/>
      <c r="P748" s="1690"/>
      <c r="Q748" s="1690"/>
      <c r="R748" s="1754"/>
    </row>
    <row r="749" spans="1:18" ht="22.5" customHeight="1" hidden="1">
      <c r="A749" s="1743">
        <v>4210</v>
      </c>
      <c r="B749" s="1977" t="s">
        <v>114</v>
      </c>
      <c r="C749" s="1689"/>
      <c r="D749" s="893">
        <f aca="true" t="shared" si="106" ref="D749:D766">G749+J749+P749+M749</f>
        <v>0</v>
      </c>
      <c r="E749" s="1690">
        <f aca="true" t="shared" si="107" ref="E749:E758">SUM(H749+K749+N749+Q749)</f>
        <v>0</v>
      </c>
      <c r="F749" s="1990" t="e">
        <f t="shared" si="100"/>
        <v>#DIV/0!</v>
      </c>
      <c r="G749" s="1689"/>
      <c r="H749" s="1690"/>
      <c r="I749" s="1666" t="e">
        <f t="shared" si="104"/>
        <v>#DIV/0!</v>
      </c>
      <c r="J749" s="1745"/>
      <c r="K749" s="1690"/>
      <c r="L749" s="1746"/>
      <c r="M749" s="1690"/>
      <c r="N749" s="1690"/>
      <c r="O749" s="1747"/>
      <c r="P749" s="1690"/>
      <c r="Q749" s="1690"/>
      <c r="R749" s="1754"/>
    </row>
    <row r="750" spans="1:18" ht="11.25" customHeight="1" hidden="1">
      <c r="A750" s="1743">
        <v>4260</v>
      </c>
      <c r="B750" s="1977" t="s">
        <v>118</v>
      </c>
      <c r="C750" s="1689"/>
      <c r="D750" s="893">
        <f t="shared" si="106"/>
        <v>0</v>
      </c>
      <c r="E750" s="1690">
        <f t="shared" si="107"/>
        <v>0</v>
      </c>
      <c r="F750" s="1990" t="e">
        <f t="shared" si="100"/>
        <v>#DIV/0!</v>
      </c>
      <c r="G750" s="1689"/>
      <c r="H750" s="1690"/>
      <c r="I750" s="1666" t="e">
        <f t="shared" si="104"/>
        <v>#DIV/0!</v>
      </c>
      <c r="J750" s="1745"/>
      <c r="K750" s="1690"/>
      <c r="L750" s="1746"/>
      <c r="M750" s="1690"/>
      <c r="N750" s="1690"/>
      <c r="O750" s="1747"/>
      <c r="P750" s="1690"/>
      <c r="Q750" s="1690"/>
      <c r="R750" s="1754"/>
    </row>
    <row r="751" spans="1:18" ht="11.25" customHeight="1" hidden="1">
      <c r="A751" s="1743">
        <v>4270</v>
      </c>
      <c r="B751" s="1977" t="s">
        <v>120</v>
      </c>
      <c r="C751" s="1689"/>
      <c r="D751" s="893">
        <f t="shared" si="106"/>
        <v>0</v>
      </c>
      <c r="E751" s="1690">
        <f t="shared" si="107"/>
        <v>0</v>
      </c>
      <c r="F751" s="1990" t="e">
        <f t="shared" si="100"/>
        <v>#DIV/0!</v>
      </c>
      <c r="G751" s="1689"/>
      <c r="H751" s="1690"/>
      <c r="I751" s="1666" t="e">
        <f t="shared" si="104"/>
        <v>#DIV/0!</v>
      </c>
      <c r="J751" s="1745"/>
      <c r="K751" s="1690"/>
      <c r="L751" s="1746"/>
      <c r="M751" s="1690"/>
      <c r="N751" s="1690"/>
      <c r="O751" s="1747"/>
      <c r="P751" s="1690"/>
      <c r="Q751" s="1690"/>
      <c r="R751" s="1754"/>
    </row>
    <row r="752" spans="1:18" ht="24" customHeight="1" hidden="1">
      <c r="A752" s="1743">
        <v>4280</v>
      </c>
      <c r="B752" s="1977" t="s">
        <v>381</v>
      </c>
      <c r="C752" s="1689"/>
      <c r="D752" s="893">
        <f t="shared" si="106"/>
        <v>0</v>
      </c>
      <c r="E752" s="1690">
        <f t="shared" si="107"/>
        <v>0</v>
      </c>
      <c r="F752" s="1990" t="e">
        <f t="shared" si="100"/>
        <v>#DIV/0!</v>
      </c>
      <c r="G752" s="1689"/>
      <c r="H752" s="1690"/>
      <c r="I752" s="1666" t="e">
        <f t="shared" si="104"/>
        <v>#DIV/0!</v>
      </c>
      <c r="J752" s="1745"/>
      <c r="K752" s="1690"/>
      <c r="L752" s="1746"/>
      <c r="M752" s="1690"/>
      <c r="N752" s="1690"/>
      <c r="O752" s="1747"/>
      <c r="P752" s="1690"/>
      <c r="Q752" s="1690"/>
      <c r="R752" s="1754"/>
    </row>
    <row r="753" spans="1:18" ht="11.25" customHeight="1" hidden="1">
      <c r="A753" s="1743">
        <v>4300</v>
      </c>
      <c r="B753" s="1977" t="s">
        <v>122</v>
      </c>
      <c r="C753" s="1689"/>
      <c r="D753" s="893">
        <f t="shared" si="106"/>
        <v>0</v>
      </c>
      <c r="E753" s="1690">
        <f t="shared" si="107"/>
        <v>0</v>
      </c>
      <c r="F753" s="1990" t="e">
        <f t="shared" si="100"/>
        <v>#DIV/0!</v>
      </c>
      <c r="G753" s="1689"/>
      <c r="H753" s="1690"/>
      <c r="I753" s="1666" t="e">
        <f t="shared" si="104"/>
        <v>#DIV/0!</v>
      </c>
      <c r="J753" s="1745"/>
      <c r="K753" s="1690"/>
      <c r="L753" s="1746"/>
      <c r="M753" s="1690"/>
      <c r="N753" s="1690"/>
      <c r="O753" s="1747"/>
      <c r="P753" s="1690"/>
      <c r="Q753" s="1690"/>
      <c r="R753" s="1754"/>
    </row>
    <row r="754" spans="1:18" ht="12.75" customHeight="1" hidden="1">
      <c r="A754" s="1743">
        <v>4410</v>
      </c>
      <c r="B754" s="1977" t="s">
        <v>96</v>
      </c>
      <c r="C754" s="1689"/>
      <c r="D754" s="893">
        <f t="shared" si="106"/>
        <v>0</v>
      </c>
      <c r="E754" s="1690">
        <f t="shared" si="107"/>
        <v>0</v>
      </c>
      <c r="F754" s="1990" t="e">
        <f t="shared" si="100"/>
        <v>#DIV/0!</v>
      </c>
      <c r="G754" s="1689"/>
      <c r="H754" s="1690"/>
      <c r="I754" s="1666" t="e">
        <f t="shared" si="104"/>
        <v>#DIV/0!</v>
      </c>
      <c r="J754" s="1745"/>
      <c r="K754" s="1690"/>
      <c r="L754" s="1746"/>
      <c r="M754" s="1690"/>
      <c r="N754" s="1690"/>
      <c r="O754" s="1747"/>
      <c r="P754" s="1690"/>
      <c r="Q754" s="1690"/>
      <c r="R754" s="1754"/>
    </row>
    <row r="755" spans="1:18" ht="12.75" customHeight="1" hidden="1">
      <c r="A755" s="1743">
        <v>4430</v>
      </c>
      <c r="B755" s="1977" t="s">
        <v>124</v>
      </c>
      <c r="C755" s="1689"/>
      <c r="D755" s="893">
        <f t="shared" si="106"/>
        <v>0</v>
      </c>
      <c r="E755" s="1690">
        <f t="shared" si="107"/>
        <v>0</v>
      </c>
      <c r="F755" s="1990" t="e">
        <f t="shared" si="100"/>
        <v>#DIV/0!</v>
      </c>
      <c r="G755" s="1689"/>
      <c r="H755" s="1749"/>
      <c r="I755" s="1666" t="e">
        <f t="shared" si="104"/>
        <v>#DIV/0!</v>
      </c>
      <c r="J755" s="1788"/>
      <c r="K755" s="1690"/>
      <c r="L755" s="1746"/>
      <c r="M755" s="1749"/>
      <c r="N755" s="1749"/>
      <c r="O755" s="1944"/>
      <c r="P755" s="1749"/>
      <c r="Q755" s="1749"/>
      <c r="R755" s="1750"/>
    </row>
    <row r="756" spans="1:18" ht="11.25" customHeight="1" hidden="1">
      <c r="A756" s="1743">
        <v>4440</v>
      </c>
      <c r="B756" s="1977" t="s">
        <v>126</v>
      </c>
      <c r="C756" s="1689"/>
      <c r="D756" s="893">
        <f t="shared" si="106"/>
        <v>0</v>
      </c>
      <c r="E756" s="1690">
        <f t="shared" si="107"/>
        <v>0</v>
      </c>
      <c r="F756" s="1990" t="e">
        <f t="shared" si="100"/>
        <v>#DIV/0!</v>
      </c>
      <c r="G756" s="1689"/>
      <c r="H756" s="1690"/>
      <c r="I756" s="1666" t="e">
        <f t="shared" si="104"/>
        <v>#DIV/0!</v>
      </c>
      <c r="J756" s="1745"/>
      <c r="K756" s="1690"/>
      <c r="L756" s="1746"/>
      <c r="M756" s="1690"/>
      <c r="N756" s="1690"/>
      <c r="O756" s="1747"/>
      <c r="P756" s="1690"/>
      <c r="Q756" s="1690"/>
      <c r="R756" s="1754"/>
    </row>
    <row r="757" spans="1:18" s="1735" customFormat="1" ht="12.75" customHeight="1" hidden="1">
      <c r="A757" s="1743">
        <v>4480</v>
      </c>
      <c r="B757" s="1977" t="s">
        <v>688</v>
      </c>
      <c r="C757" s="1689"/>
      <c r="D757" s="893">
        <f t="shared" si="106"/>
        <v>0</v>
      </c>
      <c r="E757" s="1690">
        <f t="shared" si="107"/>
        <v>0</v>
      </c>
      <c r="F757" s="1990" t="e">
        <f t="shared" si="100"/>
        <v>#DIV/0!</v>
      </c>
      <c r="G757" s="1689"/>
      <c r="H757" s="1690"/>
      <c r="I757" s="1666" t="e">
        <f t="shared" si="104"/>
        <v>#DIV/0!</v>
      </c>
      <c r="J757" s="1745"/>
      <c r="K757" s="1690"/>
      <c r="L757" s="1746"/>
      <c r="M757" s="1690"/>
      <c r="N757" s="1690"/>
      <c r="O757" s="1747"/>
      <c r="P757" s="1690"/>
      <c r="Q757" s="1690"/>
      <c r="R757" s="1754"/>
    </row>
    <row r="758" spans="1:18" s="1735" customFormat="1" ht="24" hidden="1">
      <c r="A758" s="1798">
        <v>4520</v>
      </c>
      <c r="B758" s="1978" t="s">
        <v>382</v>
      </c>
      <c r="C758" s="1800"/>
      <c r="D758" s="925">
        <f t="shared" si="106"/>
        <v>0</v>
      </c>
      <c r="E758" s="1791">
        <f t="shared" si="107"/>
        <v>0</v>
      </c>
      <c r="F758" s="1999" t="e">
        <f t="shared" si="100"/>
        <v>#DIV/0!</v>
      </c>
      <c r="G758" s="1800"/>
      <c r="H758" s="1791"/>
      <c r="I758" s="1719" t="e">
        <f t="shared" si="104"/>
        <v>#DIV/0!</v>
      </c>
      <c r="J758" s="1801"/>
      <c r="K758" s="1791"/>
      <c r="L758" s="1857"/>
      <c r="M758" s="1791"/>
      <c r="N758" s="1791"/>
      <c r="O758" s="1804"/>
      <c r="P758" s="1791"/>
      <c r="Q758" s="1791"/>
      <c r="R758" s="1845"/>
    </row>
    <row r="759" spans="1:18" s="2003" customFormat="1" ht="11.25" customHeight="1">
      <c r="A759" s="1736">
        <v>85195</v>
      </c>
      <c r="B759" s="1976" t="s">
        <v>829</v>
      </c>
      <c r="C759" s="1738">
        <f>SUM(C760:C766)</f>
        <v>510300</v>
      </c>
      <c r="D759" s="908">
        <f t="shared" si="106"/>
        <v>445310</v>
      </c>
      <c r="E759" s="1680">
        <f>SUM(E760:E766)</f>
        <v>201312</v>
      </c>
      <c r="F759" s="1979">
        <f t="shared" si="100"/>
        <v>45.20715905773506</v>
      </c>
      <c r="G759" s="1738">
        <f>SUM(G760:G766)</f>
        <v>445310</v>
      </c>
      <c r="H759" s="1680">
        <f>SUM(H760:H766)</f>
        <v>201312</v>
      </c>
      <c r="I759" s="1681">
        <f t="shared" si="104"/>
        <v>45.20715905773506</v>
      </c>
      <c r="J759" s="1740"/>
      <c r="K759" s="1680"/>
      <c r="L759" s="1741"/>
      <c r="M759" s="1680"/>
      <c r="N759" s="1680"/>
      <c r="O759" s="1742"/>
      <c r="P759" s="1680"/>
      <c r="Q759" s="1680"/>
      <c r="R759" s="1782"/>
    </row>
    <row r="760" spans="1:18" ht="67.5" hidden="1">
      <c r="A760" s="1722">
        <v>2620</v>
      </c>
      <c r="B760" s="2004" t="s">
        <v>383</v>
      </c>
      <c r="C760" s="1693"/>
      <c r="D760" s="932">
        <f t="shared" si="106"/>
        <v>0</v>
      </c>
      <c r="E760" s="1707">
        <f aca="true" t="shared" si="108" ref="E760:E766">SUM(H760+K760+N760+Q760)</f>
        <v>0</v>
      </c>
      <c r="F760" s="1994" t="e">
        <f t="shared" si="100"/>
        <v>#DIV/0!</v>
      </c>
      <c r="G760" s="1693">
        <f>24700-24700</f>
        <v>0</v>
      </c>
      <c r="H760" s="1707">
        <f>24700-24700</f>
        <v>0</v>
      </c>
      <c r="I760" s="1691" t="e">
        <f t="shared" si="104"/>
        <v>#DIV/0!</v>
      </c>
      <c r="J760" s="1854"/>
      <c r="K760" s="1707"/>
      <c r="L760" s="1849"/>
      <c r="M760" s="1707"/>
      <c r="N760" s="1707"/>
      <c r="O760" s="1855"/>
      <c r="P760" s="1707"/>
      <c r="Q760" s="1707"/>
      <c r="R760" s="1856"/>
    </row>
    <row r="761" spans="1:18" ht="48" hidden="1">
      <c r="A761" s="1743">
        <v>2570</v>
      </c>
      <c r="B761" s="2005" t="s">
        <v>375</v>
      </c>
      <c r="C761" s="1689"/>
      <c r="D761" s="893">
        <f t="shared" si="106"/>
        <v>0</v>
      </c>
      <c r="E761" s="1690">
        <f t="shared" si="108"/>
        <v>0</v>
      </c>
      <c r="F761" s="1990" t="e">
        <f t="shared" si="100"/>
        <v>#DIV/0!</v>
      </c>
      <c r="G761" s="1689"/>
      <c r="H761" s="1690"/>
      <c r="I761" s="1666" t="e">
        <f t="shared" si="104"/>
        <v>#DIV/0!</v>
      </c>
      <c r="J761" s="1745"/>
      <c r="K761" s="1690"/>
      <c r="L761" s="1746"/>
      <c r="M761" s="1690"/>
      <c r="N761" s="1690"/>
      <c r="O761" s="1747"/>
      <c r="P761" s="1690"/>
      <c r="Q761" s="1690"/>
      <c r="R761" s="1754"/>
    </row>
    <row r="762" spans="1:18" s="1870" customFormat="1" ht="60">
      <c r="A762" s="1743">
        <v>2820</v>
      </c>
      <c r="B762" s="2006" t="s">
        <v>853</v>
      </c>
      <c r="C762" s="1689">
        <v>70000</v>
      </c>
      <c r="D762" s="893">
        <f t="shared" si="106"/>
        <v>70000</v>
      </c>
      <c r="E762" s="1690">
        <f t="shared" si="108"/>
        <v>42600</v>
      </c>
      <c r="F762" s="1990">
        <f t="shared" si="100"/>
        <v>60.857142857142854</v>
      </c>
      <c r="G762" s="1689">
        <v>70000</v>
      </c>
      <c r="H762" s="1690">
        <v>42600</v>
      </c>
      <c r="I762" s="1666">
        <f t="shared" si="104"/>
        <v>60.857142857142854</v>
      </c>
      <c r="J762" s="1745"/>
      <c r="K762" s="1690"/>
      <c r="L762" s="1746"/>
      <c r="M762" s="1690"/>
      <c r="N762" s="1690"/>
      <c r="O762" s="1747"/>
      <c r="P762" s="1690"/>
      <c r="Q762" s="1690"/>
      <c r="R762" s="1754"/>
    </row>
    <row r="763" spans="1:18" s="1870" customFormat="1" ht="24">
      <c r="A763" s="1743">
        <v>4210</v>
      </c>
      <c r="B763" s="2006" t="s">
        <v>384</v>
      </c>
      <c r="C763" s="1689"/>
      <c r="D763" s="893">
        <f t="shared" si="106"/>
        <v>586</v>
      </c>
      <c r="E763" s="1690">
        <f t="shared" si="108"/>
        <v>585</v>
      </c>
      <c r="F763" s="1990">
        <f t="shared" si="100"/>
        <v>99.82935153583618</v>
      </c>
      <c r="G763" s="1689">
        <f>186+400</f>
        <v>586</v>
      </c>
      <c r="H763" s="1690">
        <v>585</v>
      </c>
      <c r="I763" s="1666">
        <f t="shared" si="104"/>
        <v>99.82935153583618</v>
      </c>
      <c r="J763" s="1745"/>
      <c r="K763" s="1690"/>
      <c r="L763" s="1746"/>
      <c r="M763" s="1690"/>
      <c r="N763" s="1690"/>
      <c r="O763" s="1747"/>
      <c r="P763" s="1690"/>
      <c r="Q763" s="1690"/>
      <c r="R763" s="1754"/>
    </row>
    <row r="764" spans="1:18" s="1870" customFormat="1" ht="12.75">
      <c r="A764" s="1743">
        <v>4260</v>
      </c>
      <c r="B764" s="2006" t="s">
        <v>118</v>
      </c>
      <c r="C764" s="1689"/>
      <c r="D764" s="893">
        <f t="shared" si="106"/>
        <v>10180</v>
      </c>
      <c r="E764" s="1690">
        <f t="shared" si="108"/>
        <v>10176</v>
      </c>
      <c r="F764" s="1990">
        <f aca="true" t="shared" si="109" ref="F764:F827">E764/D764*100</f>
        <v>99.96070726915521</v>
      </c>
      <c r="G764" s="1689">
        <v>10180</v>
      </c>
      <c r="H764" s="1690">
        <v>10176</v>
      </c>
      <c r="I764" s="1666">
        <f t="shared" si="104"/>
        <v>99.96070726915521</v>
      </c>
      <c r="J764" s="1745"/>
      <c r="K764" s="1690"/>
      <c r="L764" s="1746"/>
      <c r="M764" s="1690"/>
      <c r="N764" s="1690"/>
      <c r="O764" s="1747"/>
      <c r="P764" s="1690"/>
      <c r="Q764" s="1690"/>
      <c r="R764" s="1754"/>
    </row>
    <row r="765" spans="1:18" s="1870" customFormat="1" ht="12.75">
      <c r="A765" s="1743">
        <v>4300</v>
      </c>
      <c r="B765" s="1977" t="s">
        <v>136</v>
      </c>
      <c r="C765" s="1689">
        <f>84000+356300</f>
        <v>440300</v>
      </c>
      <c r="D765" s="893">
        <f t="shared" si="106"/>
        <v>363984</v>
      </c>
      <c r="E765" s="1690">
        <f t="shared" si="108"/>
        <v>147787</v>
      </c>
      <c r="F765" s="1990">
        <f t="shared" si="109"/>
        <v>40.60260890588597</v>
      </c>
      <c r="G765" s="1689">
        <f>441570-186-400-14000+7000-70000</f>
        <v>363984</v>
      </c>
      <c r="H765" s="1690">
        <v>147787</v>
      </c>
      <c r="I765" s="1666">
        <f t="shared" si="104"/>
        <v>40.60260890588597</v>
      </c>
      <c r="J765" s="1745"/>
      <c r="K765" s="1690"/>
      <c r="L765" s="1746"/>
      <c r="M765" s="1690"/>
      <c r="N765" s="1690"/>
      <c r="O765" s="1747"/>
      <c r="P765" s="1690"/>
      <c r="Q765" s="1690"/>
      <c r="R765" s="1754"/>
    </row>
    <row r="766" spans="1:18" ht="24.75" thickBot="1">
      <c r="A766" s="1743">
        <v>4610</v>
      </c>
      <c r="B766" s="1977" t="s">
        <v>385</v>
      </c>
      <c r="C766" s="1689"/>
      <c r="D766" s="893">
        <f t="shared" si="106"/>
        <v>560</v>
      </c>
      <c r="E766" s="1690">
        <f t="shared" si="108"/>
        <v>164</v>
      </c>
      <c r="F766" s="1990">
        <f t="shared" si="109"/>
        <v>29.28571428571429</v>
      </c>
      <c r="G766" s="1689">
        <v>560</v>
      </c>
      <c r="H766" s="1749">
        <v>164</v>
      </c>
      <c r="I766" s="1666">
        <f t="shared" si="104"/>
        <v>29.28571428571429</v>
      </c>
      <c r="J766" s="1788"/>
      <c r="K766" s="1690"/>
      <c r="L766" s="1746"/>
      <c r="M766" s="1749"/>
      <c r="N766" s="1749"/>
      <c r="O766" s="1944"/>
      <c r="P766" s="1749"/>
      <c r="Q766" s="1749"/>
      <c r="R766" s="1750"/>
    </row>
    <row r="767" spans="1:18" s="880" customFormat="1" ht="14.25" customHeight="1" thickBot="1" thickTop="1">
      <c r="A767" s="873">
        <v>852</v>
      </c>
      <c r="B767" s="874" t="s">
        <v>633</v>
      </c>
      <c r="C767" s="875">
        <f>C768+C783+C786+C837+C845+C857+C860+C879+C863+C931+C938+C903+C907+C917+C866+C868+C936</f>
        <v>38091002</v>
      </c>
      <c r="D767" s="876">
        <f>G767+J767+P767+M767</f>
        <v>41112338</v>
      </c>
      <c r="E767" s="876">
        <f>H767+K767+Q767+N767</f>
        <v>20518819</v>
      </c>
      <c r="F767" s="2007">
        <f t="shared" si="109"/>
        <v>49.90915135986672</v>
      </c>
      <c r="G767" s="875">
        <f>G768+G783+G786+G837+G845+G857+G860+G879+G863+G931+G938+G903+G907+G917+G866+G868+G936</f>
        <v>16401997</v>
      </c>
      <c r="H767" s="876">
        <f>H768+H783+H786+H837+H845+H857+H860+H879+H863+H931+H938+H903+H907+H917+H866+H868+H936</f>
        <v>8634990</v>
      </c>
      <c r="I767" s="2008">
        <f>H767/G767*100</f>
        <v>52.645967439208775</v>
      </c>
      <c r="J767" s="876">
        <f>J768+J783+J786+J837+J845+J857+J860+J879+J863+J931+J938+J903+J907+J917+J866+J868</f>
        <v>20166000</v>
      </c>
      <c r="K767" s="876">
        <f>K768+K783+K786+K837+K845+K857+K860+K879+K863+K931+K938+K903+K907+K917+K866+K868</f>
        <v>9861274</v>
      </c>
      <c r="L767" s="1760">
        <f>K767/J767*100</f>
        <v>48.90049588416146</v>
      </c>
      <c r="M767" s="937">
        <f>M768+M783+M786+M837+M845+M860+M879+M863+M931+M938+M903+M907+M917+M866+M868</f>
        <v>4530341</v>
      </c>
      <c r="N767" s="876">
        <f>N768+N783+N786+N837+N845+N860+N879+N863+N931+N938+N903+N907+N917+N866+N868</f>
        <v>2008555</v>
      </c>
      <c r="O767" s="2009">
        <f aca="true" t="shared" si="110" ref="O767:O782">N767/M767*100</f>
        <v>44.33562506663405</v>
      </c>
      <c r="P767" s="876">
        <f>P768+P783+P786+P837+P845+P860+P879+P863+P931+P936+P938+P903+P907+P917+P866+P868</f>
        <v>14000</v>
      </c>
      <c r="Q767" s="876">
        <f>Q768+Q783+Q786+Q837+Q845+Q860+Q879+Q863+Q931+Q936+Q938+Q903+Q907+Q917+Q866+Q868</f>
        <v>14000</v>
      </c>
      <c r="R767" s="2009">
        <f>Q767/P767*100</f>
        <v>100</v>
      </c>
    </row>
    <row r="768" spans="1:18" s="1735" customFormat="1" ht="33.75" customHeight="1" thickTop="1">
      <c r="A768" s="1931">
        <v>85201</v>
      </c>
      <c r="B768" s="2010" t="s">
        <v>386</v>
      </c>
      <c r="C768" s="1653">
        <f>SUM(C769:C782)</f>
        <v>702971</v>
      </c>
      <c r="D768" s="906">
        <f>G768+J768+P768+M768</f>
        <v>1441571</v>
      </c>
      <c r="E768" s="1842">
        <f>H768+K768+Q768+N768</f>
        <v>581738</v>
      </c>
      <c r="F768" s="1999">
        <f t="shared" si="109"/>
        <v>40.354446641892764</v>
      </c>
      <c r="G768" s="1933"/>
      <c r="H768" s="1836"/>
      <c r="I768" s="2011"/>
      <c r="J768" s="1956"/>
      <c r="K768" s="1836"/>
      <c r="L768" s="1875"/>
      <c r="M768" s="1655">
        <f>SUM(M769:M782)</f>
        <v>1441571</v>
      </c>
      <c r="N768" s="1655">
        <f>SUM(N769:N782)</f>
        <v>581738</v>
      </c>
      <c r="O768" s="1720">
        <f t="shared" si="110"/>
        <v>40.354446641892764</v>
      </c>
      <c r="P768" s="1655"/>
      <c r="Q768" s="1655"/>
      <c r="R768" s="2012"/>
    </row>
    <row r="769" spans="1:18" s="1735" customFormat="1" ht="60">
      <c r="A769" s="1743">
        <v>2320</v>
      </c>
      <c r="B769" s="1977" t="s">
        <v>206</v>
      </c>
      <c r="C769" s="1689">
        <v>270000</v>
      </c>
      <c r="D769" s="893">
        <f aca="true" t="shared" si="111" ref="D769:E782">G769+J769+P769+M769</f>
        <v>0</v>
      </c>
      <c r="E769" s="893">
        <f t="shared" si="111"/>
        <v>0</v>
      </c>
      <c r="F769" s="1990"/>
      <c r="G769" s="1829"/>
      <c r="H769" s="1830"/>
      <c r="I769" s="1912"/>
      <c r="J769" s="1831"/>
      <c r="K769" s="1830"/>
      <c r="L769" s="1832"/>
      <c r="M769" s="1693"/>
      <c r="N769" s="1707"/>
      <c r="O769" s="1695"/>
      <c r="P769" s="1690"/>
      <c r="Q769" s="1690"/>
      <c r="R769" s="1754"/>
    </row>
    <row r="770" spans="1:18" s="1735" customFormat="1" ht="52.5" customHeight="1">
      <c r="A770" s="1743">
        <v>2820</v>
      </c>
      <c r="B770" s="1977" t="s">
        <v>387</v>
      </c>
      <c r="C770" s="1689">
        <v>72000</v>
      </c>
      <c r="D770" s="893">
        <f t="shared" si="111"/>
        <v>72000</v>
      </c>
      <c r="E770" s="893">
        <f t="shared" si="111"/>
        <v>27500</v>
      </c>
      <c r="F770" s="1990">
        <f t="shared" si="109"/>
        <v>38.19444444444444</v>
      </c>
      <c r="G770" s="1829"/>
      <c r="H770" s="1830"/>
      <c r="I770" s="1912"/>
      <c r="J770" s="1831"/>
      <c r="K770" s="1830"/>
      <c r="L770" s="1832"/>
      <c r="M770" s="1689">
        <v>72000</v>
      </c>
      <c r="N770" s="1690">
        <v>27500</v>
      </c>
      <c r="O770" s="1695">
        <f t="shared" si="110"/>
        <v>38.19444444444444</v>
      </c>
      <c r="P770" s="1690"/>
      <c r="Q770" s="1690"/>
      <c r="R770" s="1754"/>
    </row>
    <row r="771" spans="1:18" s="1735" customFormat="1" ht="16.5" customHeight="1">
      <c r="A771" s="1743">
        <v>3110</v>
      </c>
      <c r="B771" s="1977" t="s">
        <v>388</v>
      </c>
      <c r="C771" s="1689">
        <v>120000</v>
      </c>
      <c r="D771" s="893">
        <f t="shared" si="111"/>
        <v>120000</v>
      </c>
      <c r="E771" s="893">
        <f t="shared" si="111"/>
        <v>49429</v>
      </c>
      <c r="F771" s="1990">
        <f t="shared" si="109"/>
        <v>41.19083333333333</v>
      </c>
      <c r="G771" s="1829"/>
      <c r="H771" s="1830"/>
      <c r="I771" s="1912"/>
      <c r="J771" s="1831"/>
      <c r="K771" s="1830"/>
      <c r="L771" s="1832"/>
      <c r="M771" s="1689">
        <v>120000</v>
      </c>
      <c r="N771" s="1690">
        <v>49429</v>
      </c>
      <c r="O771" s="1695">
        <f t="shared" si="110"/>
        <v>41.19083333333333</v>
      </c>
      <c r="P771" s="1690"/>
      <c r="Q771" s="1690"/>
      <c r="R771" s="1754"/>
    </row>
    <row r="772" spans="1:18" s="1735" customFormat="1" ht="24">
      <c r="A772" s="1743">
        <v>4010</v>
      </c>
      <c r="B772" s="1977" t="s">
        <v>104</v>
      </c>
      <c r="C772" s="1689">
        <v>54810</v>
      </c>
      <c r="D772" s="893">
        <f t="shared" si="111"/>
        <v>54810</v>
      </c>
      <c r="E772" s="893">
        <f t="shared" si="111"/>
        <v>26988</v>
      </c>
      <c r="F772" s="1990">
        <f t="shared" si="109"/>
        <v>49.2391899288451</v>
      </c>
      <c r="G772" s="1829"/>
      <c r="H772" s="1830"/>
      <c r="I772" s="1912"/>
      <c r="J772" s="1831"/>
      <c r="K772" s="1830"/>
      <c r="L772" s="1832"/>
      <c r="M772" s="1689">
        <v>54810</v>
      </c>
      <c r="N772" s="1690">
        <v>26988</v>
      </c>
      <c r="O772" s="1695">
        <f t="shared" si="110"/>
        <v>49.2391899288451</v>
      </c>
      <c r="P772" s="1690"/>
      <c r="Q772" s="1690"/>
      <c r="R772" s="1754"/>
    </row>
    <row r="773" spans="1:18" s="1735" customFormat="1" ht="24">
      <c r="A773" s="1743">
        <v>4040</v>
      </c>
      <c r="B773" s="1977" t="s">
        <v>165</v>
      </c>
      <c r="C773" s="1689">
        <v>4660</v>
      </c>
      <c r="D773" s="893">
        <f t="shared" si="111"/>
        <v>4330</v>
      </c>
      <c r="E773" s="1690">
        <f aca="true" t="shared" si="112" ref="E773:E782">SUM(H773+K773+N773+Q773)</f>
        <v>4330</v>
      </c>
      <c r="F773" s="1990">
        <f t="shared" si="109"/>
        <v>100</v>
      </c>
      <c r="G773" s="1829"/>
      <c r="H773" s="1830"/>
      <c r="I773" s="1912"/>
      <c r="J773" s="1831"/>
      <c r="K773" s="1830"/>
      <c r="L773" s="1832"/>
      <c r="M773" s="1689">
        <f>4660-330</f>
        <v>4330</v>
      </c>
      <c r="N773" s="1690">
        <v>4330</v>
      </c>
      <c r="O773" s="1669">
        <f t="shared" si="110"/>
        <v>100</v>
      </c>
      <c r="P773" s="1690"/>
      <c r="Q773" s="1690"/>
      <c r="R773" s="1754"/>
    </row>
    <row r="774" spans="1:18" s="1735" customFormat="1" ht="24">
      <c r="A774" s="1743">
        <v>4110</v>
      </c>
      <c r="B774" s="1977" t="s">
        <v>110</v>
      </c>
      <c r="C774" s="1689">
        <v>10550</v>
      </c>
      <c r="D774" s="893">
        <f t="shared" si="111"/>
        <v>10550</v>
      </c>
      <c r="E774" s="1690">
        <f t="shared" si="112"/>
        <v>5552</v>
      </c>
      <c r="F774" s="1990">
        <f t="shared" si="109"/>
        <v>52.625592417061604</v>
      </c>
      <c r="G774" s="1829"/>
      <c r="H774" s="1830"/>
      <c r="I774" s="1912"/>
      <c r="J774" s="1831"/>
      <c r="K774" s="1830"/>
      <c r="L774" s="1832"/>
      <c r="M774" s="1689">
        <v>10550</v>
      </c>
      <c r="N774" s="1690">
        <v>5552</v>
      </c>
      <c r="O774" s="1695">
        <f t="shared" si="110"/>
        <v>52.625592417061604</v>
      </c>
      <c r="P774" s="1690"/>
      <c r="Q774" s="1690"/>
      <c r="R774" s="1754"/>
    </row>
    <row r="775" spans="1:18" s="1735" customFormat="1" ht="12.75">
      <c r="A775" s="1743">
        <v>4120</v>
      </c>
      <c r="B775" s="1977" t="s">
        <v>208</v>
      </c>
      <c r="C775" s="1689">
        <v>1460</v>
      </c>
      <c r="D775" s="893">
        <f t="shared" si="111"/>
        <v>1460</v>
      </c>
      <c r="E775" s="1690">
        <f t="shared" si="112"/>
        <v>767</v>
      </c>
      <c r="F775" s="1990">
        <f t="shared" si="109"/>
        <v>52.53424657534247</v>
      </c>
      <c r="G775" s="1829"/>
      <c r="H775" s="1830"/>
      <c r="I775" s="1912"/>
      <c r="J775" s="1831"/>
      <c r="K775" s="1830"/>
      <c r="L775" s="1832"/>
      <c r="M775" s="1689">
        <v>1460</v>
      </c>
      <c r="N775" s="1690">
        <v>767</v>
      </c>
      <c r="O775" s="1695">
        <f t="shared" si="110"/>
        <v>52.53424657534247</v>
      </c>
      <c r="P775" s="1690"/>
      <c r="Q775" s="1690"/>
      <c r="R775" s="1754"/>
    </row>
    <row r="776" spans="1:18" s="1735" customFormat="1" ht="24">
      <c r="A776" s="1743">
        <v>4210</v>
      </c>
      <c r="B776" s="1977" t="s">
        <v>114</v>
      </c>
      <c r="C776" s="1689">
        <v>12950</v>
      </c>
      <c r="D776" s="893">
        <f t="shared" si="111"/>
        <v>12950</v>
      </c>
      <c r="E776" s="1690">
        <f t="shared" si="112"/>
        <v>5408</v>
      </c>
      <c r="F776" s="1990">
        <f t="shared" si="109"/>
        <v>41.76061776061776</v>
      </c>
      <c r="G776" s="1829"/>
      <c r="H776" s="1830"/>
      <c r="I776" s="1912"/>
      <c r="J776" s="1831"/>
      <c r="K776" s="1830"/>
      <c r="L776" s="1832"/>
      <c r="M776" s="1689">
        <v>12950</v>
      </c>
      <c r="N776" s="1690">
        <v>5408</v>
      </c>
      <c r="O776" s="1695">
        <f t="shared" si="110"/>
        <v>41.76061776061776</v>
      </c>
      <c r="P776" s="1690"/>
      <c r="Q776" s="1690"/>
      <c r="R776" s="1754"/>
    </row>
    <row r="777" spans="1:18" s="1735" customFormat="1" ht="12.75">
      <c r="A777" s="1743">
        <v>4260</v>
      </c>
      <c r="B777" s="1977" t="s">
        <v>118</v>
      </c>
      <c r="C777" s="1689">
        <v>6400</v>
      </c>
      <c r="D777" s="893">
        <f t="shared" si="111"/>
        <v>6730</v>
      </c>
      <c r="E777" s="1690">
        <f t="shared" si="112"/>
        <v>3844</v>
      </c>
      <c r="F777" s="1990">
        <f t="shared" si="109"/>
        <v>57.117384843982165</v>
      </c>
      <c r="G777" s="1829"/>
      <c r="H777" s="1830"/>
      <c r="I777" s="1912"/>
      <c r="J777" s="1831"/>
      <c r="K777" s="1830"/>
      <c r="L777" s="1832"/>
      <c r="M777" s="1689">
        <f>6400+330</f>
        <v>6730</v>
      </c>
      <c r="N777" s="1690">
        <v>3844</v>
      </c>
      <c r="O777" s="1695">
        <f t="shared" si="110"/>
        <v>57.117384843982165</v>
      </c>
      <c r="P777" s="1690"/>
      <c r="Q777" s="1690"/>
      <c r="R777" s="1754"/>
    </row>
    <row r="778" spans="1:18" s="1735" customFormat="1" ht="12.75">
      <c r="A778" s="1743">
        <v>4270</v>
      </c>
      <c r="B778" s="1977" t="s">
        <v>120</v>
      </c>
      <c r="C778" s="1689">
        <v>1150</v>
      </c>
      <c r="D778" s="893">
        <f t="shared" si="111"/>
        <v>1150</v>
      </c>
      <c r="E778" s="1690">
        <f t="shared" si="112"/>
        <v>0</v>
      </c>
      <c r="F778" s="1990">
        <f t="shared" si="109"/>
        <v>0</v>
      </c>
      <c r="G778" s="1829"/>
      <c r="H778" s="1830"/>
      <c r="I778" s="1912"/>
      <c r="J778" s="1831"/>
      <c r="K778" s="1830"/>
      <c r="L778" s="1832"/>
      <c r="M778" s="1689">
        <v>1150</v>
      </c>
      <c r="N778" s="1690"/>
      <c r="O778" s="1695">
        <f t="shared" si="110"/>
        <v>0</v>
      </c>
      <c r="P778" s="1690"/>
      <c r="Q778" s="1690"/>
      <c r="R778" s="1754"/>
    </row>
    <row r="779" spans="1:18" s="1735" customFormat="1" ht="24">
      <c r="A779" s="1743">
        <v>4280</v>
      </c>
      <c r="B779" s="1977" t="s">
        <v>389</v>
      </c>
      <c r="C779" s="1689">
        <v>6240</v>
      </c>
      <c r="D779" s="893">
        <f t="shared" si="111"/>
        <v>6240</v>
      </c>
      <c r="E779" s="1690">
        <f t="shared" si="112"/>
        <v>0</v>
      </c>
      <c r="F779" s="1990">
        <f t="shared" si="109"/>
        <v>0</v>
      </c>
      <c r="G779" s="1829"/>
      <c r="H779" s="1830"/>
      <c r="I779" s="1912"/>
      <c r="J779" s="1831"/>
      <c r="K779" s="1830"/>
      <c r="L779" s="1832"/>
      <c r="M779" s="1689">
        <v>6240</v>
      </c>
      <c r="N779" s="1690"/>
      <c r="O779" s="1695">
        <f t="shared" si="110"/>
        <v>0</v>
      </c>
      <c r="P779" s="1690"/>
      <c r="Q779" s="1690"/>
      <c r="R779" s="1754"/>
    </row>
    <row r="780" spans="1:18" s="1735" customFormat="1" ht="12" customHeight="1">
      <c r="A780" s="1743">
        <v>4300</v>
      </c>
      <c r="B780" s="1977" t="s">
        <v>122</v>
      </c>
      <c r="C780" s="1689">
        <v>138366</v>
      </c>
      <c r="D780" s="893">
        <f t="shared" si="111"/>
        <v>138366</v>
      </c>
      <c r="E780" s="1690">
        <f t="shared" si="112"/>
        <v>66520</v>
      </c>
      <c r="F780" s="1990">
        <f t="shared" si="109"/>
        <v>48.07539424425076</v>
      </c>
      <c r="G780" s="1829"/>
      <c r="H780" s="1830"/>
      <c r="I780" s="1912"/>
      <c r="J780" s="1831"/>
      <c r="K780" s="1830"/>
      <c r="L780" s="1832"/>
      <c r="M780" s="1689">
        <v>138366</v>
      </c>
      <c r="N780" s="1690">
        <v>66520</v>
      </c>
      <c r="O780" s="1695">
        <f t="shared" si="110"/>
        <v>48.07539424425076</v>
      </c>
      <c r="P780" s="1690"/>
      <c r="Q780" s="1690"/>
      <c r="R780" s="1754"/>
    </row>
    <row r="781" spans="1:18" s="1735" customFormat="1" ht="24">
      <c r="A781" s="1743">
        <v>4330</v>
      </c>
      <c r="B781" s="1977" t="s">
        <v>390</v>
      </c>
      <c r="C781" s="1689"/>
      <c r="D781" s="893">
        <f t="shared" si="111"/>
        <v>1008600</v>
      </c>
      <c r="E781" s="1690">
        <f t="shared" si="112"/>
        <v>387184</v>
      </c>
      <c r="F781" s="1990">
        <f t="shared" si="109"/>
        <v>38.38826095578029</v>
      </c>
      <c r="G781" s="1829"/>
      <c r="H781" s="1830"/>
      <c r="I781" s="1912"/>
      <c r="J781" s="1831"/>
      <c r="K781" s="1830"/>
      <c r="L781" s="1832"/>
      <c r="M781" s="1689">
        <f>270000+738600</f>
        <v>1008600</v>
      </c>
      <c r="N781" s="1690">
        <v>387184</v>
      </c>
      <c r="O781" s="1695">
        <f t="shared" si="110"/>
        <v>38.38826095578029</v>
      </c>
      <c r="P781" s="1690"/>
      <c r="Q781" s="1690"/>
      <c r="R781" s="1754"/>
    </row>
    <row r="782" spans="1:18" s="1735" customFormat="1" ht="12" customHeight="1">
      <c r="A782" s="1798">
        <v>4440</v>
      </c>
      <c r="B782" s="1978" t="s">
        <v>126</v>
      </c>
      <c r="C782" s="1800">
        <v>4385</v>
      </c>
      <c r="D782" s="925">
        <f t="shared" si="111"/>
        <v>4385</v>
      </c>
      <c r="E782" s="1791">
        <f t="shared" si="112"/>
        <v>4216</v>
      </c>
      <c r="F782" s="1999">
        <f t="shared" si="109"/>
        <v>96.14595210946408</v>
      </c>
      <c r="G782" s="1839"/>
      <c r="H782" s="1842"/>
      <c r="I782" s="2013"/>
      <c r="J782" s="1843"/>
      <c r="K782" s="1842"/>
      <c r="L782" s="1844"/>
      <c r="M782" s="1800">
        <v>4385</v>
      </c>
      <c r="N782" s="1791">
        <v>4216</v>
      </c>
      <c r="O782" s="1974">
        <f t="shared" si="110"/>
        <v>96.14595210946408</v>
      </c>
      <c r="P782" s="1791"/>
      <c r="Q782" s="1791"/>
      <c r="R782" s="1845"/>
    </row>
    <row r="783" spans="1:18" s="1771" customFormat="1" ht="12" customHeight="1">
      <c r="A783" s="1858">
        <v>85202</v>
      </c>
      <c r="B783" s="2014" t="s">
        <v>391</v>
      </c>
      <c r="C783" s="883">
        <f>SUM(C784:C785)</f>
        <v>300600</v>
      </c>
      <c r="D783" s="884">
        <f aca="true" t="shared" si="113" ref="D783:E785">G783+J783+M783+P783</f>
        <v>213000</v>
      </c>
      <c r="E783" s="884">
        <f t="shared" si="113"/>
        <v>56647</v>
      </c>
      <c r="F783" s="1999">
        <f t="shared" si="109"/>
        <v>26.59483568075117</v>
      </c>
      <c r="G783" s="883">
        <f>SUM(G784:G785)</f>
        <v>213000</v>
      </c>
      <c r="H783" s="884">
        <f>SUM(H784:H785)</f>
        <v>56647</v>
      </c>
      <c r="I783" s="2015">
        <f>H783/G783*100</f>
        <v>26.59483568075117</v>
      </c>
      <c r="J783" s="1860"/>
      <c r="K783" s="1860"/>
      <c r="L783" s="1844"/>
      <c r="M783" s="1860"/>
      <c r="N783" s="884"/>
      <c r="O783" s="2016"/>
      <c r="P783" s="884"/>
      <c r="Q783" s="884"/>
      <c r="R783" s="1862"/>
    </row>
    <row r="784" spans="1:18" s="1586" customFormat="1" ht="12" customHeight="1">
      <c r="A784" s="1818">
        <v>4300</v>
      </c>
      <c r="B784" s="2006" t="s">
        <v>136</v>
      </c>
      <c r="C784" s="895">
        <v>300600</v>
      </c>
      <c r="D784" s="893">
        <f t="shared" si="113"/>
        <v>0</v>
      </c>
      <c r="E784" s="893">
        <f t="shared" si="113"/>
        <v>0</v>
      </c>
      <c r="F784" s="1990"/>
      <c r="G784" s="895"/>
      <c r="H784" s="893"/>
      <c r="I784" s="1909"/>
      <c r="J784" s="1820"/>
      <c r="K784" s="1820"/>
      <c r="L784" s="1746"/>
      <c r="M784" s="1820"/>
      <c r="N784" s="893"/>
      <c r="O784" s="1891"/>
      <c r="P784" s="893"/>
      <c r="Q784" s="893"/>
      <c r="R784" s="897"/>
    </row>
    <row r="785" spans="1:18" s="1586" customFormat="1" ht="24">
      <c r="A785" s="1851">
        <v>4330</v>
      </c>
      <c r="B785" s="2017" t="s">
        <v>390</v>
      </c>
      <c r="C785" s="924"/>
      <c r="D785" s="893">
        <f t="shared" si="113"/>
        <v>213000</v>
      </c>
      <c r="E785" s="893">
        <f t="shared" si="113"/>
        <v>56647</v>
      </c>
      <c r="F785" s="1990">
        <f t="shared" si="109"/>
        <v>26.59483568075117</v>
      </c>
      <c r="G785" s="924">
        <f>285600-72600</f>
        <v>213000</v>
      </c>
      <c r="H785" s="925">
        <v>56647</v>
      </c>
      <c r="I785" s="2015">
        <f>H785/G785*100</f>
        <v>26.59483568075117</v>
      </c>
      <c r="J785" s="1822"/>
      <c r="K785" s="1822"/>
      <c r="L785" s="1857"/>
      <c r="M785" s="1822"/>
      <c r="N785" s="925"/>
      <c r="O785" s="1974"/>
      <c r="P785" s="925"/>
      <c r="Q785" s="925"/>
      <c r="R785" s="1825"/>
    </row>
    <row r="786" spans="1:18" s="1586" customFormat="1" ht="12.75">
      <c r="A786" s="1783">
        <v>85203</v>
      </c>
      <c r="B786" s="2018" t="s">
        <v>747</v>
      </c>
      <c r="C786" s="886">
        <f>C787+C799+C824+C811</f>
        <v>942920</v>
      </c>
      <c r="D786" s="908">
        <f>G786+J786+P786+M786</f>
        <v>965125</v>
      </c>
      <c r="E786" s="908">
        <f>H786+K786+Q786+N786</f>
        <v>428889</v>
      </c>
      <c r="F786" s="1979">
        <f t="shared" si="109"/>
        <v>44.438699650304365</v>
      </c>
      <c r="G786" s="886">
        <f>G787+G799+G824</f>
        <v>515125</v>
      </c>
      <c r="H786" s="908">
        <f>H787+H799+H824</f>
        <v>219499</v>
      </c>
      <c r="I786" s="1681">
        <f>H786/G786*100</f>
        <v>42.610822615869935</v>
      </c>
      <c r="J786" s="1816">
        <f>J787+J799+J824+J811</f>
        <v>450000</v>
      </c>
      <c r="K786" s="1816">
        <f>K787+K799+K824+K811</f>
        <v>209390</v>
      </c>
      <c r="L786" s="1776">
        <f>K786/J786*100</f>
        <v>46.53111111111111</v>
      </c>
      <c r="M786" s="908"/>
      <c r="N786" s="908"/>
      <c r="O786" s="2019"/>
      <c r="P786" s="908"/>
      <c r="Q786" s="908"/>
      <c r="R786" s="949"/>
    </row>
    <row r="787" spans="1:18" ht="12.75">
      <c r="A787" s="1827"/>
      <c r="B787" s="2020" t="s">
        <v>392</v>
      </c>
      <c r="C787" s="1829">
        <f>SUM(C788:C798)</f>
        <v>174429</v>
      </c>
      <c r="D787" s="1765">
        <f>G787+J787+P787+M787</f>
        <v>179634</v>
      </c>
      <c r="E787" s="1830">
        <f>H787+K787+Q787+N787</f>
        <v>69380</v>
      </c>
      <c r="F787" s="1990">
        <f t="shared" si="109"/>
        <v>38.62297783270427</v>
      </c>
      <c r="G787" s="1763">
        <f>SUM(G788:G798)</f>
        <v>179634</v>
      </c>
      <c r="H787" s="1765">
        <f>SUM(H788:H798)</f>
        <v>69380</v>
      </c>
      <c r="I787" s="1666">
        <f>H787/G787*100</f>
        <v>38.62297783270427</v>
      </c>
      <c r="J787" s="1831"/>
      <c r="K787" s="1831"/>
      <c r="L787" s="1669"/>
      <c r="M787" s="1830"/>
      <c r="N787" s="1830"/>
      <c r="O787" s="1695"/>
      <c r="P787" s="1830"/>
      <c r="Q787" s="1830"/>
      <c r="R787" s="1754"/>
    </row>
    <row r="788" spans="1:18" ht="24">
      <c r="A788" s="1743">
        <v>4010</v>
      </c>
      <c r="B788" s="1977" t="s">
        <v>104</v>
      </c>
      <c r="C788" s="1689">
        <v>68810</v>
      </c>
      <c r="D788" s="893">
        <f aca="true" t="shared" si="114" ref="D788:E805">G788+J788+P788+M788</f>
        <v>68810</v>
      </c>
      <c r="E788" s="1690">
        <f>SUM(H788+K788+N788+Q788)</f>
        <v>27489</v>
      </c>
      <c r="F788" s="1990">
        <f t="shared" si="109"/>
        <v>39.94913530010173</v>
      </c>
      <c r="G788" s="1689">
        <v>68810</v>
      </c>
      <c r="H788" s="893">
        <v>27489</v>
      </c>
      <c r="I788" s="1666">
        <f aca="true" t="shared" si="115" ref="I788:I793">H788/G788*100</f>
        <v>39.94913530010173</v>
      </c>
      <c r="J788" s="1745"/>
      <c r="K788" s="1690"/>
      <c r="L788" s="1669"/>
      <c r="M788" s="1690"/>
      <c r="N788" s="1690"/>
      <c r="O788" s="1695"/>
      <c r="P788" s="1690"/>
      <c r="Q788" s="1690"/>
      <c r="R788" s="1754"/>
    </row>
    <row r="789" spans="1:18" ht="24">
      <c r="A789" s="1743">
        <v>4040</v>
      </c>
      <c r="B789" s="1977" t="s">
        <v>165</v>
      </c>
      <c r="C789" s="1689">
        <v>7140</v>
      </c>
      <c r="D789" s="893">
        <f t="shared" si="114"/>
        <v>4140</v>
      </c>
      <c r="E789" s="1690">
        <f>SUM(H789+K789+N789+Q789)</f>
        <v>4139</v>
      </c>
      <c r="F789" s="1990">
        <f t="shared" si="109"/>
        <v>99.97584541062801</v>
      </c>
      <c r="G789" s="1689">
        <f>7140-3000</f>
        <v>4140</v>
      </c>
      <c r="H789" s="893">
        <v>4139</v>
      </c>
      <c r="I789" s="1666">
        <f t="shared" si="115"/>
        <v>99.97584541062801</v>
      </c>
      <c r="J789" s="1745"/>
      <c r="K789" s="1690"/>
      <c r="L789" s="1669"/>
      <c r="M789" s="1690"/>
      <c r="N789" s="1690"/>
      <c r="O789" s="1695"/>
      <c r="P789" s="1690"/>
      <c r="Q789" s="1690"/>
      <c r="R789" s="1754"/>
    </row>
    <row r="790" spans="1:18" ht="24" customHeight="1">
      <c r="A790" s="1743">
        <v>4110</v>
      </c>
      <c r="B790" s="1977" t="s">
        <v>110</v>
      </c>
      <c r="C790" s="1689">
        <v>13465</v>
      </c>
      <c r="D790" s="893">
        <f t="shared" si="114"/>
        <v>13465</v>
      </c>
      <c r="E790" s="1690">
        <f aca="true" t="shared" si="116" ref="E790:E798">SUM(H790+K790+N790+Q790)</f>
        <v>5008</v>
      </c>
      <c r="F790" s="1990">
        <f t="shared" si="109"/>
        <v>37.19272187151875</v>
      </c>
      <c r="G790" s="1689">
        <v>13465</v>
      </c>
      <c r="H790" s="893">
        <v>5008</v>
      </c>
      <c r="I790" s="1666">
        <f t="shared" si="115"/>
        <v>37.19272187151875</v>
      </c>
      <c r="J790" s="1745"/>
      <c r="K790" s="1690"/>
      <c r="L790" s="1669"/>
      <c r="M790" s="1690"/>
      <c r="N790" s="1690"/>
      <c r="O790" s="1695"/>
      <c r="P790" s="1690"/>
      <c r="Q790" s="1690"/>
      <c r="R790" s="1754"/>
    </row>
    <row r="791" spans="1:18" ht="11.25" customHeight="1">
      <c r="A791" s="1743">
        <v>4120</v>
      </c>
      <c r="B791" s="1977" t="s">
        <v>208</v>
      </c>
      <c r="C791" s="1689">
        <v>1860</v>
      </c>
      <c r="D791" s="893">
        <f t="shared" si="114"/>
        <v>1860</v>
      </c>
      <c r="E791" s="1690">
        <f t="shared" si="116"/>
        <v>600</v>
      </c>
      <c r="F791" s="1990">
        <f t="shared" si="109"/>
        <v>32.25806451612903</v>
      </c>
      <c r="G791" s="1689">
        <v>1860</v>
      </c>
      <c r="H791" s="893">
        <v>600</v>
      </c>
      <c r="I791" s="1666">
        <f t="shared" si="115"/>
        <v>32.25806451612903</v>
      </c>
      <c r="J791" s="1745"/>
      <c r="K791" s="1690"/>
      <c r="L791" s="1669"/>
      <c r="M791" s="1690"/>
      <c r="N791" s="1690"/>
      <c r="O791" s="1695"/>
      <c r="P791" s="1690"/>
      <c r="Q791" s="1690"/>
      <c r="R791" s="1754"/>
    </row>
    <row r="792" spans="1:18" ht="24">
      <c r="A792" s="1743">
        <v>4210</v>
      </c>
      <c r="B792" s="1977" t="s">
        <v>114</v>
      </c>
      <c r="C792" s="1689">
        <v>40798</v>
      </c>
      <c r="D792" s="893">
        <f t="shared" si="114"/>
        <v>11203</v>
      </c>
      <c r="E792" s="1690">
        <f t="shared" si="116"/>
        <v>1277</v>
      </c>
      <c r="F792" s="1990">
        <f t="shared" si="109"/>
        <v>11.398732482370793</v>
      </c>
      <c r="G792" s="1689">
        <f>40798-37800+8205</f>
        <v>11203</v>
      </c>
      <c r="H792" s="893">
        <v>1277</v>
      </c>
      <c r="I792" s="1666">
        <f t="shared" si="115"/>
        <v>11.398732482370793</v>
      </c>
      <c r="J792" s="1745"/>
      <c r="K792" s="1690"/>
      <c r="L792" s="1669"/>
      <c r="M792" s="1690"/>
      <c r="N792" s="1690"/>
      <c r="O792" s="1695"/>
      <c r="P792" s="1690"/>
      <c r="Q792" s="1690"/>
      <c r="R792" s="1754"/>
    </row>
    <row r="793" spans="1:18" ht="12.75" hidden="1">
      <c r="A793" s="1743">
        <v>4220</v>
      </c>
      <c r="B793" s="1977" t="s">
        <v>285</v>
      </c>
      <c r="C793" s="1689"/>
      <c r="D793" s="893">
        <f t="shared" si="114"/>
        <v>0</v>
      </c>
      <c r="E793" s="1690">
        <f t="shared" si="116"/>
        <v>0</v>
      </c>
      <c r="F793" s="1990" t="e">
        <f t="shared" si="109"/>
        <v>#DIV/0!</v>
      </c>
      <c r="G793" s="1689"/>
      <c r="H793" s="893"/>
      <c r="I793" s="1666" t="e">
        <f t="shared" si="115"/>
        <v>#DIV/0!</v>
      </c>
      <c r="J793" s="1745"/>
      <c r="K793" s="1690"/>
      <c r="L793" s="1669"/>
      <c r="M793" s="1690"/>
      <c r="N793" s="1690"/>
      <c r="O793" s="1695"/>
      <c r="P793" s="1690"/>
      <c r="Q793" s="1690"/>
      <c r="R793" s="1754"/>
    </row>
    <row r="794" spans="1:18" ht="12.75">
      <c r="A794" s="1743">
        <v>4260</v>
      </c>
      <c r="B794" s="1977" t="s">
        <v>118</v>
      </c>
      <c r="C794" s="1689">
        <v>18682</v>
      </c>
      <c r="D794" s="893">
        <f t="shared" si="114"/>
        <v>18682</v>
      </c>
      <c r="E794" s="1690">
        <f t="shared" si="116"/>
        <v>7449</v>
      </c>
      <c r="F794" s="1990">
        <f t="shared" si="109"/>
        <v>39.87260464618349</v>
      </c>
      <c r="G794" s="1689">
        <v>18682</v>
      </c>
      <c r="H794" s="893">
        <v>7449</v>
      </c>
      <c r="I794" s="1666">
        <f>H794/G794*100</f>
        <v>39.87260464618349</v>
      </c>
      <c r="J794" s="1745"/>
      <c r="K794" s="1690"/>
      <c r="L794" s="1669"/>
      <c r="M794" s="1690"/>
      <c r="N794" s="1690"/>
      <c r="O794" s="1695"/>
      <c r="P794" s="1690"/>
      <c r="Q794" s="1690"/>
      <c r="R794" s="1754"/>
    </row>
    <row r="795" spans="1:18" ht="12.75" customHeight="1">
      <c r="A795" s="1743">
        <v>4300</v>
      </c>
      <c r="B795" s="1977" t="s">
        <v>122</v>
      </c>
      <c r="C795" s="1689">
        <v>19629</v>
      </c>
      <c r="D795" s="893">
        <f t="shared" si="114"/>
        <v>57429</v>
      </c>
      <c r="E795" s="1690">
        <f t="shared" si="116"/>
        <v>20063</v>
      </c>
      <c r="F795" s="1990">
        <f t="shared" si="109"/>
        <v>34.93531142802417</v>
      </c>
      <c r="G795" s="1689">
        <f>19629+37800</f>
        <v>57429</v>
      </c>
      <c r="H795" s="893">
        <v>20063</v>
      </c>
      <c r="I795" s="1666">
        <f>H795/G795*100</f>
        <v>34.93531142802417</v>
      </c>
      <c r="J795" s="1745"/>
      <c r="K795" s="1690"/>
      <c r="L795" s="1669"/>
      <c r="M795" s="1690"/>
      <c r="N795" s="1690"/>
      <c r="O795" s="1695"/>
      <c r="P795" s="1690"/>
      <c r="Q795" s="1690"/>
      <c r="R795" s="1754"/>
    </row>
    <row r="796" spans="1:18" ht="12.75" customHeight="1">
      <c r="A796" s="1743">
        <v>4430</v>
      </c>
      <c r="B796" s="1977" t="s">
        <v>124</v>
      </c>
      <c r="C796" s="1689">
        <v>100</v>
      </c>
      <c r="D796" s="893">
        <f t="shared" si="114"/>
        <v>100</v>
      </c>
      <c r="E796" s="1690">
        <f t="shared" si="116"/>
        <v>0</v>
      </c>
      <c r="F796" s="1990">
        <f t="shared" si="109"/>
        <v>0</v>
      </c>
      <c r="G796" s="1689">
        <v>100</v>
      </c>
      <c r="H796" s="893"/>
      <c r="I796" s="1666">
        <f>H796/G796*100</f>
        <v>0</v>
      </c>
      <c r="J796" s="1745"/>
      <c r="K796" s="1690"/>
      <c r="L796" s="1669"/>
      <c r="M796" s="1690"/>
      <c r="N796" s="1690"/>
      <c r="O796" s="1695"/>
      <c r="P796" s="1690"/>
      <c r="Q796" s="1690"/>
      <c r="R796" s="1754"/>
    </row>
    <row r="797" spans="1:18" ht="12.75" customHeight="1">
      <c r="A797" s="1743">
        <v>4480</v>
      </c>
      <c r="B797" s="1977" t="s">
        <v>688</v>
      </c>
      <c r="C797" s="1689">
        <v>2725</v>
      </c>
      <c r="D797" s="893">
        <f t="shared" si="114"/>
        <v>1220</v>
      </c>
      <c r="E797" s="1690">
        <f>SUM(H797+K797+N797+Q797)</f>
        <v>630</v>
      </c>
      <c r="F797" s="1990">
        <f>E797/D797*100</f>
        <v>51.63934426229508</v>
      </c>
      <c r="G797" s="1689">
        <f>2725-1505</f>
        <v>1220</v>
      </c>
      <c r="H797" s="893">
        <v>630</v>
      </c>
      <c r="I797" s="1666">
        <f>H797/G797*100</f>
        <v>51.63934426229508</v>
      </c>
      <c r="J797" s="1745"/>
      <c r="K797" s="1690"/>
      <c r="L797" s="1669"/>
      <c r="M797" s="1690"/>
      <c r="N797" s="1690"/>
      <c r="O797" s="1695"/>
      <c r="P797" s="1690"/>
      <c r="Q797" s="1690"/>
      <c r="R797" s="1754"/>
    </row>
    <row r="798" spans="1:18" s="1735" customFormat="1" ht="12.75" customHeight="1">
      <c r="A798" s="1798">
        <v>4440</v>
      </c>
      <c r="B798" s="1978" t="s">
        <v>126</v>
      </c>
      <c r="C798" s="1800">
        <v>1220</v>
      </c>
      <c r="D798" s="925">
        <f t="shared" si="114"/>
        <v>2725</v>
      </c>
      <c r="E798" s="1791">
        <f t="shared" si="116"/>
        <v>2725</v>
      </c>
      <c r="F798" s="1999">
        <f t="shared" si="109"/>
        <v>100</v>
      </c>
      <c r="G798" s="1800">
        <f>1220+1505</f>
        <v>2725</v>
      </c>
      <c r="H798" s="925">
        <v>2725</v>
      </c>
      <c r="I798" s="1719">
        <f>H798/G798*100</f>
        <v>100</v>
      </c>
      <c r="J798" s="1801"/>
      <c r="K798" s="1791"/>
      <c r="L798" s="1739"/>
      <c r="M798" s="1791"/>
      <c r="N798" s="1791"/>
      <c r="O798" s="1720"/>
      <c r="P798" s="1791"/>
      <c r="Q798" s="1791"/>
      <c r="R798" s="1845"/>
    </row>
    <row r="799" spans="1:18" s="1735" customFormat="1" ht="25.5" customHeight="1">
      <c r="A799" s="1798"/>
      <c r="B799" s="2021" t="s">
        <v>393</v>
      </c>
      <c r="C799" s="1738">
        <f>SUM(C800:C810)</f>
        <v>318491</v>
      </c>
      <c r="D799" s="908">
        <f t="shared" si="114"/>
        <v>335491</v>
      </c>
      <c r="E799" s="1680">
        <f t="shared" si="114"/>
        <v>150119</v>
      </c>
      <c r="F799" s="1979">
        <f t="shared" si="109"/>
        <v>44.74605876163593</v>
      </c>
      <c r="G799" s="886">
        <f>SUM(G800:G810)</f>
        <v>335491</v>
      </c>
      <c r="H799" s="884">
        <f>SUM(H800:H810)</f>
        <v>150119</v>
      </c>
      <c r="I799" s="1681">
        <f aca="true" t="shared" si="117" ref="I799:I810">H799/G799*100</f>
        <v>44.74605876163593</v>
      </c>
      <c r="J799" s="1843"/>
      <c r="K799" s="1842"/>
      <c r="L799" s="1741"/>
      <c r="M799" s="1680"/>
      <c r="N799" s="1680"/>
      <c r="O799" s="1742"/>
      <c r="P799" s="1842"/>
      <c r="Q799" s="1842"/>
      <c r="R799" s="1845"/>
    </row>
    <row r="800" spans="1:18" s="1735" customFormat="1" ht="26.25" customHeight="1">
      <c r="A800" s="1743">
        <v>4010</v>
      </c>
      <c r="B800" s="1977" t="s">
        <v>104</v>
      </c>
      <c r="C800" s="1689">
        <v>172300</v>
      </c>
      <c r="D800" s="893">
        <f t="shared" si="114"/>
        <v>172300</v>
      </c>
      <c r="E800" s="1690">
        <f aca="true" t="shared" si="118" ref="E800:E823">SUM(H800+K800+N800+Q800)</f>
        <v>86624</v>
      </c>
      <c r="F800" s="1990">
        <f t="shared" si="109"/>
        <v>50.27510156703424</v>
      </c>
      <c r="G800" s="1689">
        <v>172300</v>
      </c>
      <c r="H800" s="893">
        <v>86624</v>
      </c>
      <c r="I800" s="1666">
        <f t="shared" si="117"/>
        <v>50.27510156703424</v>
      </c>
      <c r="J800" s="1745"/>
      <c r="K800" s="1690"/>
      <c r="L800" s="1746"/>
      <c r="M800" s="1690"/>
      <c r="N800" s="1690"/>
      <c r="O800" s="1747"/>
      <c r="P800" s="1690"/>
      <c r="Q800" s="1690"/>
      <c r="R800" s="1754"/>
    </row>
    <row r="801" spans="1:18" s="1735" customFormat="1" ht="23.25" customHeight="1">
      <c r="A801" s="1743">
        <v>4040</v>
      </c>
      <c r="B801" s="1977" t="s">
        <v>165</v>
      </c>
      <c r="C801" s="1689">
        <v>14450</v>
      </c>
      <c r="D801" s="893">
        <f t="shared" si="114"/>
        <v>15811</v>
      </c>
      <c r="E801" s="1690">
        <f t="shared" si="118"/>
        <v>15810</v>
      </c>
      <c r="F801" s="1990">
        <f t="shared" si="109"/>
        <v>99.99367528935551</v>
      </c>
      <c r="G801" s="1689">
        <f>14450+1361</f>
        <v>15811</v>
      </c>
      <c r="H801" s="893">
        <f>15811-1</f>
        <v>15810</v>
      </c>
      <c r="I801" s="1666">
        <f t="shared" si="117"/>
        <v>99.99367528935551</v>
      </c>
      <c r="J801" s="1745"/>
      <c r="K801" s="1690"/>
      <c r="L801" s="1746"/>
      <c r="M801" s="1690"/>
      <c r="N801" s="1690"/>
      <c r="O801" s="1747"/>
      <c r="P801" s="1690"/>
      <c r="Q801" s="1690"/>
      <c r="R801" s="1754"/>
    </row>
    <row r="802" spans="1:18" s="1735" customFormat="1" ht="25.5" customHeight="1">
      <c r="A802" s="1743">
        <v>4110</v>
      </c>
      <c r="B802" s="1977" t="s">
        <v>110</v>
      </c>
      <c r="C802" s="1689">
        <v>33110</v>
      </c>
      <c r="D802" s="893">
        <f t="shared" si="114"/>
        <v>33110</v>
      </c>
      <c r="E802" s="1690">
        <f t="shared" si="118"/>
        <v>17792</v>
      </c>
      <c r="F802" s="1990">
        <f t="shared" si="109"/>
        <v>53.73603141045001</v>
      </c>
      <c r="G802" s="1689">
        <v>33110</v>
      </c>
      <c r="H802" s="893">
        <v>17792</v>
      </c>
      <c r="I802" s="1666">
        <f t="shared" si="117"/>
        <v>53.73603141045001</v>
      </c>
      <c r="J802" s="1745"/>
      <c r="K802" s="1690"/>
      <c r="L802" s="1746"/>
      <c r="M802" s="1690"/>
      <c r="N802" s="1690"/>
      <c r="O802" s="1747"/>
      <c r="P802" s="1690"/>
      <c r="Q802" s="1690"/>
      <c r="R802" s="1754"/>
    </row>
    <row r="803" spans="1:18" s="1735" customFormat="1" ht="12.75">
      <c r="A803" s="1743">
        <v>4120</v>
      </c>
      <c r="B803" s="1977" t="s">
        <v>208</v>
      </c>
      <c r="C803" s="1689">
        <v>4575</v>
      </c>
      <c r="D803" s="893">
        <f t="shared" si="114"/>
        <v>4575</v>
      </c>
      <c r="E803" s="1690">
        <f t="shared" si="118"/>
        <v>2459</v>
      </c>
      <c r="F803" s="1990">
        <f t="shared" si="109"/>
        <v>53.748633879781416</v>
      </c>
      <c r="G803" s="1689">
        <v>4575</v>
      </c>
      <c r="H803" s="893">
        <v>2459</v>
      </c>
      <c r="I803" s="1666">
        <f t="shared" si="117"/>
        <v>53.748633879781416</v>
      </c>
      <c r="J803" s="1745"/>
      <c r="K803" s="1690"/>
      <c r="L803" s="1746"/>
      <c r="M803" s="1690"/>
      <c r="N803" s="1690"/>
      <c r="O803" s="1747"/>
      <c r="P803" s="1690"/>
      <c r="Q803" s="1690"/>
      <c r="R803" s="1754"/>
    </row>
    <row r="804" spans="1:18" s="1735" customFormat="1" ht="23.25" customHeight="1">
      <c r="A804" s="1743">
        <v>4210</v>
      </c>
      <c r="B804" s="1977" t="s">
        <v>114</v>
      </c>
      <c r="C804" s="1689">
        <v>8200</v>
      </c>
      <c r="D804" s="893">
        <f t="shared" si="114"/>
        <v>9839</v>
      </c>
      <c r="E804" s="1690">
        <f t="shared" si="118"/>
        <v>2039</v>
      </c>
      <c r="F804" s="1990">
        <f t="shared" si="109"/>
        <v>20.723650777518042</v>
      </c>
      <c r="G804" s="1689">
        <f>8200+1639</f>
        <v>9839</v>
      </c>
      <c r="H804" s="893">
        <v>2039</v>
      </c>
      <c r="I804" s="1666">
        <f t="shared" si="117"/>
        <v>20.723650777518042</v>
      </c>
      <c r="J804" s="1745"/>
      <c r="K804" s="1690"/>
      <c r="L804" s="1746"/>
      <c r="M804" s="1690"/>
      <c r="N804" s="1690"/>
      <c r="O804" s="1747"/>
      <c r="P804" s="1690"/>
      <c r="Q804" s="1690"/>
      <c r="R804" s="1754"/>
    </row>
    <row r="805" spans="1:18" s="1735" customFormat="1" ht="12.75">
      <c r="A805" s="1743">
        <v>4260</v>
      </c>
      <c r="B805" s="1977" t="s">
        <v>118</v>
      </c>
      <c r="C805" s="1689"/>
      <c r="D805" s="893">
        <f t="shared" si="114"/>
        <v>30000</v>
      </c>
      <c r="E805" s="1690">
        <f t="shared" si="118"/>
        <v>4050</v>
      </c>
      <c r="F805" s="1990">
        <f t="shared" si="109"/>
        <v>13.5</v>
      </c>
      <c r="G805" s="1689">
        <v>30000</v>
      </c>
      <c r="H805" s="893">
        <v>4050</v>
      </c>
      <c r="I805" s="1666">
        <f t="shared" si="117"/>
        <v>13.5</v>
      </c>
      <c r="J805" s="1745"/>
      <c r="K805" s="1690"/>
      <c r="L805" s="1746"/>
      <c r="M805" s="1690"/>
      <c r="N805" s="1690"/>
      <c r="O805" s="1747"/>
      <c r="P805" s="1690"/>
      <c r="Q805" s="1690"/>
      <c r="R805" s="1754"/>
    </row>
    <row r="806" spans="1:18" s="1735" customFormat="1" ht="14.25" customHeight="1">
      <c r="A806" s="1743">
        <v>4270</v>
      </c>
      <c r="B806" s="1977" t="s">
        <v>120</v>
      </c>
      <c r="C806" s="1689">
        <v>2000</v>
      </c>
      <c r="D806" s="893">
        <f aca="true" t="shared" si="119" ref="D806:E835">G806+J806+P806+M806</f>
        <v>16000</v>
      </c>
      <c r="E806" s="1690">
        <f t="shared" si="118"/>
        <v>15018</v>
      </c>
      <c r="F806" s="1990">
        <f t="shared" si="109"/>
        <v>93.86250000000001</v>
      </c>
      <c r="G806" s="1689">
        <f>2000+14000</f>
        <v>16000</v>
      </c>
      <c r="H806" s="893">
        <v>15018</v>
      </c>
      <c r="I806" s="1666">
        <f t="shared" si="117"/>
        <v>93.86250000000001</v>
      </c>
      <c r="J806" s="1745"/>
      <c r="K806" s="1690"/>
      <c r="L806" s="1746"/>
      <c r="M806" s="1690"/>
      <c r="N806" s="1690"/>
      <c r="O806" s="1747"/>
      <c r="P806" s="1690"/>
      <c r="Q806" s="1690"/>
      <c r="R806" s="1754"/>
    </row>
    <row r="807" spans="1:18" s="1735" customFormat="1" ht="14.25" customHeight="1">
      <c r="A807" s="1743">
        <v>4300</v>
      </c>
      <c r="B807" s="1977" t="s">
        <v>171</v>
      </c>
      <c r="C807" s="1689">
        <v>79166</v>
      </c>
      <c r="D807" s="893">
        <f t="shared" si="119"/>
        <v>49166</v>
      </c>
      <c r="E807" s="1690">
        <f t="shared" si="118"/>
        <v>2361</v>
      </c>
      <c r="F807" s="1990">
        <f t="shared" si="109"/>
        <v>4.802099011512021</v>
      </c>
      <c r="G807" s="1689">
        <f>79166-30000</f>
        <v>49166</v>
      </c>
      <c r="H807" s="893">
        <v>2361</v>
      </c>
      <c r="I807" s="1666">
        <f t="shared" si="117"/>
        <v>4.802099011512021</v>
      </c>
      <c r="J807" s="1745"/>
      <c r="K807" s="1690"/>
      <c r="L807" s="1746"/>
      <c r="M807" s="1690"/>
      <c r="N807" s="1690"/>
      <c r="O807" s="1747"/>
      <c r="P807" s="1690"/>
      <c r="Q807" s="1690"/>
      <c r="R807" s="1754"/>
    </row>
    <row r="808" spans="1:18" s="1735" customFormat="1" ht="15.75" customHeight="1">
      <c r="A808" s="1743">
        <v>4410</v>
      </c>
      <c r="B808" s="1977" t="s">
        <v>96</v>
      </c>
      <c r="C808" s="1689">
        <v>200</v>
      </c>
      <c r="D808" s="893">
        <f t="shared" si="119"/>
        <v>200</v>
      </c>
      <c r="E808" s="1690">
        <f t="shared" si="118"/>
        <v>190</v>
      </c>
      <c r="F808" s="1990">
        <f t="shared" si="109"/>
        <v>95</v>
      </c>
      <c r="G808" s="1689">
        <v>200</v>
      </c>
      <c r="H808" s="893">
        <v>190</v>
      </c>
      <c r="I808" s="1666">
        <f t="shared" si="117"/>
        <v>95</v>
      </c>
      <c r="J808" s="1745"/>
      <c r="K808" s="1690"/>
      <c r="L808" s="1746"/>
      <c r="M808" s="1690"/>
      <c r="N808" s="1690"/>
      <c r="O808" s="1747"/>
      <c r="P808" s="1690"/>
      <c r="Q808" s="1690"/>
      <c r="R808" s="1754"/>
    </row>
    <row r="809" spans="1:18" s="1735" customFormat="1" ht="15.75" customHeight="1">
      <c r="A809" s="1743">
        <v>4480</v>
      </c>
      <c r="B809" s="1977" t="s">
        <v>688</v>
      </c>
      <c r="C809" s="1689">
        <v>2000</v>
      </c>
      <c r="D809" s="893">
        <f>G809+J809+P809+M809</f>
        <v>2000</v>
      </c>
      <c r="E809" s="1690">
        <f>SUM(H809+K809+N809+Q809)</f>
        <v>1286</v>
      </c>
      <c r="F809" s="1990">
        <f t="shared" si="109"/>
        <v>64.3</v>
      </c>
      <c r="G809" s="1689">
        <v>2000</v>
      </c>
      <c r="H809" s="893">
        <v>1286</v>
      </c>
      <c r="I809" s="1666">
        <f t="shared" si="117"/>
        <v>64.3</v>
      </c>
      <c r="J809" s="1745"/>
      <c r="K809" s="1690"/>
      <c r="L809" s="1746"/>
      <c r="M809" s="1690"/>
      <c r="N809" s="1690"/>
      <c r="O809" s="1747"/>
      <c r="P809" s="1690"/>
      <c r="Q809" s="1690"/>
      <c r="R809" s="1754"/>
    </row>
    <row r="810" spans="1:18" s="1735" customFormat="1" ht="14.25" customHeight="1">
      <c r="A810" s="1798">
        <v>4440</v>
      </c>
      <c r="B810" s="1978" t="s">
        <v>126</v>
      </c>
      <c r="C810" s="1800">
        <v>2490</v>
      </c>
      <c r="D810" s="925">
        <f t="shared" si="119"/>
        <v>2490</v>
      </c>
      <c r="E810" s="1791">
        <f t="shared" si="118"/>
        <v>2490</v>
      </c>
      <c r="F810" s="1999">
        <f t="shared" si="109"/>
        <v>100</v>
      </c>
      <c r="G810" s="1800">
        <v>2490</v>
      </c>
      <c r="H810" s="925">
        <v>2490</v>
      </c>
      <c r="I810" s="1719">
        <f t="shared" si="117"/>
        <v>100</v>
      </c>
      <c r="J810" s="1801"/>
      <c r="K810" s="1791"/>
      <c r="L810" s="1857"/>
      <c r="M810" s="1791"/>
      <c r="N810" s="1791"/>
      <c r="O810" s="1804"/>
      <c r="P810" s="1791"/>
      <c r="Q810" s="1791"/>
      <c r="R810" s="1845"/>
    </row>
    <row r="811" spans="1:18" s="1771" customFormat="1" ht="14.25" customHeight="1">
      <c r="A811" s="1858"/>
      <c r="B811" s="2014" t="s">
        <v>394</v>
      </c>
      <c r="C811" s="883">
        <f>SUM(C812:C823)</f>
        <v>214000</v>
      </c>
      <c r="D811" s="884">
        <f t="shared" si="119"/>
        <v>214000</v>
      </c>
      <c r="E811" s="1840">
        <f t="shared" si="118"/>
        <v>113889</v>
      </c>
      <c r="F811" s="1999">
        <f t="shared" si="109"/>
        <v>53.21915887850467</v>
      </c>
      <c r="G811" s="883"/>
      <c r="H811" s="884"/>
      <c r="I811" s="1952"/>
      <c r="J811" s="1860">
        <f>SUM(J812:J823)</f>
        <v>214000</v>
      </c>
      <c r="K811" s="1860">
        <f>SUM(K812:K823)</f>
        <v>113889</v>
      </c>
      <c r="L811" s="1776">
        <f>K811/J811*100</f>
        <v>53.21915887850467</v>
      </c>
      <c r="M811" s="884"/>
      <c r="N811" s="884"/>
      <c r="O811" s="1861"/>
      <c r="P811" s="884"/>
      <c r="Q811" s="884"/>
      <c r="R811" s="1862"/>
    </row>
    <row r="812" spans="1:18" s="1586" customFormat="1" ht="24">
      <c r="A812" s="1743">
        <v>4010</v>
      </c>
      <c r="B812" s="1977" t="s">
        <v>104</v>
      </c>
      <c r="C812" s="895">
        <v>113700</v>
      </c>
      <c r="D812" s="932">
        <f t="shared" si="119"/>
        <v>113700</v>
      </c>
      <c r="E812" s="1707">
        <f t="shared" si="118"/>
        <v>56505</v>
      </c>
      <c r="F812" s="1691">
        <f t="shared" si="109"/>
        <v>49.696569920844325</v>
      </c>
      <c r="G812" s="895"/>
      <c r="H812" s="893"/>
      <c r="I812" s="1666"/>
      <c r="J812" s="1820">
        <v>113700</v>
      </c>
      <c r="K812" s="1820">
        <v>56505</v>
      </c>
      <c r="L812" s="1710">
        <f>K812/J812*100</f>
        <v>49.696569920844325</v>
      </c>
      <c r="M812" s="893"/>
      <c r="N812" s="893"/>
      <c r="O812" s="1821"/>
      <c r="P812" s="893"/>
      <c r="Q812" s="893"/>
      <c r="R812" s="897"/>
    </row>
    <row r="813" spans="1:18" s="1586" customFormat="1" ht="24">
      <c r="A813" s="1743">
        <v>4040</v>
      </c>
      <c r="B813" s="1977" t="s">
        <v>165</v>
      </c>
      <c r="C813" s="895">
        <v>9190</v>
      </c>
      <c r="D813" s="893">
        <f t="shared" si="119"/>
        <v>10372</v>
      </c>
      <c r="E813" s="1690">
        <f t="shared" si="118"/>
        <v>10371</v>
      </c>
      <c r="F813" s="1666">
        <f t="shared" si="109"/>
        <v>99.99035865792519</v>
      </c>
      <c r="G813" s="895"/>
      <c r="H813" s="893"/>
      <c r="I813" s="1666"/>
      <c r="J813" s="1820">
        <f>9190+1182</f>
        <v>10372</v>
      </c>
      <c r="K813" s="1820">
        <v>10371</v>
      </c>
      <c r="L813" s="1669">
        <f aca="true" t="shared" si="120" ref="L813:L821">K813/J813*100</f>
        <v>99.99035865792519</v>
      </c>
      <c r="M813" s="893"/>
      <c r="N813" s="893"/>
      <c r="O813" s="1821"/>
      <c r="P813" s="893"/>
      <c r="Q813" s="893"/>
      <c r="R813" s="897"/>
    </row>
    <row r="814" spans="1:18" s="1586" customFormat="1" ht="24">
      <c r="A814" s="1743">
        <v>4110</v>
      </c>
      <c r="B814" s="1977" t="s">
        <v>110</v>
      </c>
      <c r="C814" s="895">
        <v>21790</v>
      </c>
      <c r="D814" s="893">
        <f t="shared" si="119"/>
        <v>21790</v>
      </c>
      <c r="E814" s="1690">
        <f t="shared" si="118"/>
        <v>11821</v>
      </c>
      <c r="F814" s="1666">
        <f t="shared" si="109"/>
        <v>54.24965580541533</v>
      </c>
      <c r="G814" s="895"/>
      <c r="H814" s="893"/>
      <c r="I814" s="1666"/>
      <c r="J814" s="1820">
        <v>21790</v>
      </c>
      <c r="K814" s="1820">
        <v>11821</v>
      </c>
      <c r="L814" s="1669">
        <f t="shared" si="120"/>
        <v>54.24965580541533</v>
      </c>
      <c r="M814" s="893"/>
      <c r="N814" s="893"/>
      <c r="O814" s="1821"/>
      <c r="P814" s="893"/>
      <c r="Q814" s="893"/>
      <c r="R814" s="897"/>
    </row>
    <row r="815" spans="1:18" s="1586" customFormat="1" ht="14.25" customHeight="1">
      <c r="A815" s="1743">
        <v>4120</v>
      </c>
      <c r="B815" s="1977" t="s">
        <v>208</v>
      </c>
      <c r="C815" s="895">
        <v>3010</v>
      </c>
      <c r="D815" s="893">
        <f t="shared" si="119"/>
        <v>3010</v>
      </c>
      <c r="E815" s="1690">
        <f t="shared" si="118"/>
        <v>1781</v>
      </c>
      <c r="F815" s="1666">
        <f t="shared" si="109"/>
        <v>59.16943521594684</v>
      </c>
      <c r="G815" s="895"/>
      <c r="H815" s="893"/>
      <c r="I815" s="1666"/>
      <c r="J815" s="1820">
        <v>3010</v>
      </c>
      <c r="K815" s="1820">
        <v>1781</v>
      </c>
      <c r="L815" s="1669">
        <f t="shared" si="120"/>
        <v>59.16943521594684</v>
      </c>
      <c r="M815" s="893"/>
      <c r="N815" s="893"/>
      <c r="O815" s="1821"/>
      <c r="P815" s="893"/>
      <c r="Q815" s="893"/>
      <c r="R815" s="897"/>
    </row>
    <row r="816" spans="1:18" s="1586" customFormat="1" ht="24">
      <c r="A816" s="1743">
        <v>4210</v>
      </c>
      <c r="B816" s="1977" t="s">
        <v>114</v>
      </c>
      <c r="C816" s="895">
        <v>13833</v>
      </c>
      <c r="D816" s="893">
        <f t="shared" si="119"/>
        <v>13833</v>
      </c>
      <c r="E816" s="1690">
        <f t="shared" si="118"/>
        <v>6040</v>
      </c>
      <c r="F816" s="1666">
        <f t="shared" si="109"/>
        <v>43.663702739825055</v>
      </c>
      <c r="G816" s="895"/>
      <c r="H816" s="893"/>
      <c r="I816" s="1666"/>
      <c r="J816" s="1820">
        <v>13833</v>
      </c>
      <c r="K816" s="1820">
        <v>6040</v>
      </c>
      <c r="L816" s="1669">
        <f t="shared" si="120"/>
        <v>43.663702739825055</v>
      </c>
      <c r="M816" s="893"/>
      <c r="N816" s="893"/>
      <c r="O816" s="1821"/>
      <c r="P816" s="893"/>
      <c r="Q816" s="893"/>
      <c r="R816" s="897"/>
    </row>
    <row r="817" spans="1:18" s="1586" customFormat="1" ht="24">
      <c r="A817" s="1743">
        <v>4230</v>
      </c>
      <c r="B817" s="1977" t="s">
        <v>116</v>
      </c>
      <c r="C817" s="895">
        <v>200</v>
      </c>
      <c r="D817" s="893">
        <f t="shared" si="119"/>
        <v>200</v>
      </c>
      <c r="E817" s="1690">
        <f t="shared" si="118"/>
        <v>0</v>
      </c>
      <c r="F817" s="1666">
        <f t="shared" si="109"/>
        <v>0</v>
      </c>
      <c r="G817" s="895"/>
      <c r="H817" s="893"/>
      <c r="I817" s="1666"/>
      <c r="J817" s="1820">
        <v>200</v>
      </c>
      <c r="K817" s="1820"/>
      <c r="L817" s="1669">
        <f t="shared" si="120"/>
        <v>0</v>
      </c>
      <c r="M817" s="893"/>
      <c r="N817" s="893"/>
      <c r="O817" s="1821"/>
      <c r="P817" s="893"/>
      <c r="Q817" s="893"/>
      <c r="R817" s="897"/>
    </row>
    <row r="818" spans="1:18" s="1586" customFormat="1" ht="14.25" customHeight="1">
      <c r="A818" s="1743">
        <v>4260</v>
      </c>
      <c r="B818" s="1977" t="s">
        <v>118</v>
      </c>
      <c r="C818" s="895">
        <v>12224</v>
      </c>
      <c r="D818" s="893">
        <f t="shared" si="119"/>
        <v>12224</v>
      </c>
      <c r="E818" s="1690">
        <f t="shared" si="118"/>
        <v>6365</v>
      </c>
      <c r="F818" s="1666">
        <f t="shared" si="109"/>
        <v>52.069698952879584</v>
      </c>
      <c r="G818" s="895"/>
      <c r="H818" s="893"/>
      <c r="I818" s="1666"/>
      <c r="J818" s="1820">
        <v>12224</v>
      </c>
      <c r="K818" s="1820">
        <v>6365</v>
      </c>
      <c r="L818" s="1669">
        <f t="shared" si="120"/>
        <v>52.069698952879584</v>
      </c>
      <c r="M818" s="893"/>
      <c r="N818" s="893"/>
      <c r="O818" s="1821"/>
      <c r="P818" s="893"/>
      <c r="Q818" s="893"/>
      <c r="R818" s="897"/>
    </row>
    <row r="819" spans="1:18" s="1586" customFormat="1" ht="14.25" customHeight="1">
      <c r="A819" s="1743">
        <v>4300</v>
      </c>
      <c r="B819" s="1977" t="s">
        <v>171</v>
      </c>
      <c r="C819" s="895">
        <v>33341</v>
      </c>
      <c r="D819" s="893">
        <f t="shared" si="119"/>
        <v>32159</v>
      </c>
      <c r="E819" s="1690">
        <f t="shared" si="118"/>
        <v>15907</v>
      </c>
      <c r="F819" s="1666">
        <f t="shared" si="109"/>
        <v>49.4636027239653</v>
      </c>
      <c r="G819" s="895"/>
      <c r="H819" s="893"/>
      <c r="I819" s="1666"/>
      <c r="J819" s="1820">
        <f>33341-1182</f>
        <v>32159</v>
      </c>
      <c r="K819" s="1820">
        <v>15907</v>
      </c>
      <c r="L819" s="1669">
        <f t="shared" si="120"/>
        <v>49.4636027239653</v>
      </c>
      <c r="M819" s="893"/>
      <c r="N819" s="893"/>
      <c r="O819" s="1821"/>
      <c r="P819" s="893"/>
      <c r="Q819" s="893"/>
      <c r="R819" s="897"/>
    </row>
    <row r="820" spans="1:18" s="1586" customFormat="1" ht="14.25" customHeight="1">
      <c r="A820" s="1743">
        <v>4410</v>
      </c>
      <c r="B820" s="1977" t="s">
        <v>96</v>
      </c>
      <c r="C820" s="895">
        <v>300</v>
      </c>
      <c r="D820" s="893">
        <f t="shared" si="119"/>
        <v>300</v>
      </c>
      <c r="E820" s="1690">
        <f t="shared" si="118"/>
        <v>0</v>
      </c>
      <c r="F820" s="1666">
        <f t="shared" si="109"/>
        <v>0</v>
      </c>
      <c r="G820" s="895"/>
      <c r="H820" s="893"/>
      <c r="I820" s="1666"/>
      <c r="J820" s="1820">
        <v>300</v>
      </c>
      <c r="K820" s="1820"/>
      <c r="L820" s="1669">
        <f t="shared" si="120"/>
        <v>0</v>
      </c>
      <c r="M820" s="893"/>
      <c r="N820" s="893"/>
      <c r="O820" s="1821"/>
      <c r="P820" s="893"/>
      <c r="Q820" s="893"/>
      <c r="R820" s="897"/>
    </row>
    <row r="821" spans="1:18" s="1586" customFormat="1" ht="14.25" customHeight="1">
      <c r="A821" s="1743">
        <v>4430</v>
      </c>
      <c r="B821" s="1977" t="s">
        <v>124</v>
      </c>
      <c r="C821" s="895">
        <v>400</v>
      </c>
      <c r="D821" s="893">
        <f t="shared" si="119"/>
        <v>400</v>
      </c>
      <c r="E821" s="1690">
        <f t="shared" si="118"/>
        <v>0</v>
      </c>
      <c r="F821" s="1666">
        <f t="shared" si="109"/>
        <v>0</v>
      </c>
      <c r="G821" s="895"/>
      <c r="H821" s="893"/>
      <c r="I821" s="1666"/>
      <c r="J821" s="1820">
        <v>400</v>
      </c>
      <c r="K821" s="1820"/>
      <c r="L821" s="1669">
        <f t="shared" si="120"/>
        <v>0</v>
      </c>
      <c r="M821" s="893"/>
      <c r="N821" s="893"/>
      <c r="O821" s="1821"/>
      <c r="P821" s="893"/>
      <c r="Q821" s="893"/>
      <c r="R821" s="897"/>
    </row>
    <row r="822" spans="1:18" s="1586" customFormat="1" ht="13.5" customHeight="1">
      <c r="A822" s="1743">
        <v>4440</v>
      </c>
      <c r="B822" s="1977" t="s">
        <v>126</v>
      </c>
      <c r="C822" s="895">
        <v>4125</v>
      </c>
      <c r="D822" s="893">
        <f t="shared" si="119"/>
        <v>4125</v>
      </c>
      <c r="E822" s="1690">
        <f t="shared" si="118"/>
        <v>4125</v>
      </c>
      <c r="F822" s="1666">
        <f t="shared" si="109"/>
        <v>100</v>
      </c>
      <c r="G822" s="895"/>
      <c r="H822" s="893"/>
      <c r="I822" s="1666"/>
      <c r="J822" s="1820">
        <v>4125</v>
      </c>
      <c r="K822" s="1820">
        <v>4125</v>
      </c>
      <c r="L822" s="1669">
        <f>K822/J822*100</f>
        <v>100</v>
      </c>
      <c r="M822" s="893"/>
      <c r="N822" s="893"/>
      <c r="O822" s="1821"/>
      <c r="P822" s="893"/>
      <c r="Q822" s="893"/>
      <c r="R822" s="897"/>
    </row>
    <row r="823" spans="1:18" s="1586" customFormat="1" ht="14.25" customHeight="1">
      <c r="A823" s="1798">
        <v>4480</v>
      </c>
      <c r="B823" s="1978" t="s">
        <v>688</v>
      </c>
      <c r="C823" s="924">
        <v>1887</v>
      </c>
      <c r="D823" s="925">
        <f t="shared" si="119"/>
        <v>1887</v>
      </c>
      <c r="E823" s="1791">
        <f t="shared" si="118"/>
        <v>974</v>
      </c>
      <c r="F823" s="1719">
        <f t="shared" si="109"/>
        <v>51.6163222045575</v>
      </c>
      <c r="G823" s="924"/>
      <c r="H823" s="925"/>
      <c r="I823" s="1719"/>
      <c r="J823" s="1822">
        <v>1887</v>
      </c>
      <c r="K823" s="1822">
        <v>974</v>
      </c>
      <c r="L823" s="1739">
        <f>K823/J823*100</f>
        <v>51.6163222045575</v>
      </c>
      <c r="M823" s="925"/>
      <c r="N823" s="925"/>
      <c r="O823" s="1824"/>
      <c r="P823" s="925"/>
      <c r="Q823" s="925"/>
      <c r="R823" s="1825"/>
    </row>
    <row r="824" spans="1:18" s="1771" customFormat="1" ht="52.5" customHeight="1">
      <c r="A824" s="1783"/>
      <c r="B824" s="2018" t="s">
        <v>395</v>
      </c>
      <c r="C824" s="886">
        <f>SUM(C825:C836)</f>
        <v>236000</v>
      </c>
      <c r="D824" s="908">
        <f t="shared" si="119"/>
        <v>236000</v>
      </c>
      <c r="E824" s="908">
        <f t="shared" si="119"/>
        <v>95501</v>
      </c>
      <c r="F824" s="1979">
        <f t="shared" si="109"/>
        <v>40.46652542372882</v>
      </c>
      <c r="G824" s="886"/>
      <c r="H824" s="908"/>
      <c r="I824" s="1681"/>
      <c r="J824" s="1816">
        <f>SUM(J825:J836)</f>
        <v>236000</v>
      </c>
      <c r="K824" s="1816">
        <f>SUM(K825:K836)</f>
        <v>95501</v>
      </c>
      <c r="L824" s="1776">
        <f>K824/J824*100</f>
        <v>40.46652542372882</v>
      </c>
      <c r="M824" s="908"/>
      <c r="N824" s="908"/>
      <c r="O824" s="1817"/>
      <c r="P824" s="908"/>
      <c r="Q824" s="908"/>
      <c r="R824" s="889"/>
    </row>
    <row r="825" spans="1:18" s="1735" customFormat="1" ht="24.75" customHeight="1">
      <c r="A825" s="1743">
        <v>4010</v>
      </c>
      <c r="B825" s="1977" t="s">
        <v>104</v>
      </c>
      <c r="C825" s="1689">
        <v>118500</v>
      </c>
      <c r="D825" s="893">
        <f t="shared" si="119"/>
        <v>118500</v>
      </c>
      <c r="E825" s="893">
        <f t="shared" si="119"/>
        <v>58344</v>
      </c>
      <c r="F825" s="1990">
        <f t="shared" si="109"/>
        <v>49.23544303797468</v>
      </c>
      <c r="G825" s="895"/>
      <c r="H825" s="893"/>
      <c r="I825" s="1666"/>
      <c r="J825" s="1745">
        <v>118500</v>
      </c>
      <c r="K825" s="1690">
        <v>58344</v>
      </c>
      <c r="L825" s="1669">
        <f aca="true" t="shared" si="121" ref="L825:L836">K825/J825*100</f>
        <v>49.23544303797468</v>
      </c>
      <c r="M825" s="1690"/>
      <c r="N825" s="1690"/>
      <c r="O825" s="1747"/>
      <c r="P825" s="1690"/>
      <c r="Q825" s="1690"/>
      <c r="R825" s="1754"/>
    </row>
    <row r="826" spans="1:18" s="1735" customFormat="1" ht="27" customHeight="1" hidden="1">
      <c r="A826" s="1743">
        <v>4040</v>
      </c>
      <c r="B826" s="1977" t="s">
        <v>165</v>
      </c>
      <c r="C826" s="1689"/>
      <c r="D826" s="893">
        <f t="shared" si="119"/>
        <v>0</v>
      </c>
      <c r="E826" s="893">
        <f t="shared" si="119"/>
        <v>0</v>
      </c>
      <c r="F826" s="1990" t="e">
        <f t="shared" si="109"/>
        <v>#DIV/0!</v>
      </c>
      <c r="G826" s="895"/>
      <c r="H826" s="893"/>
      <c r="I826" s="1666"/>
      <c r="J826" s="1745"/>
      <c r="K826" s="1690"/>
      <c r="L826" s="1669" t="e">
        <f t="shared" si="121"/>
        <v>#DIV/0!</v>
      </c>
      <c r="M826" s="1690"/>
      <c r="N826" s="1690"/>
      <c r="O826" s="1747"/>
      <c r="P826" s="1690"/>
      <c r="Q826" s="1690"/>
      <c r="R826" s="1754"/>
    </row>
    <row r="827" spans="1:18" s="1735" customFormat="1" ht="24" customHeight="1">
      <c r="A827" s="1743">
        <v>4110</v>
      </c>
      <c r="B827" s="1977" t="s">
        <v>110</v>
      </c>
      <c r="C827" s="1689">
        <v>21010</v>
      </c>
      <c r="D827" s="893">
        <f t="shared" si="119"/>
        <v>21010</v>
      </c>
      <c r="E827" s="893">
        <f t="shared" si="119"/>
        <v>9844</v>
      </c>
      <c r="F827" s="1990">
        <f t="shared" si="109"/>
        <v>46.85387910518801</v>
      </c>
      <c r="G827" s="895"/>
      <c r="H827" s="893"/>
      <c r="I827" s="1666"/>
      <c r="J827" s="1745">
        <v>21010</v>
      </c>
      <c r="K827" s="1690">
        <v>9844</v>
      </c>
      <c r="L827" s="1669">
        <f t="shared" si="121"/>
        <v>46.85387910518801</v>
      </c>
      <c r="M827" s="1690"/>
      <c r="N827" s="1690"/>
      <c r="O827" s="1747"/>
      <c r="P827" s="1690"/>
      <c r="Q827" s="1690"/>
      <c r="R827" s="1754"/>
    </row>
    <row r="828" spans="1:18" s="1735" customFormat="1" ht="14.25" customHeight="1">
      <c r="A828" s="1743">
        <v>4120</v>
      </c>
      <c r="B828" s="1977" t="s">
        <v>208</v>
      </c>
      <c r="C828" s="1689">
        <v>2890</v>
      </c>
      <c r="D828" s="893">
        <f t="shared" si="119"/>
        <v>2890</v>
      </c>
      <c r="E828" s="893">
        <f t="shared" si="119"/>
        <v>1341</v>
      </c>
      <c r="F828" s="1990">
        <f aca="true" t="shared" si="122" ref="F828:F843">E828/D828*100</f>
        <v>46.40138408304498</v>
      </c>
      <c r="G828" s="895"/>
      <c r="H828" s="893"/>
      <c r="I828" s="1666"/>
      <c r="J828" s="1745">
        <v>2890</v>
      </c>
      <c r="K828" s="1690">
        <v>1341</v>
      </c>
      <c r="L828" s="1669">
        <f t="shared" si="121"/>
        <v>46.40138408304498</v>
      </c>
      <c r="M828" s="1690"/>
      <c r="N828" s="1690"/>
      <c r="O828" s="1747"/>
      <c r="P828" s="1690"/>
      <c r="Q828" s="1690"/>
      <c r="R828" s="1754"/>
    </row>
    <row r="829" spans="1:18" s="1735" customFormat="1" ht="24" customHeight="1">
      <c r="A829" s="1743">
        <v>4210</v>
      </c>
      <c r="B829" s="1977" t="s">
        <v>114</v>
      </c>
      <c r="C829" s="1689">
        <v>29940</v>
      </c>
      <c r="D829" s="893">
        <f t="shared" si="119"/>
        <v>29940</v>
      </c>
      <c r="E829" s="893">
        <f t="shared" si="119"/>
        <v>2021</v>
      </c>
      <c r="F829" s="1990">
        <f t="shared" si="122"/>
        <v>6.750167000668003</v>
      </c>
      <c r="G829" s="895"/>
      <c r="H829" s="893"/>
      <c r="I829" s="1666"/>
      <c r="J829" s="1745">
        <v>29940</v>
      </c>
      <c r="K829" s="1690">
        <v>2021</v>
      </c>
      <c r="L829" s="1669">
        <f t="shared" si="121"/>
        <v>6.750167000668003</v>
      </c>
      <c r="M829" s="1690"/>
      <c r="N829" s="1690"/>
      <c r="O829" s="1747"/>
      <c r="P829" s="1690"/>
      <c r="Q829" s="1690"/>
      <c r="R829" s="1754"/>
    </row>
    <row r="830" spans="1:18" s="1735" customFormat="1" ht="23.25" customHeight="1">
      <c r="A830" s="1743">
        <v>4230</v>
      </c>
      <c r="B830" s="1977" t="s">
        <v>116</v>
      </c>
      <c r="C830" s="1689">
        <v>200</v>
      </c>
      <c r="D830" s="893">
        <f t="shared" si="119"/>
        <v>200</v>
      </c>
      <c r="E830" s="893">
        <f t="shared" si="119"/>
        <v>0</v>
      </c>
      <c r="F830" s="1990">
        <f t="shared" si="122"/>
        <v>0</v>
      </c>
      <c r="G830" s="895"/>
      <c r="H830" s="893"/>
      <c r="I830" s="1666"/>
      <c r="J830" s="1745">
        <v>200</v>
      </c>
      <c r="K830" s="1690"/>
      <c r="L830" s="1669">
        <f t="shared" si="121"/>
        <v>0</v>
      </c>
      <c r="M830" s="1690"/>
      <c r="N830" s="1690"/>
      <c r="O830" s="1747"/>
      <c r="P830" s="1690"/>
      <c r="Q830" s="1690"/>
      <c r="R830" s="1754"/>
    </row>
    <row r="831" spans="1:18" s="1735" customFormat="1" ht="13.5" customHeight="1">
      <c r="A831" s="1743">
        <v>4260</v>
      </c>
      <c r="B831" s="1977" t="s">
        <v>118</v>
      </c>
      <c r="C831" s="1689">
        <v>18776</v>
      </c>
      <c r="D831" s="893">
        <f t="shared" si="119"/>
        <v>18776</v>
      </c>
      <c r="E831" s="893">
        <f t="shared" si="119"/>
        <v>9716</v>
      </c>
      <c r="F831" s="1990">
        <f t="shared" si="122"/>
        <v>51.74691095014913</v>
      </c>
      <c r="G831" s="895"/>
      <c r="H831" s="893"/>
      <c r="I831" s="1666"/>
      <c r="J831" s="1745">
        <v>18776</v>
      </c>
      <c r="K831" s="1690">
        <v>9716</v>
      </c>
      <c r="L831" s="1669">
        <f t="shared" si="121"/>
        <v>51.74691095014913</v>
      </c>
      <c r="M831" s="1690"/>
      <c r="N831" s="1690"/>
      <c r="O831" s="1747"/>
      <c r="P831" s="1690"/>
      <c r="Q831" s="1690"/>
      <c r="R831" s="1754"/>
    </row>
    <row r="832" spans="1:18" s="1735" customFormat="1" ht="13.5" customHeight="1">
      <c r="A832" s="1743">
        <v>4300</v>
      </c>
      <c r="B832" s="1977" t="s">
        <v>171</v>
      </c>
      <c r="C832" s="1689">
        <v>39959</v>
      </c>
      <c r="D832" s="893">
        <f t="shared" si="119"/>
        <v>39959</v>
      </c>
      <c r="E832" s="893">
        <f t="shared" si="119"/>
        <v>9748</v>
      </c>
      <c r="F832" s="1990">
        <f t="shared" si="122"/>
        <v>24.395004880002002</v>
      </c>
      <c r="G832" s="895"/>
      <c r="H832" s="893"/>
      <c r="I832" s="1666"/>
      <c r="J832" s="1745">
        <v>39959</v>
      </c>
      <c r="K832" s="1690">
        <v>9748</v>
      </c>
      <c r="L832" s="1669">
        <f t="shared" si="121"/>
        <v>24.395004880002002</v>
      </c>
      <c r="M832" s="1690"/>
      <c r="N832" s="1690"/>
      <c r="O832" s="1747"/>
      <c r="P832" s="1690"/>
      <c r="Q832" s="1690"/>
      <c r="R832" s="1754"/>
    </row>
    <row r="833" spans="1:18" s="1735" customFormat="1" ht="13.5" customHeight="1">
      <c r="A833" s="1743">
        <v>4410</v>
      </c>
      <c r="B833" s="1977" t="s">
        <v>96</v>
      </c>
      <c r="C833" s="1689">
        <v>500</v>
      </c>
      <c r="D833" s="893">
        <f>G833+J833+P833+M833</f>
        <v>500</v>
      </c>
      <c r="E833" s="893">
        <f>H833+K833+Q833+N833</f>
        <v>362</v>
      </c>
      <c r="F833" s="1990">
        <f>E833/D833*100</f>
        <v>72.39999999999999</v>
      </c>
      <c r="G833" s="895"/>
      <c r="H833" s="893"/>
      <c r="I833" s="1666"/>
      <c r="J833" s="1745">
        <v>500</v>
      </c>
      <c r="K833" s="1690">
        <v>362</v>
      </c>
      <c r="L833" s="1669">
        <f t="shared" si="121"/>
        <v>72.39999999999999</v>
      </c>
      <c r="M833" s="1690"/>
      <c r="N833" s="1690"/>
      <c r="O833" s="1747"/>
      <c r="P833" s="1690"/>
      <c r="Q833" s="1690"/>
      <c r="R833" s="1754"/>
    </row>
    <row r="834" spans="1:18" s="1735" customFormat="1" ht="13.5" customHeight="1">
      <c r="A834" s="1743">
        <v>4430</v>
      </c>
      <c r="B834" s="1977" t="s">
        <v>124</v>
      </c>
      <c r="C834" s="1689">
        <v>100</v>
      </c>
      <c r="D834" s="893">
        <f t="shared" si="119"/>
        <v>100</v>
      </c>
      <c r="E834" s="893">
        <f t="shared" si="119"/>
        <v>0</v>
      </c>
      <c r="F834" s="1990">
        <f t="shared" si="122"/>
        <v>0</v>
      </c>
      <c r="G834" s="895"/>
      <c r="H834" s="893"/>
      <c r="I834" s="1666"/>
      <c r="J834" s="1745">
        <v>100</v>
      </c>
      <c r="K834" s="1690"/>
      <c r="L834" s="1669">
        <f t="shared" si="121"/>
        <v>0</v>
      </c>
      <c r="M834" s="1690"/>
      <c r="N834" s="1690"/>
      <c r="O834" s="1747"/>
      <c r="P834" s="1690"/>
      <c r="Q834" s="1690"/>
      <c r="R834" s="1754"/>
    </row>
    <row r="835" spans="1:18" s="1735" customFormat="1" ht="13.5" customHeight="1">
      <c r="A835" s="1743">
        <v>4440</v>
      </c>
      <c r="B835" s="1977" t="s">
        <v>126</v>
      </c>
      <c r="C835" s="1689">
        <v>4125</v>
      </c>
      <c r="D835" s="893">
        <f t="shared" si="119"/>
        <v>4125</v>
      </c>
      <c r="E835" s="893">
        <f t="shared" si="119"/>
        <v>4125</v>
      </c>
      <c r="F835" s="1990">
        <f t="shared" si="122"/>
        <v>100</v>
      </c>
      <c r="G835" s="895"/>
      <c r="H835" s="893"/>
      <c r="I835" s="1666"/>
      <c r="J835" s="1745">
        <v>4125</v>
      </c>
      <c r="K835" s="1690">
        <v>4125</v>
      </c>
      <c r="L835" s="1669">
        <f t="shared" si="121"/>
        <v>100</v>
      </c>
      <c r="M835" s="1690"/>
      <c r="N835" s="1690"/>
      <c r="O835" s="1747"/>
      <c r="P835" s="1690"/>
      <c r="Q835" s="1690"/>
      <c r="R835" s="1754"/>
    </row>
    <row r="836" spans="1:18" s="1735" customFormat="1" ht="13.5" customHeight="1" hidden="1">
      <c r="A836" s="1798">
        <v>4480</v>
      </c>
      <c r="B836" s="1978" t="s">
        <v>688</v>
      </c>
      <c r="C836" s="1689"/>
      <c r="D836" s="893">
        <f>G836+J836+P836+M836</f>
        <v>0</v>
      </c>
      <c r="E836" s="893">
        <f>H836+K836+Q836+N836</f>
        <v>0</v>
      </c>
      <c r="F836" s="1990" t="e">
        <f>E836/D836*100</f>
        <v>#DIV/0!</v>
      </c>
      <c r="G836" s="924"/>
      <c r="H836" s="925"/>
      <c r="I836" s="1666"/>
      <c r="J836" s="1801"/>
      <c r="K836" s="1791"/>
      <c r="L836" s="1669" t="e">
        <f t="shared" si="121"/>
        <v>#DIV/0!</v>
      </c>
      <c r="M836" s="1791"/>
      <c r="N836" s="1791"/>
      <c r="O836" s="1804"/>
      <c r="P836" s="1791"/>
      <c r="Q836" s="1791"/>
      <c r="R836" s="1845"/>
    </row>
    <row r="837" spans="1:18" s="1735" customFormat="1" ht="15.75" customHeight="1">
      <c r="A837" s="1736">
        <v>85204</v>
      </c>
      <c r="B837" s="1976" t="s">
        <v>396</v>
      </c>
      <c r="C837" s="1738">
        <f>SUM(C838:C844)</f>
        <v>2223575</v>
      </c>
      <c r="D837" s="908">
        <f>G837+J837+P837+M837</f>
        <v>2223575</v>
      </c>
      <c r="E837" s="1680">
        <f>H837+K837+Q837+N837</f>
        <v>1014566</v>
      </c>
      <c r="F837" s="1979">
        <f t="shared" si="122"/>
        <v>45.62769414119155</v>
      </c>
      <c r="G837" s="886"/>
      <c r="H837" s="908"/>
      <c r="I837" s="2000"/>
      <c r="J837" s="1740"/>
      <c r="K837" s="1680"/>
      <c r="L837" s="1741"/>
      <c r="M837" s="1680">
        <f>SUM(M839:M844)</f>
        <v>2223575</v>
      </c>
      <c r="N837" s="1680">
        <f>SUM(N839:N844)</f>
        <v>1014566</v>
      </c>
      <c r="O837" s="1688">
        <f>N837/M837*100</f>
        <v>45.62769414119155</v>
      </c>
      <c r="P837" s="1680"/>
      <c r="Q837" s="1680"/>
      <c r="R837" s="1782"/>
    </row>
    <row r="838" spans="1:18" s="1586" customFormat="1" ht="60">
      <c r="A838" s="1818">
        <v>2320</v>
      </c>
      <c r="B838" s="2006" t="s">
        <v>206</v>
      </c>
      <c r="C838" s="895">
        <v>100000</v>
      </c>
      <c r="D838" s="893">
        <f aca="true" t="shared" si="123" ref="D838:E857">G838+J838+P838+M838</f>
        <v>0</v>
      </c>
      <c r="E838" s="1690">
        <f aca="true" t="shared" si="124" ref="E838:E856">SUM(H838+K838+N838+Q838)</f>
        <v>0</v>
      </c>
      <c r="F838" s="1990"/>
      <c r="G838" s="895"/>
      <c r="H838" s="893"/>
      <c r="I838" s="1912"/>
      <c r="J838" s="1820"/>
      <c r="K838" s="893"/>
      <c r="L838" s="1746"/>
      <c r="M838" s="1693"/>
      <c r="N838" s="1707"/>
      <c r="O838" s="1695"/>
      <c r="P838" s="893"/>
      <c r="Q838" s="893"/>
      <c r="R838" s="897"/>
    </row>
    <row r="839" spans="1:18" s="1735" customFormat="1" ht="13.5" customHeight="1">
      <c r="A839" s="1743">
        <v>3110</v>
      </c>
      <c r="B839" s="1977" t="s">
        <v>388</v>
      </c>
      <c r="C839" s="1689">
        <v>1800000</v>
      </c>
      <c r="D839" s="893">
        <f t="shared" si="123"/>
        <v>1800000</v>
      </c>
      <c r="E839" s="1690">
        <f t="shared" si="124"/>
        <v>942401</v>
      </c>
      <c r="F839" s="1990">
        <f t="shared" si="122"/>
        <v>52.35561111111111</v>
      </c>
      <c r="G839" s="895"/>
      <c r="H839" s="893"/>
      <c r="I839" s="1912"/>
      <c r="J839" s="1745"/>
      <c r="K839" s="1690"/>
      <c r="L839" s="1746"/>
      <c r="M839" s="1689">
        <v>1800000</v>
      </c>
      <c r="N839" s="1690">
        <v>942401</v>
      </c>
      <c r="O839" s="1695">
        <f aca="true" t="shared" si="125" ref="O839:O846">N839/M839*100</f>
        <v>52.35561111111111</v>
      </c>
      <c r="P839" s="1690"/>
      <c r="Q839" s="1690"/>
      <c r="R839" s="1754"/>
    </row>
    <row r="840" spans="1:18" s="1735" customFormat="1" ht="27" customHeight="1">
      <c r="A840" s="1743">
        <v>4110</v>
      </c>
      <c r="B840" s="1977" t="s">
        <v>110</v>
      </c>
      <c r="C840" s="1689">
        <v>44320</v>
      </c>
      <c r="D840" s="893">
        <f t="shared" si="123"/>
        <v>44320</v>
      </c>
      <c r="E840" s="1690">
        <f t="shared" si="124"/>
        <v>4141</v>
      </c>
      <c r="F840" s="1990">
        <f t="shared" si="122"/>
        <v>9.34341155234657</v>
      </c>
      <c r="G840" s="895"/>
      <c r="H840" s="893"/>
      <c r="I840" s="1912"/>
      <c r="J840" s="1745"/>
      <c r="K840" s="1690"/>
      <c r="L840" s="1746"/>
      <c r="M840" s="1689">
        <v>44320</v>
      </c>
      <c r="N840" s="1690">
        <v>4141</v>
      </c>
      <c r="O840" s="1695">
        <f t="shared" si="125"/>
        <v>9.34341155234657</v>
      </c>
      <c r="P840" s="1690"/>
      <c r="Q840" s="1690"/>
      <c r="R840" s="1754"/>
    </row>
    <row r="841" spans="1:18" s="1735" customFormat="1" ht="15" customHeight="1">
      <c r="A841" s="1743">
        <v>4120</v>
      </c>
      <c r="B841" s="1977" t="s">
        <v>198</v>
      </c>
      <c r="C841" s="1689">
        <v>6680</v>
      </c>
      <c r="D841" s="893">
        <f t="shared" si="123"/>
        <v>6680</v>
      </c>
      <c r="E841" s="1690">
        <f t="shared" si="124"/>
        <v>624</v>
      </c>
      <c r="F841" s="1990">
        <f t="shared" si="122"/>
        <v>9.341317365269461</v>
      </c>
      <c r="G841" s="895"/>
      <c r="H841" s="893"/>
      <c r="I841" s="1912"/>
      <c r="J841" s="1745"/>
      <c r="K841" s="1690"/>
      <c r="L841" s="1746"/>
      <c r="M841" s="1689">
        <v>6680</v>
      </c>
      <c r="N841" s="1690">
        <v>624</v>
      </c>
      <c r="O841" s="1695">
        <f t="shared" si="125"/>
        <v>9.341317365269461</v>
      </c>
      <c r="P841" s="1690"/>
      <c r="Q841" s="1690"/>
      <c r="R841" s="1754"/>
    </row>
    <row r="842" spans="1:18" s="1735" customFormat="1" ht="24">
      <c r="A842" s="1743">
        <v>4170</v>
      </c>
      <c r="B842" s="1977" t="s">
        <v>169</v>
      </c>
      <c r="C842" s="1689"/>
      <c r="D842" s="893">
        <f t="shared" si="123"/>
        <v>100000</v>
      </c>
      <c r="E842" s="1690">
        <f t="shared" si="124"/>
        <v>25500</v>
      </c>
      <c r="F842" s="1990">
        <f t="shared" si="122"/>
        <v>25.5</v>
      </c>
      <c r="G842" s="895"/>
      <c r="H842" s="893"/>
      <c r="I842" s="1912"/>
      <c r="J842" s="1745"/>
      <c r="K842" s="1690"/>
      <c r="L842" s="1746"/>
      <c r="M842" s="1689">
        <v>100000</v>
      </c>
      <c r="N842" s="1690">
        <v>25500</v>
      </c>
      <c r="O842" s="1695">
        <f t="shared" si="125"/>
        <v>25.5</v>
      </c>
      <c r="P842" s="1690"/>
      <c r="Q842" s="1690"/>
      <c r="R842" s="1754"/>
    </row>
    <row r="843" spans="1:18" s="1735" customFormat="1" ht="12.75">
      <c r="A843" s="1743">
        <v>4300</v>
      </c>
      <c r="B843" s="2005" t="s">
        <v>171</v>
      </c>
      <c r="C843" s="1689">
        <v>272575</v>
      </c>
      <c r="D843" s="893">
        <f t="shared" si="123"/>
        <v>172575</v>
      </c>
      <c r="E843" s="1690">
        <f t="shared" si="124"/>
        <v>0</v>
      </c>
      <c r="F843" s="1990">
        <f t="shared" si="122"/>
        <v>0</v>
      </c>
      <c r="G843" s="895"/>
      <c r="H843" s="893"/>
      <c r="I843" s="1912"/>
      <c r="J843" s="1745"/>
      <c r="K843" s="1690"/>
      <c r="L843" s="1746"/>
      <c r="M843" s="1689">
        <v>172575</v>
      </c>
      <c r="N843" s="1690"/>
      <c r="O843" s="1695">
        <f t="shared" si="125"/>
        <v>0</v>
      </c>
      <c r="P843" s="1690"/>
      <c r="Q843" s="1690"/>
      <c r="R843" s="1754"/>
    </row>
    <row r="844" spans="1:18" s="1735" customFormat="1" ht="24">
      <c r="A844" s="1798">
        <v>4330</v>
      </c>
      <c r="B844" s="1978" t="s">
        <v>390</v>
      </c>
      <c r="C844" s="1800"/>
      <c r="D844" s="925">
        <f t="shared" si="123"/>
        <v>100000</v>
      </c>
      <c r="E844" s="1791">
        <f t="shared" si="124"/>
        <v>41900</v>
      </c>
      <c r="F844" s="2022">
        <f>E844/D844*100</f>
        <v>41.9</v>
      </c>
      <c r="G844" s="924"/>
      <c r="H844" s="925"/>
      <c r="I844" s="2013"/>
      <c r="J844" s="1801"/>
      <c r="K844" s="1791"/>
      <c r="L844" s="1857"/>
      <c r="M844" s="1800">
        <v>100000</v>
      </c>
      <c r="N844" s="1791">
        <v>41900</v>
      </c>
      <c r="O844" s="1720">
        <f t="shared" si="125"/>
        <v>41.9</v>
      </c>
      <c r="P844" s="1791"/>
      <c r="Q844" s="1791"/>
      <c r="R844" s="1845"/>
    </row>
    <row r="845" spans="1:18" ht="72">
      <c r="A845" s="1736">
        <v>85212</v>
      </c>
      <c r="B845" s="1976" t="s">
        <v>397</v>
      </c>
      <c r="C845" s="1738">
        <f>SUM(C846:C856)</f>
        <v>17182000</v>
      </c>
      <c r="D845" s="884">
        <f t="shared" si="123"/>
        <v>18489000</v>
      </c>
      <c r="E845" s="884">
        <f t="shared" si="124"/>
        <v>8936011</v>
      </c>
      <c r="F845" s="2023">
        <f aca="true" t="shared" si="126" ref="F845:F862">E845/D845*100</f>
        <v>48.331499810698254</v>
      </c>
      <c r="G845" s="1738">
        <f>SUM(G846:G856)</f>
        <v>33000</v>
      </c>
      <c r="H845" s="1680">
        <f>SUM(H846:H856)</f>
        <v>0</v>
      </c>
      <c r="I845" s="1681">
        <f>H845/G845*100</f>
        <v>0</v>
      </c>
      <c r="J845" s="1740">
        <f>SUM(J846:J856)</f>
        <v>18427000</v>
      </c>
      <c r="K845" s="1680">
        <f>SUM(K846:K856)</f>
        <v>8916552</v>
      </c>
      <c r="L845" s="1741">
        <f>K845/J845*100</f>
        <v>48.38851685027406</v>
      </c>
      <c r="M845" s="1680">
        <f>SUM(M846)</f>
        <v>15000</v>
      </c>
      <c r="N845" s="1680">
        <f>SUM(N846)</f>
        <v>5459</v>
      </c>
      <c r="O845" s="1817">
        <f t="shared" si="125"/>
        <v>36.39333333333333</v>
      </c>
      <c r="P845" s="1680">
        <f>SUM(P846:P856)</f>
        <v>14000</v>
      </c>
      <c r="Q845" s="1680">
        <f>SUM(Q846:Q856)</f>
        <v>14000</v>
      </c>
      <c r="R845" s="889">
        <f>Q845/P845*100</f>
        <v>100</v>
      </c>
    </row>
    <row r="846" spans="1:18" s="1735" customFormat="1" ht="12.75">
      <c r="A846" s="1743">
        <v>3110</v>
      </c>
      <c r="B846" s="1977" t="s">
        <v>388</v>
      </c>
      <c r="C846" s="1693">
        <v>16688700</v>
      </c>
      <c r="D846" s="932">
        <f t="shared" si="123"/>
        <v>17937520</v>
      </c>
      <c r="E846" s="1707">
        <f t="shared" si="124"/>
        <v>8638392</v>
      </c>
      <c r="F846" s="1710">
        <f t="shared" si="126"/>
        <v>48.158229231242665</v>
      </c>
      <c r="G846" s="1693"/>
      <c r="H846" s="1707"/>
      <c r="I846" s="1691"/>
      <c r="J846" s="1854">
        <v>17908520</v>
      </c>
      <c r="K846" s="1707">
        <v>8618933</v>
      </c>
      <c r="L846" s="1746">
        <f>K846/J846*100</f>
        <v>48.12755604594908</v>
      </c>
      <c r="M846" s="1707">
        <v>15000</v>
      </c>
      <c r="N846" s="1707">
        <v>5459</v>
      </c>
      <c r="O846" s="1855">
        <f t="shared" si="125"/>
        <v>36.39333333333333</v>
      </c>
      <c r="P846" s="1707">
        <v>14000</v>
      </c>
      <c r="Q846" s="1707">
        <v>14000</v>
      </c>
      <c r="R846" s="1856">
        <f>Q846/P846*100</f>
        <v>100</v>
      </c>
    </row>
    <row r="847" spans="1:18" s="1735" customFormat="1" ht="24">
      <c r="A847" s="1743">
        <v>4010</v>
      </c>
      <c r="B847" s="1977" t="s">
        <v>104</v>
      </c>
      <c r="C847" s="1689">
        <v>208000</v>
      </c>
      <c r="D847" s="893">
        <f t="shared" si="123"/>
        <v>223000</v>
      </c>
      <c r="E847" s="1690">
        <f t="shared" si="124"/>
        <v>109346</v>
      </c>
      <c r="F847" s="1669">
        <f t="shared" si="126"/>
        <v>49.034080717488784</v>
      </c>
      <c r="G847" s="1689"/>
      <c r="H847" s="1690"/>
      <c r="I847" s="1666"/>
      <c r="J847" s="1745">
        <v>223000</v>
      </c>
      <c r="K847" s="1745">
        <v>109346</v>
      </c>
      <c r="L847" s="1746">
        <f>K847/J847*100</f>
        <v>49.034080717488784</v>
      </c>
      <c r="M847" s="1690"/>
      <c r="N847" s="1690"/>
      <c r="O847" s="1747"/>
      <c r="P847" s="1690"/>
      <c r="Q847" s="1690"/>
      <c r="R847" s="1754"/>
    </row>
    <row r="848" spans="1:18" s="1735" customFormat="1" ht="24">
      <c r="A848" s="1743">
        <v>4040</v>
      </c>
      <c r="B848" s="1977" t="s">
        <v>398</v>
      </c>
      <c r="C848" s="1689"/>
      <c r="D848" s="893">
        <f t="shared" si="123"/>
        <v>13090</v>
      </c>
      <c r="E848" s="1690">
        <f t="shared" si="124"/>
        <v>13090</v>
      </c>
      <c r="F848" s="1669">
        <f t="shared" si="126"/>
        <v>100</v>
      </c>
      <c r="G848" s="1689"/>
      <c r="H848" s="1690"/>
      <c r="I848" s="1666"/>
      <c r="J848" s="1745">
        <v>13090</v>
      </c>
      <c r="K848" s="1745">
        <v>13090</v>
      </c>
      <c r="L848" s="1746">
        <f aca="true" t="shared" si="127" ref="L848:L862">K848/J848*100</f>
        <v>100</v>
      </c>
      <c r="M848" s="1690"/>
      <c r="N848" s="1690"/>
      <c r="O848" s="1747"/>
      <c r="P848" s="1690"/>
      <c r="Q848" s="1690"/>
      <c r="R848" s="1754"/>
    </row>
    <row r="849" spans="1:18" s="1735" customFormat="1" ht="24">
      <c r="A849" s="1743">
        <v>4110</v>
      </c>
      <c r="B849" s="1977" t="s">
        <v>110</v>
      </c>
      <c r="C849" s="1689">
        <v>186850</v>
      </c>
      <c r="D849" s="893">
        <f t="shared" si="123"/>
        <v>189510</v>
      </c>
      <c r="E849" s="1690">
        <f t="shared" si="124"/>
        <v>123923</v>
      </c>
      <c r="F849" s="1669">
        <f t="shared" si="126"/>
        <v>65.39127222837845</v>
      </c>
      <c r="G849" s="1689"/>
      <c r="H849" s="1690"/>
      <c r="I849" s="1666"/>
      <c r="J849" s="1745">
        <v>189510</v>
      </c>
      <c r="K849" s="1745">
        <v>123923</v>
      </c>
      <c r="L849" s="1746">
        <f t="shared" si="127"/>
        <v>65.39127222837845</v>
      </c>
      <c r="M849" s="1690"/>
      <c r="N849" s="1690"/>
      <c r="O849" s="1747"/>
      <c r="P849" s="1690"/>
      <c r="Q849" s="1690"/>
      <c r="R849" s="1754"/>
    </row>
    <row r="850" spans="1:18" s="1735" customFormat="1" ht="12.75">
      <c r="A850" s="1743">
        <v>4120</v>
      </c>
      <c r="B850" s="1977" t="s">
        <v>208</v>
      </c>
      <c r="C850" s="1689">
        <v>5050</v>
      </c>
      <c r="D850" s="893">
        <f t="shared" si="123"/>
        <v>5420</v>
      </c>
      <c r="E850" s="1690">
        <f t="shared" si="124"/>
        <v>3156</v>
      </c>
      <c r="F850" s="1669">
        <f t="shared" si="126"/>
        <v>58.22878228782288</v>
      </c>
      <c r="G850" s="1689"/>
      <c r="H850" s="1690"/>
      <c r="I850" s="1666"/>
      <c r="J850" s="1745">
        <v>5420</v>
      </c>
      <c r="K850" s="1745">
        <v>3156</v>
      </c>
      <c r="L850" s="1746">
        <f t="shared" si="127"/>
        <v>58.22878228782288</v>
      </c>
      <c r="M850" s="1690"/>
      <c r="N850" s="1690"/>
      <c r="O850" s="1747"/>
      <c r="P850" s="1690"/>
      <c r="Q850" s="1690"/>
      <c r="R850" s="1754"/>
    </row>
    <row r="851" spans="1:18" s="1735" customFormat="1" ht="24">
      <c r="A851" s="1743">
        <v>4170</v>
      </c>
      <c r="B851" s="1977" t="s">
        <v>169</v>
      </c>
      <c r="C851" s="1689"/>
      <c r="D851" s="893">
        <f t="shared" si="123"/>
        <v>14000</v>
      </c>
      <c r="E851" s="1690">
        <f t="shared" si="124"/>
        <v>11510</v>
      </c>
      <c r="F851" s="1669">
        <f t="shared" si="126"/>
        <v>82.21428571428572</v>
      </c>
      <c r="G851" s="1689"/>
      <c r="H851" s="1690"/>
      <c r="I851" s="1666"/>
      <c r="J851" s="1745">
        <v>14000</v>
      </c>
      <c r="K851" s="1745">
        <v>11510</v>
      </c>
      <c r="L851" s="1746">
        <f t="shared" si="127"/>
        <v>82.21428571428572</v>
      </c>
      <c r="M851" s="1690"/>
      <c r="N851" s="1690"/>
      <c r="O851" s="1747"/>
      <c r="P851" s="1690"/>
      <c r="Q851" s="1690"/>
      <c r="R851" s="1754"/>
    </row>
    <row r="852" spans="1:18" s="1735" customFormat="1" ht="24">
      <c r="A852" s="1743">
        <v>4210</v>
      </c>
      <c r="B852" s="1977" t="s">
        <v>114</v>
      </c>
      <c r="C852" s="1689">
        <v>31600</v>
      </c>
      <c r="D852" s="893">
        <f t="shared" si="123"/>
        <v>21975</v>
      </c>
      <c r="E852" s="1690">
        <f t="shared" si="124"/>
        <v>8816</v>
      </c>
      <c r="F852" s="1669">
        <f t="shared" si="126"/>
        <v>40.118316268486915</v>
      </c>
      <c r="G852" s="1689"/>
      <c r="H852" s="1690"/>
      <c r="I852" s="1666"/>
      <c r="J852" s="1745">
        <v>21975</v>
      </c>
      <c r="K852" s="1745">
        <v>8816</v>
      </c>
      <c r="L852" s="1746">
        <f t="shared" si="127"/>
        <v>40.118316268486915</v>
      </c>
      <c r="M852" s="1690"/>
      <c r="N852" s="1690"/>
      <c r="O852" s="1747"/>
      <c r="P852" s="1690"/>
      <c r="Q852" s="1690"/>
      <c r="R852" s="1754"/>
    </row>
    <row r="853" spans="1:18" s="1735" customFormat="1" ht="12.75">
      <c r="A853" s="1743">
        <v>4260</v>
      </c>
      <c r="B853" s="1977" t="s">
        <v>118</v>
      </c>
      <c r="C853" s="1689">
        <v>15000</v>
      </c>
      <c r="D853" s="893">
        <f t="shared" si="123"/>
        <v>15000</v>
      </c>
      <c r="E853" s="1690">
        <f t="shared" si="124"/>
        <v>2764</v>
      </c>
      <c r="F853" s="1669">
        <f t="shared" si="126"/>
        <v>18.426666666666666</v>
      </c>
      <c r="G853" s="1689"/>
      <c r="H853" s="1690"/>
      <c r="I853" s="1666"/>
      <c r="J853" s="1745">
        <v>15000</v>
      </c>
      <c r="K853" s="1745">
        <v>2764</v>
      </c>
      <c r="L853" s="1746">
        <f t="shared" si="127"/>
        <v>18.426666666666666</v>
      </c>
      <c r="M853" s="1690"/>
      <c r="N853" s="1690"/>
      <c r="O853" s="1747"/>
      <c r="P853" s="1690"/>
      <c r="Q853" s="1690"/>
      <c r="R853" s="1754"/>
    </row>
    <row r="854" spans="1:18" s="1735" customFormat="1" ht="12.75">
      <c r="A854" s="1743">
        <v>4300</v>
      </c>
      <c r="B854" s="1977" t="s">
        <v>171</v>
      </c>
      <c r="C854" s="1689">
        <v>40000</v>
      </c>
      <c r="D854" s="893">
        <f t="shared" si="123"/>
        <v>61365</v>
      </c>
      <c r="E854" s="1690">
        <f t="shared" si="124"/>
        <v>17557</v>
      </c>
      <c r="F854" s="1669">
        <f t="shared" si="126"/>
        <v>28.610771612482687</v>
      </c>
      <c r="G854" s="1689">
        <v>33000</v>
      </c>
      <c r="H854" s="1690"/>
      <c r="I854" s="1666">
        <f>H854/G854*100</f>
        <v>0</v>
      </c>
      <c r="J854" s="1745">
        <f>29685-1320</f>
        <v>28365</v>
      </c>
      <c r="K854" s="1745">
        <v>17557</v>
      </c>
      <c r="L854" s="1746">
        <f t="shared" si="127"/>
        <v>61.896703684117746</v>
      </c>
      <c r="M854" s="1690"/>
      <c r="N854" s="1690"/>
      <c r="O854" s="1747"/>
      <c r="P854" s="1690"/>
      <c r="Q854" s="1690"/>
      <c r="R854" s="1754"/>
    </row>
    <row r="855" spans="1:18" s="1735" customFormat="1" ht="12.75">
      <c r="A855" s="1743">
        <v>4440</v>
      </c>
      <c r="B855" s="1977" t="s">
        <v>126</v>
      </c>
      <c r="C855" s="1689">
        <v>6800</v>
      </c>
      <c r="D855" s="893">
        <f t="shared" si="123"/>
        <v>6800</v>
      </c>
      <c r="E855" s="1690">
        <f t="shared" si="124"/>
        <v>6800</v>
      </c>
      <c r="F855" s="1669">
        <f t="shared" si="126"/>
        <v>100</v>
      </c>
      <c r="G855" s="1689"/>
      <c r="H855" s="1690"/>
      <c r="I855" s="1666"/>
      <c r="J855" s="1745">
        <v>6800</v>
      </c>
      <c r="K855" s="1745">
        <v>6800</v>
      </c>
      <c r="L855" s="1746">
        <f t="shared" si="127"/>
        <v>100</v>
      </c>
      <c r="M855" s="1690"/>
      <c r="N855" s="1690"/>
      <c r="O855" s="1747"/>
      <c r="P855" s="1690"/>
      <c r="Q855" s="1690"/>
      <c r="R855" s="1754"/>
    </row>
    <row r="856" spans="1:18" s="1735" customFormat="1" ht="12.75">
      <c r="A856" s="1743">
        <v>4480</v>
      </c>
      <c r="B856" s="1977" t="s">
        <v>688</v>
      </c>
      <c r="C856" s="1800"/>
      <c r="D856" s="893">
        <f t="shared" si="123"/>
        <v>1320</v>
      </c>
      <c r="E856" s="1690">
        <f t="shared" si="124"/>
        <v>657</v>
      </c>
      <c r="F856" s="1669">
        <f t="shared" si="126"/>
        <v>49.77272727272727</v>
      </c>
      <c r="G856" s="1800"/>
      <c r="H856" s="1791"/>
      <c r="I856" s="1719"/>
      <c r="J856" s="1801">
        <v>1320</v>
      </c>
      <c r="K856" s="1801">
        <v>657</v>
      </c>
      <c r="L856" s="1746">
        <f t="shared" si="127"/>
        <v>49.77272727272727</v>
      </c>
      <c r="M856" s="1791"/>
      <c r="N856" s="1791"/>
      <c r="O856" s="1804"/>
      <c r="P856" s="1791"/>
      <c r="Q856" s="1791"/>
      <c r="R856" s="1845"/>
    </row>
    <row r="857" spans="1:18" s="1771" customFormat="1" ht="66" customHeight="1">
      <c r="A857" s="1783">
        <v>85213</v>
      </c>
      <c r="B857" s="2018" t="s">
        <v>752</v>
      </c>
      <c r="C857" s="886">
        <f>SUM(C858)</f>
        <v>197000</v>
      </c>
      <c r="D857" s="908">
        <f t="shared" si="123"/>
        <v>197000</v>
      </c>
      <c r="E857" s="908">
        <f t="shared" si="123"/>
        <v>85617</v>
      </c>
      <c r="F857" s="2024">
        <f t="shared" si="126"/>
        <v>43.46040609137056</v>
      </c>
      <c r="G857" s="886"/>
      <c r="H857" s="908"/>
      <c r="I857" s="1681"/>
      <c r="J857" s="1816">
        <f>SUM(J858+J859)</f>
        <v>197000</v>
      </c>
      <c r="K857" s="1816">
        <f>SUM(K858+K859)</f>
        <v>85617</v>
      </c>
      <c r="L857" s="1776">
        <f t="shared" si="127"/>
        <v>43.46040609137056</v>
      </c>
      <c r="M857" s="908"/>
      <c r="N857" s="908"/>
      <c r="O857" s="1817"/>
      <c r="P857" s="908"/>
      <c r="Q857" s="908"/>
      <c r="R857" s="889"/>
    </row>
    <row r="858" spans="1:18" s="1735" customFormat="1" ht="24">
      <c r="A858" s="1722">
        <v>4130</v>
      </c>
      <c r="B858" s="1997" t="s">
        <v>331</v>
      </c>
      <c r="C858" s="1693">
        <v>197000</v>
      </c>
      <c r="D858" s="932">
        <f aca="true" t="shared" si="128" ref="D858:E873">G858+J858+P858+M858</f>
        <v>197000</v>
      </c>
      <c r="E858" s="932">
        <f t="shared" si="128"/>
        <v>85617</v>
      </c>
      <c r="F858" s="2025">
        <f t="shared" si="126"/>
        <v>43.46040609137056</v>
      </c>
      <c r="G858" s="1693"/>
      <c r="H858" s="1707"/>
      <c r="I858" s="1691"/>
      <c r="J858" s="1707">
        <v>197000</v>
      </c>
      <c r="K858" s="1707">
        <v>85617</v>
      </c>
      <c r="L858" s="1710">
        <f t="shared" si="127"/>
        <v>43.46040609137056</v>
      </c>
      <c r="M858" s="1707"/>
      <c r="N858" s="1707"/>
      <c r="O858" s="1855"/>
      <c r="P858" s="1707"/>
      <c r="Q858" s="1707"/>
      <c r="R858" s="1856"/>
    </row>
    <row r="859" spans="1:18" s="1735" customFormat="1" ht="12.75" hidden="1">
      <c r="A859" s="1798">
        <v>4580</v>
      </c>
      <c r="B859" s="1978" t="s">
        <v>176</v>
      </c>
      <c r="C859" s="1800"/>
      <c r="D859" s="925">
        <f t="shared" si="128"/>
        <v>0</v>
      </c>
      <c r="E859" s="925">
        <f t="shared" si="128"/>
        <v>0</v>
      </c>
      <c r="F859" s="2022"/>
      <c r="G859" s="1800"/>
      <c r="H859" s="1791"/>
      <c r="I859" s="1719"/>
      <c r="J859" s="1918"/>
      <c r="K859" s="1791"/>
      <c r="L859" s="1739" t="e">
        <f t="shared" si="127"/>
        <v>#DIV/0!</v>
      </c>
      <c r="M859" s="1791"/>
      <c r="N859" s="1791"/>
      <c r="O859" s="1804"/>
      <c r="P859" s="1791"/>
      <c r="Q859" s="1791"/>
      <c r="R859" s="1845"/>
    </row>
    <row r="860" spans="1:18" ht="48">
      <c r="A860" s="1736">
        <v>85214</v>
      </c>
      <c r="B860" s="1976" t="s">
        <v>755</v>
      </c>
      <c r="C860" s="1738">
        <f>SUM(C861:C862)</f>
        <v>4792000</v>
      </c>
      <c r="D860" s="908">
        <f t="shared" si="128"/>
        <v>5235825</v>
      </c>
      <c r="E860" s="908">
        <f t="shared" si="128"/>
        <v>3379412</v>
      </c>
      <c r="F860" s="2024">
        <f t="shared" si="126"/>
        <v>64.54402123829578</v>
      </c>
      <c r="G860" s="1738">
        <f>SUM(G861:G862)</f>
        <v>4143825</v>
      </c>
      <c r="H860" s="1680">
        <f>SUM(H861:H862)</f>
        <v>2729697</v>
      </c>
      <c r="I860" s="1681">
        <f>H860/G860*100</f>
        <v>65.87384843713235</v>
      </c>
      <c r="J860" s="1740">
        <f>SUM(J861:J862)</f>
        <v>1092000</v>
      </c>
      <c r="K860" s="1680">
        <f>SUM(K861:K862)</f>
        <v>649715</v>
      </c>
      <c r="L860" s="1776">
        <f t="shared" si="127"/>
        <v>59.49771062271062</v>
      </c>
      <c r="M860" s="1680"/>
      <c r="N860" s="1680"/>
      <c r="O860" s="1742"/>
      <c r="P860" s="1680"/>
      <c r="Q860" s="1680"/>
      <c r="R860" s="1782"/>
    </row>
    <row r="861" spans="1:18" ht="12.75">
      <c r="A861" s="1743">
        <v>3110</v>
      </c>
      <c r="B861" s="1977" t="s">
        <v>388</v>
      </c>
      <c r="C861" s="1689">
        <v>4792000</v>
      </c>
      <c r="D861" s="893">
        <f t="shared" si="128"/>
        <v>5235825</v>
      </c>
      <c r="E861" s="893">
        <f t="shared" si="128"/>
        <v>3379412</v>
      </c>
      <c r="F861" s="1998">
        <f t="shared" si="126"/>
        <v>64.54402123829578</v>
      </c>
      <c r="G861" s="1689">
        <f>3700000+5000+438825</f>
        <v>4143825</v>
      </c>
      <c r="H861" s="1690">
        <v>2729697</v>
      </c>
      <c r="I861" s="1666">
        <f>H861/G861*100</f>
        <v>65.87384843713235</v>
      </c>
      <c r="J861" s="1745">
        <v>1092000</v>
      </c>
      <c r="K861" s="1690">
        <v>649715</v>
      </c>
      <c r="L861" s="1669">
        <f t="shared" si="127"/>
        <v>59.49771062271062</v>
      </c>
      <c r="M861" s="1690"/>
      <c r="N861" s="1690"/>
      <c r="O861" s="1747"/>
      <c r="P861" s="1690"/>
      <c r="Q861" s="1690"/>
      <c r="R861" s="1754"/>
    </row>
    <row r="862" spans="1:18" ht="24" hidden="1">
      <c r="A862" s="1743">
        <v>4110</v>
      </c>
      <c r="B862" s="1977" t="s">
        <v>110</v>
      </c>
      <c r="C862" s="1689"/>
      <c r="D862" s="893">
        <f t="shared" si="128"/>
        <v>0</v>
      </c>
      <c r="E862" s="1690">
        <f>SUM(H862+K862+N862+Q862)</f>
        <v>0</v>
      </c>
      <c r="F862" s="1998" t="e">
        <f t="shared" si="126"/>
        <v>#DIV/0!</v>
      </c>
      <c r="G862" s="1689"/>
      <c r="H862" s="1690"/>
      <c r="I862" s="1666"/>
      <c r="J862" s="1745"/>
      <c r="K862" s="1690"/>
      <c r="L862" s="1669" t="e">
        <f t="shared" si="127"/>
        <v>#DIV/0!</v>
      </c>
      <c r="M862" s="1690"/>
      <c r="N862" s="1690"/>
      <c r="O862" s="1695"/>
      <c r="P862" s="1690"/>
      <c r="Q862" s="1690"/>
      <c r="R862" s="1754"/>
    </row>
    <row r="863" spans="1:18" ht="16.5" customHeight="1">
      <c r="A863" s="1736">
        <v>85215</v>
      </c>
      <c r="B863" s="1976" t="s">
        <v>399</v>
      </c>
      <c r="C863" s="1738">
        <f>SUM(C865)</f>
        <v>5800000</v>
      </c>
      <c r="D863" s="908">
        <f t="shared" si="128"/>
        <v>5793231</v>
      </c>
      <c r="E863" s="1680">
        <f>H863+K863+Q863+N863</f>
        <v>2785940</v>
      </c>
      <c r="F863" s="2024">
        <f>E863/D863*100</f>
        <v>48.08957212305189</v>
      </c>
      <c r="G863" s="1983">
        <f>SUM(G864:G865)</f>
        <v>5793231</v>
      </c>
      <c r="H863" s="1680">
        <f>SUM(H864:H865)</f>
        <v>2785940</v>
      </c>
      <c r="I863" s="1681">
        <f>H863/G863*100</f>
        <v>48.08957212305189</v>
      </c>
      <c r="J863" s="1740"/>
      <c r="K863" s="1680"/>
      <c r="L863" s="1741"/>
      <c r="M863" s="1680"/>
      <c r="N863" s="1680"/>
      <c r="O863" s="1742"/>
      <c r="P863" s="1680"/>
      <c r="Q863" s="1680"/>
      <c r="R863" s="1782"/>
    </row>
    <row r="864" spans="1:18" s="1586" customFormat="1" ht="78" customHeight="1" hidden="1">
      <c r="A864" s="1846">
        <v>2910</v>
      </c>
      <c r="B864" s="2026" t="s">
        <v>400</v>
      </c>
      <c r="C864" s="927"/>
      <c r="D864" s="932">
        <f t="shared" si="128"/>
        <v>0</v>
      </c>
      <c r="E864" s="1707">
        <f>SUM(H864+K864+N864+Q864)</f>
        <v>0</v>
      </c>
      <c r="F864" s="2025" t="e">
        <f>E864/D864*100</f>
        <v>#DIV/0!</v>
      </c>
      <c r="G864" s="1693"/>
      <c r="H864" s="932"/>
      <c r="I864" s="1691" t="e">
        <f>H864/G864*100</f>
        <v>#DIV/0!</v>
      </c>
      <c r="J864" s="1848"/>
      <c r="K864" s="932"/>
      <c r="L864" s="1849"/>
      <c r="M864" s="932"/>
      <c r="N864" s="932"/>
      <c r="O864" s="1850"/>
      <c r="P864" s="932"/>
      <c r="Q864" s="932"/>
      <c r="R864" s="950"/>
    </row>
    <row r="865" spans="1:18" s="1735" customFormat="1" ht="15.75" customHeight="1">
      <c r="A865" s="1798">
        <v>3110</v>
      </c>
      <c r="B865" s="1978" t="s">
        <v>388</v>
      </c>
      <c r="C865" s="1800">
        <v>5800000</v>
      </c>
      <c r="D865" s="925">
        <f t="shared" si="128"/>
        <v>5793231</v>
      </c>
      <c r="E865" s="1791">
        <f>SUM(H865+K865+N865+Q865)</f>
        <v>2785940</v>
      </c>
      <c r="F865" s="2022">
        <f aca="true" t="shared" si="129" ref="F865:F906">E865/D865*100</f>
        <v>48.08957212305189</v>
      </c>
      <c r="G865" s="1800">
        <v>5793231</v>
      </c>
      <c r="H865" s="1791">
        <v>2785940</v>
      </c>
      <c r="I865" s="1719">
        <f>H865/G865*100</f>
        <v>48.08957212305189</v>
      </c>
      <c r="J865" s="1801"/>
      <c r="K865" s="1791"/>
      <c r="L865" s="1857"/>
      <c r="M865" s="1791"/>
      <c r="N865" s="1791"/>
      <c r="O865" s="1804"/>
      <c r="P865" s="1791"/>
      <c r="Q865" s="1791"/>
      <c r="R865" s="1845"/>
    </row>
    <row r="866" spans="1:18" s="1735" customFormat="1" ht="35.25" customHeight="1" hidden="1">
      <c r="A866" s="1736">
        <v>85216</v>
      </c>
      <c r="B866" s="1976" t="s">
        <v>401</v>
      </c>
      <c r="C866" s="1738">
        <f>SUM(C867)</f>
        <v>0</v>
      </c>
      <c r="D866" s="908">
        <f t="shared" si="128"/>
        <v>0</v>
      </c>
      <c r="E866" s="1680">
        <f>H866+K866+Q866+N866</f>
        <v>0</v>
      </c>
      <c r="F866" s="2024" t="e">
        <f t="shared" si="129"/>
        <v>#DIV/0!</v>
      </c>
      <c r="G866" s="1738"/>
      <c r="H866" s="1680"/>
      <c r="I866" s="1681"/>
      <c r="J866" s="1740">
        <f>J867</f>
        <v>0</v>
      </c>
      <c r="K866" s="1740">
        <f>K867</f>
        <v>0</v>
      </c>
      <c r="L866" s="1700" t="e">
        <f>K866/J866*100</f>
        <v>#DIV/0!</v>
      </c>
      <c r="M866" s="1680"/>
      <c r="N866" s="1680"/>
      <c r="O866" s="1742"/>
      <c r="P866" s="1680">
        <f>P867</f>
        <v>0</v>
      </c>
      <c r="Q866" s="1680">
        <f>Q867</f>
        <v>0</v>
      </c>
      <c r="R866" s="1688" t="e">
        <f>Q866/P866*100</f>
        <v>#DIV/0!</v>
      </c>
    </row>
    <row r="867" spans="1:18" s="1735" customFormat="1" ht="15.75" customHeight="1" hidden="1">
      <c r="A867" s="1772">
        <v>3110</v>
      </c>
      <c r="B867" s="2027" t="s">
        <v>388</v>
      </c>
      <c r="C867" s="1689"/>
      <c r="D867" s="919">
        <f t="shared" si="128"/>
        <v>0</v>
      </c>
      <c r="E867" s="1690">
        <f>SUM(H867+K867+N867+Q867)</f>
        <v>0</v>
      </c>
      <c r="F867" s="2024" t="e">
        <f t="shared" si="129"/>
        <v>#DIV/0!</v>
      </c>
      <c r="G867" s="1774"/>
      <c r="H867" s="1781"/>
      <c r="I867" s="1681"/>
      <c r="J867" s="1777"/>
      <c r="K867" s="1781"/>
      <c r="L867" s="1776" t="e">
        <f>K867/J867*100</f>
        <v>#DIV/0!</v>
      </c>
      <c r="M867" s="1781"/>
      <c r="N867" s="1781"/>
      <c r="O867" s="1742"/>
      <c r="P867" s="1781"/>
      <c r="Q867" s="1781"/>
      <c r="R867" s="1688" t="e">
        <f>Q867/P867*100</f>
        <v>#DIV/0!</v>
      </c>
    </row>
    <row r="868" spans="1:18" s="1735" customFormat="1" ht="24">
      <c r="A868" s="1736">
        <v>85218</v>
      </c>
      <c r="B868" s="1976" t="s">
        <v>402</v>
      </c>
      <c r="C868" s="1738">
        <f>SUM(C869:C878)</f>
        <v>581335</v>
      </c>
      <c r="D868" s="908">
        <f t="shared" si="128"/>
        <v>581335</v>
      </c>
      <c r="E868" s="1680">
        <f>H868+K868+Q868+N868</f>
        <v>290660</v>
      </c>
      <c r="F868" s="2024">
        <f t="shared" si="129"/>
        <v>49.9987098660841</v>
      </c>
      <c r="G868" s="1738"/>
      <c r="H868" s="1680"/>
      <c r="I868" s="2000"/>
      <c r="J868" s="1740"/>
      <c r="K868" s="1680"/>
      <c r="L868" s="1741"/>
      <c r="M868" s="1680">
        <f>SUM(M869:M878)</f>
        <v>581335</v>
      </c>
      <c r="N868" s="1680">
        <f>SUM(N869:N878)</f>
        <v>290660</v>
      </c>
      <c r="O868" s="1688">
        <f aca="true" t="shared" si="130" ref="O868:O878">N868/M868*100</f>
        <v>49.9987098660841</v>
      </c>
      <c r="P868" s="1680"/>
      <c r="Q868" s="1680"/>
      <c r="R868" s="1688"/>
    </row>
    <row r="869" spans="1:18" ht="24">
      <c r="A869" s="1743">
        <v>4010</v>
      </c>
      <c r="B869" s="1977" t="s">
        <v>279</v>
      </c>
      <c r="C869" s="1689">
        <v>397900</v>
      </c>
      <c r="D869" s="893">
        <f t="shared" si="128"/>
        <v>397900</v>
      </c>
      <c r="E869" s="1690">
        <f aca="true" t="shared" si="131" ref="E869:E876">SUM(H869+K869+N869+Q869)</f>
        <v>187559</v>
      </c>
      <c r="F869" s="1998">
        <f t="shared" si="129"/>
        <v>47.13722040713747</v>
      </c>
      <c r="G869" s="1689"/>
      <c r="H869" s="1690"/>
      <c r="I869" s="1912"/>
      <c r="J869" s="1745"/>
      <c r="K869" s="1690"/>
      <c r="L869" s="1746"/>
      <c r="M869" s="1745">
        <v>397900</v>
      </c>
      <c r="N869" s="1690">
        <v>187559</v>
      </c>
      <c r="O869" s="1695">
        <f t="shared" si="130"/>
        <v>47.13722040713747</v>
      </c>
      <c r="P869" s="1745"/>
      <c r="Q869" s="1690"/>
      <c r="R869" s="1695"/>
    </row>
    <row r="870" spans="1:18" ht="24">
      <c r="A870" s="1743">
        <v>4040</v>
      </c>
      <c r="B870" s="1977" t="s">
        <v>165</v>
      </c>
      <c r="C870" s="1689">
        <v>32835</v>
      </c>
      <c r="D870" s="893">
        <f t="shared" si="128"/>
        <v>32835</v>
      </c>
      <c r="E870" s="893">
        <f>H870+K870+Q870+N870</f>
        <v>32835</v>
      </c>
      <c r="F870" s="1998">
        <f t="shared" si="129"/>
        <v>100</v>
      </c>
      <c r="G870" s="1689"/>
      <c r="H870" s="1690"/>
      <c r="I870" s="1912"/>
      <c r="J870" s="1745"/>
      <c r="K870" s="1690"/>
      <c r="L870" s="1746"/>
      <c r="M870" s="1745">
        <v>32835</v>
      </c>
      <c r="N870" s="1690">
        <v>32835</v>
      </c>
      <c r="O870" s="1891">
        <f t="shared" si="130"/>
        <v>100</v>
      </c>
      <c r="P870" s="1745"/>
      <c r="Q870" s="1690"/>
      <c r="R870" s="1891"/>
    </row>
    <row r="871" spans="1:18" s="1735" customFormat="1" ht="24">
      <c r="A871" s="1743">
        <v>4110</v>
      </c>
      <c r="B871" s="1977" t="s">
        <v>110</v>
      </c>
      <c r="C871" s="1689">
        <v>77500</v>
      </c>
      <c r="D871" s="893">
        <f t="shared" si="128"/>
        <v>77500</v>
      </c>
      <c r="E871" s="1690">
        <f t="shared" si="131"/>
        <v>36531</v>
      </c>
      <c r="F871" s="1998">
        <f t="shared" si="129"/>
        <v>47.13677419354838</v>
      </c>
      <c r="G871" s="1689"/>
      <c r="H871" s="1690"/>
      <c r="I871" s="1912"/>
      <c r="J871" s="1745"/>
      <c r="K871" s="1690"/>
      <c r="L871" s="1746"/>
      <c r="M871" s="1745">
        <v>77500</v>
      </c>
      <c r="N871" s="1690">
        <v>36531</v>
      </c>
      <c r="O871" s="1695">
        <f t="shared" si="130"/>
        <v>47.13677419354838</v>
      </c>
      <c r="P871" s="1745"/>
      <c r="Q871" s="1690"/>
      <c r="R871" s="1695"/>
    </row>
    <row r="872" spans="1:18" s="1735" customFormat="1" ht="15" customHeight="1">
      <c r="A872" s="1743">
        <v>4120</v>
      </c>
      <c r="B872" s="1977" t="s">
        <v>208</v>
      </c>
      <c r="C872" s="1689">
        <v>10550</v>
      </c>
      <c r="D872" s="893">
        <f t="shared" si="128"/>
        <v>10550</v>
      </c>
      <c r="E872" s="1690">
        <f t="shared" si="131"/>
        <v>4973</v>
      </c>
      <c r="F872" s="1998">
        <f t="shared" si="129"/>
        <v>47.13744075829384</v>
      </c>
      <c r="G872" s="1689"/>
      <c r="H872" s="1690"/>
      <c r="I872" s="1912"/>
      <c r="J872" s="1745"/>
      <c r="K872" s="1690"/>
      <c r="L872" s="1746"/>
      <c r="M872" s="1745">
        <v>10550</v>
      </c>
      <c r="N872" s="1690">
        <v>4973</v>
      </c>
      <c r="O872" s="1695">
        <f t="shared" si="130"/>
        <v>47.13744075829384</v>
      </c>
      <c r="P872" s="1745"/>
      <c r="Q872" s="1690"/>
      <c r="R872" s="1695"/>
    </row>
    <row r="873" spans="1:18" ht="24">
      <c r="A873" s="1743">
        <v>4210</v>
      </c>
      <c r="B873" s="1977" t="s">
        <v>114</v>
      </c>
      <c r="C873" s="1689">
        <v>10530</v>
      </c>
      <c r="D873" s="893">
        <f t="shared" si="128"/>
        <v>10530</v>
      </c>
      <c r="E873" s="1690">
        <f t="shared" si="131"/>
        <v>4964</v>
      </c>
      <c r="F873" s="1998">
        <f t="shared" si="129"/>
        <v>47.141500474833805</v>
      </c>
      <c r="G873" s="1689"/>
      <c r="H873" s="1690"/>
      <c r="I873" s="1912"/>
      <c r="J873" s="1745"/>
      <c r="K873" s="1690"/>
      <c r="L873" s="1746"/>
      <c r="M873" s="1745">
        <v>10530</v>
      </c>
      <c r="N873" s="1690">
        <v>4964</v>
      </c>
      <c r="O873" s="1695">
        <f t="shared" si="130"/>
        <v>47.141500474833805</v>
      </c>
      <c r="P873" s="1745"/>
      <c r="Q873" s="1690"/>
      <c r="R873" s="1695"/>
    </row>
    <row r="874" spans="1:18" ht="15" customHeight="1">
      <c r="A874" s="1743">
        <v>4260</v>
      </c>
      <c r="B874" s="1977" t="s">
        <v>118</v>
      </c>
      <c r="C874" s="1689">
        <v>20300</v>
      </c>
      <c r="D874" s="893">
        <f aca="true" t="shared" si="132" ref="D874:D906">G874+J874+P874+M874</f>
        <v>20300</v>
      </c>
      <c r="E874" s="1690">
        <f t="shared" si="131"/>
        <v>9569</v>
      </c>
      <c r="F874" s="1998">
        <f t="shared" si="129"/>
        <v>47.13793103448276</v>
      </c>
      <c r="G874" s="1689"/>
      <c r="H874" s="1690"/>
      <c r="I874" s="1912"/>
      <c r="J874" s="1745"/>
      <c r="K874" s="1690"/>
      <c r="L874" s="1746"/>
      <c r="M874" s="1745">
        <v>20300</v>
      </c>
      <c r="N874" s="1690">
        <v>9569</v>
      </c>
      <c r="O874" s="1695">
        <f t="shared" si="130"/>
        <v>47.13793103448276</v>
      </c>
      <c r="P874" s="1745"/>
      <c r="Q874" s="1690"/>
      <c r="R874" s="1695"/>
    </row>
    <row r="875" spans="1:18" ht="15" customHeight="1">
      <c r="A875" s="1743">
        <v>4300</v>
      </c>
      <c r="B875" s="1977" t="s">
        <v>171</v>
      </c>
      <c r="C875" s="1689">
        <v>13100</v>
      </c>
      <c r="D875" s="893">
        <f t="shared" si="132"/>
        <v>13100</v>
      </c>
      <c r="E875" s="1690">
        <f t="shared" si="131"/>
        <v>6175</v>
      </c>
      <c r="F875" s="1998">
        <f t="shared" si="129"/>
        <v>47.13740458015267</v>
      </c>
      <c r="G875" s="1689"/>
      <c r="H875" s="1690"/>
      <c r="I875" s="1912"/>
      <c r="J875" s="1745"/>
      <c r="K875" s="1690"/>
      <c r="L875" s="1746"/>
      <c r="M875" s="1745">
        <v>13100</v>
      </c>
      <c r="N875" s="1690">
        <v>6175</v>
      </c>
      <c r="O875" s="1695">
        <f t="shared" si="130"/>
        <v>47.13740458015267</v>
      </c>
      <c r="P875" s="1745"/>
      <c r="Q875" s="1690"/>
      <c r="R875" s="1695"/>
    </row>
    <row r="876" spans="1:18" ht="15" customHeight="1">
      <c r="A876" s="1743">
        <v>4410</v>
      </c>
      <c r="B876" s="1977" t="s">
        <v>96</v>
      </c>
      <c r="C876" s="1689">
        <v>1070</v>
      </c>
      <c r="D876" s="893">
        <f t="shared" si="132"/>
        <v>1070</v>
      </c>
      <c r="E876" s="1690">
        <f t="shared" si="131"/>
        <v>504</v>
      </c>
      <c r="F876" s="1998">
        <f t="shared" si="129"/>
        <v>47.10280373831775</v>
      </c>
      <c r="G876" s="1689"/>
      <c r="H876" s="1690"/>
      <c r="I876" s="1912"/>
      <c r="J876" s="1745"/>
      <c r="K876" s="1690"/>
      <c r="L876" s="1746"/>
      <c r="M876" s="1745">
        <v>1070</v>
      </c>
      <c r="N876" s="1690">
        <v>504</v>
      </c>
      <c r="O876" s="1695">
        <f t="shared" si="130"/>
        <v>47.10280373831775</v>
      </c>
      <c r="P876" s="1745"/>
      <c r="Q876" s="1690"/>
      <c r="R876" s="1695"/>
    </row>
    <row r="877" spans="1:18" ht="15" customHeight="1">
      <c r="A877" s="1743">
        <v>4440</v>
      </c>
      <c r="B877" s="1977" t="s">
        <v>126</v>
      </c>
      <c r="C877" s="1689">
        <v>7550</v>
      </c>
      <c r="D877" s="893">
        <f t="shared" si="132"/>
        <v>7550</v>
      </c>
      <c r="E877" s="1690">
        <f>SUM(H877+K877+N877+Q877)</f>
        <v>7550</v>
      </c>
      <c r="F877" s="1998">
        <v>0</v>
      </c>
      <c r="G877" s="1689"/>
      <c r="H877" s="1690"/>
      <c r="I877" s="1912"/>
      <c r="J877" s="1745"/>
      <c r="K877" s="1745"/>
      <c r="L877" s="1746"/>
      <c r="M877" s="1745">
        <v>7550</v>
      </c>
      <c r="N877" s="1690">
        <v>7550</v>
      </c>
      <c r="O877" s="1669">
        <f t="shared" si="130"/>
        <v>100</v>
      </c>
      <c r="P877" s="1745"/>
      <c r="Q877" s="1690"/>
      <c r="R877" s="1695"/>
    </row>
    <row r="878" spans="1:18" ht="38.25" customHeight="1">
      <c r="A878" s="1798">
        <v>6060</v>
      </c>
      <c r="B878" s="1978" t="s">
        <v>293</v>
      </c>
      <c r="C878" s="1800">
        <v>10000</v>
      </c>
      <c r="D878" s="925">
        <f t="shared" si="132"/>
        <v>10000</v>
      </c>
      <c r="E878" s="1791">
        <f>SUM(H878+K878+N878+Q878)</f>
        <v>0</v>
      </c>
      <c r="F878" s="2022">
        <f t="shared" si="129"/>
        <v>0</v>
      </c>
      <c r="G878" s="1800"/>
      <c r="H878" s="1791"/>
      <c r="I878" s="2013"/>
      <c r="J878" s="1801"/>
      <c r="K878" s="1801"/>
      <c r="L878" s="1857"/>
      <c r="M878" s="1801">
        <v>10000</v>
      </c>
      <c r="N878" s="1791"/>
      <c r="O878" s="1669">
        <f t="shared" si="130"/>
        <v>0</v>
      </c>
      <c r="P878" s="1801"/>
      <c r="Q878" s="1791"/>
      <c r="R878" s="1720"/>
    </row>
    <row r="879" spans="1:18" ht="24.75" customHeight="1">
      <c r="A879" s="1736">
        <v>85219</v>
      </c>
      <c r="B879" s="1976" t="s">
        <v>23</v>
      </c>
      <c r="C879" s="1738">
        <f>SUM(C880:C902)</f>
        <v>4873421</v>
      </c>
      <c r="D879" s="908">
        <f t="shared" si="132"/>
        <v>5074616</v>
      </c>
      <c r="E879" s="908">
        <f>H879+K879+Q879+N879</f>
        <v>2620124</v>
      </c>
      <c r="F879" s="2024">
        <f t="shared" si="129"/>
        <v>51.63196584726805</v>
      </c>
      <c r="G879" s="886">
        <f>SUM(G880:G902)</f>
        <v>5074616</v>
      </c>
      <c r="H879" s="1680">
        <f>SUM(H880:H902)</f>
        <v>2620124</v>
      </c>
      <c r="I879" s="1681">
        <f aca="true" t="shared" si="133" ref="I879:I895">H879/G879*100</f>
        <v>51.63196584726805</v>
      </c>
      <c r="J879" s="1740"/>
      <c r="K879" s="1740"/>
      <c r="L879" s="1776"/>
      <c r="M879" s="1680"/>
      <c r="N879" s="1680"/>
      <c r="O879" s="1688"/>
      <c r="P879" s="1680"/>
      <c r="Q879" s="1680"/>
      <c r="R879" s="1782"/>
    </row>
    <row r="880" spans="1:18" ht="24">
      <c r="A880" s="1722">
        <v>3020</v>
      </c>
      <c r="B880" s="1997" t="s">
        <v>332</v>
      </c>
      <c r="C880" s="1693">
        <v>6000</v>
      </c>
      <c r="D880" s="932">
        <f t="shared" si="132"/>
        <v>12155</v>
      </c>
      <c r="E880" s="1707">
        <f>SUM(H880+K880+N880+Q880)</f>
        <v>9070</v>
      </c>
      <c r="F880" s="2025">
        <f t="shared" si="129"/>
        <v>74.61949814890991</v>
      </c>
      <c r="G880" s="1693">
        <v>12155</v>
      </c>
      <c r="H880" s="1707">
        <v>9070</v>
      </c>
      <c r="I880" s="1691">
        <f t="shared" si="133"/>
        <v>74.61949814890991</v>
      </c>
      <c r="J880" s="1854"/>
      <c r="K880" s="1707"/>
      <c r="L880" s="1710"/>
      <c r="M880" s="1707"/>
      <c r="N880" s="1707"/>
      <c r="O880" s="1674"/>
      <c r="P880" s="1707"/>
      <c r="Q880" s="1707"/>
      <c r="R880" s="1856"/>
    </row>
    <row r="881" spans="1:18" ht="24">
      <c r="A881" s="1743">
        <v>4010</v>
      </c>
      <c r="B881" s="1977" t="s">
        <v>279</v>
      </c>
      <c r="C881" s="1689">
        <v>3189839</v>
      </c>
      <c r="D881" s="893">
        <f t="shared" si="132"/>
        <v>3310619</v>
      </c>
      <c r="E881" s="1690">
        <f>SUM(H881+K881+N881+Q881)</f>
        <v>1585789</v>
      </c>
      <c r="F881" s="1998">
        <f t="shared" si="129"/>
        <v>47.90007548437316</v>
      </c>
      <c r="G881" s="1689">
        <f>3189839+120780</f>
        <v>3310619</v>
      </c>
      <c r="H881" s="1690">
        <v>1585789</v>
      </c>
      <c r="I881" s="1666">
        <f t="shared" si="133"/>
        <v>47.90007548437316</v>
      </c>
      <c r="J881" s="1745"/>
      <c r="K881" s="1690"/>
      <c r="L881" s="1669"/>
      <c r="M881" s="1690"/>
      <c r="N881" s="1690"/>
      <c r="O881" s="1695"/>
      <c r="P881" s="1690"/>
      <c r="Q881" s="1690"/>
      <c r="R881" s="1754"/>
    </row>
    <row r="882" spans="1:18" ht="24">
      <c r="A882" s="1743">
        <v>4040</v>
      </c>
      <c r="B882" s="1977" t="s">
        <v>165</v>
      </c>
      <c r="C882" s="1689">
        <v>268779</v>
      </c>
      <c r="D882" s="893">
        <f t="shared" si="132"/>
        <v>268779</v>
      </c>
      <c r="E882" s="1690">
        <f>SUM(H882+K882+N882+Q882)</f>
        <v>236816</v>
      </c>
      <c r="F882" s="1998">
        <f t="shared" si="129"/>
        <v>88.10807391946544</v>
      </c>
      <c r="G882" s="1689">
        <v>268779</v>
      </c>
      <c r="H882" s="1690">
        <v>236816</v>
      </c>
      <c r="I882" s="1666">
        <f t="shared" si="133"/>
        <v>88.10807391946544</v>
      </c>
      <c r="J882" s="1745"/>
      <c r="K882" s="1690"/>
      <c r="L882" s="1669"/>
      <c r="M882" s="1690"/>
      <c r="N882" s="1690"/>
      <c r="O882" s="1695"/>
      <c r="P882" s="1690"/>
      <c r="Q882" s="1690"/>
      <c r="R882" s="1754"/>
    </row>
    <row r="883" spans="1:18" ht="24">
      <c r="A883" s="1743">
        <v>4110</v>
      </c>
      <c r="B883" s="1977" t="s">
        <v>110</v>
      </c>
      <c r="C883" s="1689">
        <v>616705</v>
      </c>
      <c r="D883" s="893">
        <f t="shared" si="132"/>
        <v>638263</v>
      </c>
      <c r="E883" s="1690">
        <f aca="true" t="shared" si="134" ref="E883:E895">SUM(H883+K883+N883+Q883)</f>
        <v>306228</v>
      </c>
      <c r="F883" s="1998">
        <f t="shared" si="129"/>
        <v>47.97834121670847</v>
      </c>
      <c r="G883" s="1689">
        <f>616705+21558</f>
        <v>638263</v>
      </c>
      <c r="H883" s="1690">
        <v>306228</v>
      </c>
      <c r="I883" s="1666">
        <f t="shared" si="133"/>
        <v>47.97834121670847</v>
      </c>
      <c r="J883" s="1745"/>
      <c r="K883" s="1690"/>
      <c r="L883" s="1669"/>
      <c r="M883" s="1690"/>
      <c r="N883" s="1690"/>
      <c r="O883" s="1695"/>
      <c r="P883" s="1690"/>
      <c r="Q883" s="1690"/>
      <c r="R883" s="1754"/>
    </row>
    <row r="884" spans="1:18" ht="12.75">
      <c r="A884" s="1743">
        <v>4120</v>
      </c>
      <c r="B884" s="1977" t="s">
        <v>208</v>
      </c>
      <c r="C884" s="1689">
        <v>85378</v>
      </c>
      <c r="D884" s="893">
        <f t="shared" si="132"/>
        <v>88340</v>
      </c>
      <c r="E884" s="1690">
        <f t="shared" si="134"/>
        <v>42449</v>
      </c>
      <c r="F884" s="1998">
        <f t="shared" si="129"/>
        <v>48.05184514376273</v>
      </c>
      <c r="G884" s="1689">
        <f>85378+2962</f>
        <v>88340</v>
      </c>
      <c r="H884" s="1690">
        <v>42449</v>
      </c>
      <c r="I884" s="1666">
        <f t="shared" si="133"/>
        <v>48.05184514376273</v>
      </c>
      <c r="J884" s="1745"/>
      <c r="K884" s="1690"/>
      <c r="L884" s="1669"/>
      <c r="M884" s="1690"/>
      <c r="N884" s="1690"/>
      <c r="O884" s="1695"/>
      <c r="P884" s="1690"/>
      <c r="Q884" s="1690"/>
      <c r="R884" s="1754"/>
    </row>
    <row r="885" spans="1:18" ht="24">
      <c r="A885" s="1743">
        <v>4170</v>
      </c>
      <c r="B885" s="1977" t="s">
        <v>169</v>
      </c>
      <c r="C885" s="1689"/>
      <c r="D885" s="893">
        <f t="shared" si="132"/>
        <v>8000</v>
      </c>
      <c r="E885" s="1690">
        <f t="shared" si="134"/>
        <v>2420</v>
      </c>
      <c r="F885" s="1998">
        <f t="shared" si="129"/>
        <v>30.25</v>
      </c>
      <c r="G885" s="1689">
        <v>8000</v>
      </c>
      <c r="H885" s="1690">
        <v>2420</v>
      </c>
      <c r="I885" s="1666">
        <f t="shared" si="133"/>
        <v>30.25</v>
      </c>
      <c r="J885" s="1745"/>
      <c r="K885" s="1690"/>
      <c r="L885" s="1669"/>
      <c r="M885" s="1690"/>
      <c r="N885" s="1690"/>
      <c r="O885" s="1695"/>
      <c r="P885" s="1690"/>
      <c r="Q885" s="1690"/>
      <c r="R885" s="1754"/>
    </row>
    <row r="886" spans="1:18" ht="24">
      <c r="A886" s="1743">
        <v>4210</v>
      </c>
      <c r="B886" s="1977" t="s">
        <v>114</v>
      </c>
      <c r="C886" s="1689">
        <v>109470</v>
      </c>
      <c r="D886" s="893">
        <f t="shared" si="132"/>
        <v>109470</v>
      </c>
      <c r="E886" s="1690">
        <f t="shared" si="134"/>
        <v>68447</v>
      </c>
      <c r="F886" s="1998">
        <f t="shared" si="129"/>
        <v>62.52580615693797</v>
      </c>
      <c r="G886" s="1689">
        <v>109470</v>
      </c>
      <c r="H886" s="1690">
        <v>68447</v>
      </c>
      <c r="I886" s="1666">
        <f t="shared" si="133"/>
        <v>62.52580615693797</v>
      </c>
      <c r="J886" s="1745"/>
      <c r="K886" s="1690"/>
      <c r="L886" s="1669"/>
      <c r="M886" s="1690"/>
      <c r="N886" s="1690"/>
      <c r="O886" s="1695"/>
      <c r="P886" s="1690"/>
      <c r="Q886" s="1690"/>
      <c r="R886" s="1754"/>
    </row>
    <row r="887" spans="1:18" ht="12.75">
      <c r="A887" s="1743">
        <v>4260</v>
      </c>
      <c r="B887" s="1977" t="s">
        <v>118</v>
      </c>
      <c r="C887" s="1689">
        <v>51970</v>
      </c>
      <c r="D887" s="893">
        <f t="shared" si="132"/>
        <v>51970</v>
      </c>
      <c r="E887" s="1690">
        <f t="shared" si="134"/>
        <v>34598</v>
      </c>
      <c r="F887" s="1998">
        <f t="shared" si="129"/>
        <v>66.57302289782567</v>
      </c>
      <c r="G887" s="1689">
        <v>51970</v>
      </c>
      <c r="H887" s="1690">
        <v>34598</v>
      </c>
      <c r="I887" s="1666">
        <f t="shared" si="133"/>
        <v>66.57302289782567</v>
      </c>
      <c r="J887" s="1745"/>
      <c r="K887" s="1690"/>
      <c r="L887" s="1669"/>
      <c r="M887" s="1690"/>
      <c r="N887" s="1690"/>
      <c r="O887" s="1695"/>
      <c r="P887" s="1690"/>
      <c r="Q887" s="1690"/>
      <c r="R887" s="1754"/>
    </row>
    <row r="888" spans="1:18" ht="15" customHeight="1">
      <c r="A888" s="1743">
        <v>4270</v>
      </c>
      <c r="B888" s="1977" t="s">
        <v>120</v>
      </c>
      <c r="C888" s="1689">
        <v>45000</v>
      </c>
      <c r="D888" s="893">
        <f t="shared" si="132"/>
        <v>125000</v>
      </c>
      <c r="E888" s="1690">
        <f t="shared" si="134"/>
        <v>24232</v>
      </c>
      <c r="F888" s="1998">
        <f t="shared" si="129"/>
        <v>19.3856</v>
      </c>
      <c r="G888" s="1689">
        <f>45000+94000-14000</f>
        <v>125000</v>
      </c>
      <c r="H888" s="1690">
        <v>24232</v>
      </c>
      <c r="I888" s="1666">
        <f t="shared" si="133"/>
        <v>19.3856</v>
      </c>
      <c r="J888" s="1745"/>
      <c r="K888" s="1690"/>
      <c r="L888" s="1669"/>
      <c r="M888" s="1690"/>
      <c r="N888" s="1690"/>
      <c r="O888" s="1695"/>
      <c r="P888" s="1690"/>
      <c r="Q888" s="1690"/>
      <c r="R888" s="1754"/>
    </row>
    <row r="889" spans="1:18" ht="15" customHeight="1">
      <c r="A889" s="1743">
        <v>4280</v>
      </c>
      <c r="B889" s="1977" t="s">
        <v>170</v>
      </c>
      <c r="C889" s="1689"/>
      <c r="D889" s="893">
        <f t="shared" si="132"/>
        <v>5000</v>
      </c>
      <c r="E889" s="1690">
        <f t="shared" si="134"/>
        <v>2380</v>
      </c>
      <c r="F889" s="1998">
        <f t="shared" si="129"/>
        <v>47.599999999999994</v>
      </c>
      <c r="G889" s="1689">
        <v>5000</v>
      </c>
      <c r="H889" s="1690">
        <v>2380</v>
      </c>
      <c r="I889" s="1666">
        <f t="shared" si="133"/>
        <v>47.599999999999994</v>
      </c>
      <c r="J889" s="1745"/>
      <c r="K889" s="1690"/>
      <c r="L889" s="1669"/>
      <c r="M889" s="1690"/>
      <c r="N889" s="1690"/>
      <c r="O889" s="1695"/>
      <c r="P889" s="1690"/>
      <c r="Q889" s="1690"/>
      <c r="R889" s="1754"/>
    </row>
    <row r="890" spans="1:18" ht="15" customHeight="1">
      <c r="A890" s="1743">
        <v>4300</v>
      </c>
      <c r="B890" s="1977" t="s">
        <v>171</v>
      </c>
      <c r="C890" s="1689">
        <v>288915</v>
      </c>
      <c r="D890" s="893">
        <f t="shared" si="132"/>
        <v>235429</v>
      </c>
      <c r="E890" s="1690">
        <f t="shared" si="134"/>
        <v>165001</v>
      </c>
      <c r="F890" s="1998">
        <f t="shared" si="129"/>
        <v>70.08524863122216</v>
      </c>
      <c r="G890" s="1689">
        <f>276215-16-35770-5000</f>
        <v>235429</v>
      </c>
      <c r="H890" s="1690">
        <v>165001</v>
      </c>
      <c r="I890" s="1666">
        <f t="shared" si="133"/>
        <v>70.08524863122216</v>
      </c>
      <c r="J890" s="1745"/>
      <c r="K890" s="1690"/>
      <c r="L890" s="1669"/>
      <c r="M890" s="1690"/>
      <c r="N890" s="1690"/>
      <c r="O890" s="1695"/>
      <c r="P890" s="1690"/>
      <c r="Q890" s="1690"/>
      <c r="R890" s="1754"/>
    </row>
    <row r="891" spans="1:18" ht="24">
      <c r="A891" s="1743">
        <v>4350</v>
      </c>
      <c r="B891" s="1977" t="s">
        <v>172</v>
      </c>
      <c r="C891" s="1689"/>
      <c r="D891" s="893">
        <f t="shared" si="132"/>
        <v>4700</v>
      </c>
      <c r="E891" s="1690">
        <f t="shared" si="134"/>
        <v>1652</v>
      </c>
      <c r="F891" s="1998">
        <f t="shared" si="129"/>
        <v>35.148936170212764</v>
      </c>
      <c r="G891" s="1689">
        <v>4700</v>
      </c>
      <c r="H891" s="1690">
        <v>1652</v>
      </c>
      <c r="I891" s="1666">
        <f t="shared" si="133"/>
        <v>35.148936170212764</v>
      </c>
      <c r="J891" s="1745"/>
      <c r="K891" s="1690"/>
      <c r="L891" s="1669"/>
      <c r="M891" s="1690"/>
      <c r="N891" s="1690"/>
      <c r="O891" s="1695"/>
      <c r="P891" s="1690"/>
      <c r="Q891" s="1690"/>
      <c r="R891" s="1754"/>
    </row>
    <row r="892" spans="1:18" ht="15" customHeight="1">
      <c r="A892" s="1743">
        <v>4410</v>
      </c>
      <c r="B892" s="1977" t="s">
        <v>96</v>
      </c>
      <c r="C892" s="1689">
        <v>55130</v>
      </c>
      <c r="D892" s="893">
        <f t="shared" si="132"/>
        <v>55130</v>
      </c>
      <c r="E892" s="1690">
        <f t="shared" si="134"/>
        <v>35749</v>
      </c>
      <c r="F892" s="1998">
        <f t="shared" si="129"/>
        <v>64.84491202612008</v>
      </c>
      <c r="G892" s="1689">
        <v>55130</v>
      </c>
      <c r="H892" s="1690">
        <v>35749</v>
      </c>
      <c r="I892" s="1666">
        <f t="shared" si="133"/>
        <v>64.84491202612008</v>
      </c>
      <c r="J892" s="1745"/>
      <c r="K892" s="1690"/>
      <c r="L892" s="1669"/>
      <c r="M892" s="1690"/>
      <c r="N892" s="1690"/>
      <c r="O892" s="1695"/>
      <c r="P892" s="1690"/>
      <c r="Q892" s="1690"/>
      <c r="R892" s="1754"/>
    </row>
    <row r="893" spans="1:18" ht="24" hidden="1">
      <c r="A893" s="1743">
        <v>4420</v>
      </c>
      <c r="B893" s="1977" t="s">
        <v>212</v>
      </c>
      <c r="C893" s="1689"/>
      <c r="D893" s="893">
        <f t="shared" si="132"/>
        <v>0</v>
      </c>
      <c r="E893" s="1690">
        <f t="shared" si="134"/>
        <v>0</v>
      </c>
      <c r="F893" s="1998" t="e">
        <f t="shared" si="129"/>
        <v>#DIV/0!</v>
      </c>
      <c r="G893" s="1689"/>
      <c r="H893" s="1690"/>
      <c r="I893" s="1666" t="e">
        <f t="shared" si="133"/>
        <v>#DIV/0!</v>
      </c>
      <c r="J893" s="1745"/>
      <c r="K893" s="1690"/>
      <c r="L893" s="1669"/>
      <c r="M893" s="1690"/>
      <c r="N893" s="1690"/>
      <c r="O893" s="1695"/>
      <c r="P893" s="1690"/>
      <c r="Q893" s="1690"/>
      <c r="R893" s="1754"/>
    </row>
    <row r="894" spans="1:18" ht="15" customHeight="1">
      <c r="A894" s="1743">
        <v>4430</v>
      </c>
      <c r="B894" s="1977" t="s">
        <v>124</v>
      </c>
      <c r="C894" s="1689">
        <v>9860</v>
      </c>
      <c r="D894" s="893">
        <f t="shared" si="132"/>
        <v>9860</v>
      </c>
      <c r="E894" s="1690">
        <f t="shared" si="134"/>
        <v>6163</v>
      </c>
      <c r="F894" s="1998">
        <f t="shared" si="129"/>
        <v>62.5050709939148</v>
      </c>
      <c r="G894" s="1689">
        <v>9860</v>
      </c>
      <c r="H894" s="1690">
        <v>6163</v>
      </c>
      <c r="I894" s="1666">
        <f t="shared" si="133"/>
        <v>62.5050709939148</v>
      </c>
      <c r="J894" s="1745"/>
      <c r="K894" s="1690"/>
      <c r="L894" s="1669"/>
      <c r="M894" s="1690"/>
      <c r="N894" s="1690"/>
      <c r="O894" s="1695"/>
      <c r="P894" s="1690"/>
      <c r="Q894" s="1690"/>
      <c r="R894" s="1754"/>
    </row>
    <row r="895" spans="1:18" ht="15" customHeight="1">
      <c r="A895" s="1743">
        <v>4440</v>
      </c>
      <c r="B895" s="1977" t="s">
        <v>126</v>
      </c>
      <c r="C895" s="1689">
        <v>120325</v>
      </c>
      <c r="D895" s="893">
        <f t="shared" si="132"/>
        <v>125221</v>
      </c>
      <c r="E895" s="1690">
        <f t="shared" si="134"/>
        <v>96049</v>
      </c>
      <c r="F895" s="1998">
        <f t="shared" si="129"/>
        <v>76.70358805631643</v>
      </c>
      <c r="G895" s="1689">
        <f>120325+4900-4</f>
        <v>125221</v>
      </c>
      <c r="H895" s="1690">
        <v>96049</v>
      </c>
      <c r="I895" s="1666">
        <f t="shared" si="133"/>
        <v>76.70358805631643</v>
      </c>
      <c r="J895" s="1745"/>
      <c r="K895" s="1690"/>
      <c r="L895" s="1669"/>
      <c r="M895" s="1690"/>
      <c r="N895" s="1690"/>
      <c r="O895" s="1695"/>
      <c r="P895" s="1690"/>
      <c r="Q895" s="1690"/>
      <c r="R895" s="1754"/>
    </row>
    <row r="896" spans="1:18" ht="17.25" customHeight="1">
      <c r="A896" s="1743">
        <v>4480</v>
      </c>
      <c r="B896" s="1977" t="s">
        <v>688</v>
      </c>
      <c r="C896" s="1689">
        <v>5500</v>
      </c>
      <c r="D896" s="893">
        <f t="shared" si="132"/>
        <v>5500</v>
      </c>
      <c r="E896" s="893">
        <f>H896+K896+Q896+N896</f>
        <v>2836</v>
      </c>
      <c r="F896" s="1998">
        <f t="shared" si="129"/>
        <v>51.56363636363637</v>
      </c>
      <c r="G896" s="1689">
        <v>5500</v>
      </c>
      <c r="H896" s="1690">
        <v>2836</v>
      </c>
      <c r="I896" s="1666">
        <f>H896/G896*100</f>
        <v>51.56363636363637</v>
      </c>
      <c r="J896" s="1745"/>
      <c r="K896" s="1690"/>
      <c r="L896" s="1669"/>
      <c r="M896" s="1690"/>
      <c r="N896" s="1690"/>
      <c r="O896" s="1695"/>
      <c r="P896" s="1690"/>
      <c r="Q896" s="1690"/>
      <c r="R896" s="1754"/>
    </row>
    <row r="897" spans="1:18" ht="15" customHeight="1" hidden="1">
      <c r="A897" s="1743">
        <v>4580</v>
      </c>
      <c r="B897" s="1977" t="s">
        <v>176</v>
      </c>
      <c r="C897" s="1689"/>
      <c r="D897" s="893">
        <f t="shared" si="132"/>
        <v>0</v>
      </c>
      <c r="E897" s="893">
        <f>H897+K897+Q897+N897</f>
        <v>0</v>
      </c>
      <c r="F897" s="1998" t="e">
        <f t="shared" si="129"/>
        <v>#DIV/0!</v>
      </c>
      <c r="G897" s="1689"/>
      <c r="H897" s="1690"/>
      <c r="I897" s="1666" t="e">
        <f>H897/G897*100</f>
        <v>#DIV/0!</v>
      </c>
      <c r="J897" s="1745"/>
      <c r="K897" s="1690"/>
      <c r="L897" s="1669"/>
      <c r="M897" s="1690"/>
      <c r="N897" s="1690"/>
      <c r="O897" s="1695"/>
      <c r="P897" s="1690"/>
      <c r="Q897" s="1690"/>
      <c r="R897" s="1754"/>
    </row>
    <row r="898" spans="1:18" ht="24">
      <c r="A898" s="1743">
        <v>4530</v>
      </c>
      <c r="B898" s="1977" t="s">
        <v>403</v>
      </c>
      <c r="C898" s="1689">
        <v>200</v>
      </c>
      <c r="D898" s="893">
        <f t="shared" si="132"/>
        <v>200</v>
      </c>
      <c r="E898" s="1690">
        <f>SUM(H898+K898+N898+Q898)</f>
        <v>29</v>
      </c>
      <c r="F898" s="1998">
        <f t="shared" si="129"/>
        <v>14.499999999999998</v>
      </c>
      <c r="G898" s="1689">
        <v>200</v>
      </c>
      <c r="H898" s="1690">
        <v>29</v>
      </c>
      <c r="I898" s="1666">
        <f>H898/G898*100</f>
        <v>14.499999999999998</v>
      </c>
      <c r="J898" s="1745"/>
      <c r="K898" s="1690"/>
      <c r="L898" s="1669"/>
      <c r="M898" s="1690"/>
      <c r="N898" s="1690"/>
      <c r="O898" s="1695"/>
      <c r="P898" s="1690"/>
      <c r="Q898" s="1690"/>
      <c r="R898" s="1754"/>
    </row>
    <row r="899" spans="1:18" ht="12.75">
      <c r="A899" s="1743">
        <v>4580</v>
      </c>
      <c r="B899" s="1977" t="s">
        <v>176</v>
      </c>
      <c r="C899" s="1689"/>
      <c r="D899" s="893">
        <f t="shared" si="132"/>
        <v>630</v>
      </c>
      <c r="E899" s="1690">
        <f>SUM(H899+K899+N899+Q899)</f>
        <v>629</v>
      </c>
      <c r="F899" s="1998">
        <f t="shared" si="129"/>
        <v>99.84126984126985</v>
      </c>
      <c r="G899" s="1689">
        <f>614+16</f>
        <v>630</v>
      </c>
      <c r="H899" s="1690">
        <v>629</v>
      </c>
      <c r="I899" s="1666">
        <f>H899/G899*100</f>
        <v>99.84126984126985</v>
      </c>
      <c r="J899" s="1745"/>
      <c r="K899" s="1690"/>
      <c r="L899" s="1669"/>
      <c r="M899" s="1690"/>
      <c r="N899" s="1690"/>
      <c r="O899" s="1695"/>
      <c r="P899" s="1690"/>
      <c r="Q899" s="1690"/>
      <c r="R899" s="1754"/>
    </row>
    <row r="900" spans="1:18" ht="36">
      <c r="A900" s="1743">
        <v>4610</v>
      </c>
      <c r="B900" s="1977" t="s">
        <v>404</v>
      </c>
      <c r="C900" s="1689">
        <v>350</v>
      </c>
      <c r="D900" s="893">
        <f t="shared" si="132"/>
        <v>350</v>
      </c>
      <c r="E900" s="1690">
        <f>SUM(H900+K900+N900+Q900)</f>
        <v>15</v>
      </c>
      <c r="F900" s="1998">
        <f t="shared" si="129"/>
        <v>4.285714285714286</v>
      </c>
      <c r="G900" s="1689">
        <v>350</v>
      </c>
      <c r="H900" s="1690">
        <v>15</v>
      </c>
      <c r="I900" s="1666">
        <f>H900/G900*100</f>
        <v>4.285714285714286</v>
      </c>
      <c r="J900" s="1745"/>
      <c r="K900" s="1690"/>
      <c r="L900" s="1669"/>
      <c r="M900" s="1690"/>
      <c r="N900" s="1690"/>
      <c r="O900" s="1695"/>
      <c r="P900" s="1690"/>
      <c r="Q900" s="1690"/>
      <c r="R900" s="1754"/>
    </row>
    <row r="901" spans="1:18" ht="12.75">
      <c r="A901" s="1743">
        <v>4990</v>
      </c>
      <c r="B901" s="1977" t="s">
        <v>405</v>
      </c>
      <c r="C901" s="1689"/>
      <c r="D901" s="893">
        <f t="shared" si="132"/>
        <v>0</v>
      </c>
      <c r="E901" s="1690">
        <f>SUM(H901+K901+N901+Q901)</f>
        <v>-428</v>
      </c>
      <c r="F901" s="1998"/>
      <c r="G901" s="1689"/>
      <c r="H901" s="1690">
        <v>-428</v>
      </c>
      <c r="I901" s="1666"/>
      <c r="J901" s="1745"/>
      <c r="K901" s="1690"/>
      <c r="L901" s="1669"/>
      <c r="M901" s="1690"/>
      <c r="N901" s="1690"/>
      <c r="O901" s="1695"/>
      <c r="P901" s="1690"/>
      <c r="Q901" s="1690"/>
      <c r="R901" s="1754"/>
    </row>
    <row r="902" spans="1:18" s="1735" customFormat="1" ht="48">
      <c r="A902" s="1798">
        <v>6060</v>
      </c>
      <c r="B902" s="1978" t="s">
        <v>406</v>
      </c>
      <c r="C902" s="1689">
        <v>20000</v>
      </c>
      <c r="D902" s="893">
        <f t="shared" si="132"/>
        <v>20000</v>
      </c>
      <c r="E902" s="1690">
        <f>SUM(H902+K902+N902+Q902)</f>
        <v>0</v>
      </c>
      <c r="F902" s="1998">
        <f t="shared" si="129"/>
        <v>0</v>
      </c>
      <c r="G902" s="1800">
        <v>20000</v>
      </c>
      <c r="H902" s="1791"/>
      <c r="I902" s="1666">
        <f>H902/G902*100</f>
        <v>0</v>
      </c>
      <c r="J902" s="1801"/>
      <c r="K902" s="1791"/>
      <c r="L902" s="1669"/>
      <c r="M902" s="1791"/>
      <c r="N902" s="1791"/>
      <c r="O902" s="1695"/>
      <c r="P902" s="1791"/>
      <c r="Q902" s="1791"/>
      <c r="R902" s="1845"/>
    </row>
    <row r="903" spans="1:18" s="1735" customFormat="1" ht="60">
      <c r="A903" s="1736">
        <v>85220</v>
      </c>
      <c r="B903" s="1976" t="s">
        <v>407</v>
      </c>
      <c r="C903" s="1738">
        <f>SUM(C904:C906)</f>
        <v>7920</v>
      </c>
      <c r="D903" s="908">
        <f t="shared" si="132"/>
        <v>7920</v>
      </c>
      <c r="E903" s="1680">
        <f>H903+K903+Q903+N903</f>
        <v>300</v>
      </c>
      <c r="F903" s="2024">
        <f t="shared" si="129"/>
        <v>3.787878787878788</v>
      </c>
      <c r="G903" s="1738"/>
      <c r="H903" s="1680"/>
      <c r="I903" s="2000"/>
      <c r="J903" s="1740"/>
      <c r="K903" s="1680"/>
      <c r="L903" s="1741"/>
      <c r="M903" s="1680">
        <f>SUM(M904:M906)</f>
        <v>7920</v>
      </c>
      <c r="N903" s="1680">
        <f>SUM(N904:N906)</f>
        <v>300</v>
      </c>
      <c r="O903" s="1688">
        <f aca="true" t="shared" si="135" ref="O903:O930">N903/M903*100</f>
        <v>3.787878787878788</v>
      </c>
      <c r="P903" s="1680"/>
      <c r="Q903" s="1680"/>
      <c r="R903" s="1688"/>
    </row>
    <row r="904" spans="1:18" s="1735" customFormat="1" ht="24">
      <c r="A904" s="1743">
        <v>4210</v>
      </c>
      <c r="B904" s="1977" t="s">
        <v>114</v>
      </c>
      <c r="C904" s="1689">
        <v>2300</v>
      </c>
      <c r="D904" s="893">
        <f t="shared" si="132"/>
        <v>2300</v>
      </c>
      <c r="E904" s="1690">
        <f>SUM(H904+K904+N904+Q904)</f>
        <v>300</v>
      </c>
      <c r="F904" s="1998">
        <f t="shared" si="129"/>
        <v>13.043478260869565</v>
      </c>
      <c r="G904" s="1689"/>
      <c r="H904" s="1690"/>
      <c r="I904" s="1912"/>
      <c r="J904" s="1745"/>
      <c r="K904" s="1690"/>
      <c r="L904" s="1746"/>
      <c r="M904" s="1693">
        <v>2300</v>
      </c>
      <c r="N904" s="1707">
        <v>300</v>
      </c>
      <c r="O904" s="1695">
        <f t="shared" si="135"/>
        <v>13.043478260869565</v>
      </c>
      <c r="P904" s="1690"/>
      <c r="Q904" s="1690"/>
      <c r="R904" s="1695"/>
    </row>
    <row r="905" spans="1:18" s="1735" customFormat="1" ht="15.75" customHeight="1">
      <c r="A905" s="1743">
        <v>4260</v>
      </c>
      <c r="B905" s="1977" t="s">
        <v>118</v>
      </c>
      <c r="C905" s="1689">
        <v>5270</v>
      </c>
      <c r="D905" s="893">
        <f t="shared" si="132"/>
        <v>5270</v>
      </c>
      <c r="E905" s="1690">
        <f>SUM(H905+K905+N905+Q905)</f>
        <v>0</v>
      </c>
      <c r="F905" s="1998">
        <f t="shared" si="129"/>
        <v>0</v>
      </c>
      <c r="G905" s="1689"/>
      <c r="H905" s="1690"/>
      <c r="I905" s="1912"/>
      <c r="J905" s="1745"/>
      <c r="K905" s="1690"/>
      <c r="L905" s="1746"/>
      <c r="M905" s="1689">
        <v>5270</v>
      </c>
      <c r="N905" s="1690"/>
      <c r="O905" s="1695">
        <f t="shared" si="135"/>
        <v>0</v>
      </c>
      <c r="P905" s="1690"/>
      <c r="Q905" s="1690"/>
      <c r="R905" s="1695"/>
    </row>
    <row r="906" spans="1:18" s="1735" customFormat="1" ht="13.5" customHeight="1">
      <c r="A906" s="1798">
        <v>4300</v>
      </c>
      <c r="B906" s="1978" t="s">
        <v>171</v>
      </c>
      <c r="C906" s="1800">
        <v>350</v>
      </c>
      <c r="D906" s="925">
        <f t="shared" si="132"/>
        <v>350</v>
      </c>
      <c r="E906" s="1791">
        <f>SUM(H906+K906+N906+Q906)</f>
        <v>0</v>
      </c>
      <c r="F906" s="2022">
        <f t="shared" si="129"/>
        <v>0</v>
      </c>
      <c r="G906" s="1800"/>
      <c r="H906" s="1791"/>
      <c r="I906" s="2013"/>
      <c r="J906" s="1801"/>
      <c r="K906" s="1791"/>
      <c r="L906" s="1857"/>
      <c r="M906" s="1800">
        <v>350</v>
      </c>
      <c r="N906" s="1791"/>
      <c r="O906" s="1720">
        <f t="shared" si="135"/>
        <v>0</v>
      </c>
      <c r="P906" s="1791"/>
      <c r="Q906" s="1791"/>
      <c r="R906" s="1720"/>
    </row>
    <row r="907" spans="1:18" s="1735" customFormat="1" ht="41.25" customHeight="1" hidden="1">
      <c r="A907" s="1736"/>
      <c r="B907" s="1976"/>
      <c r="C907" s="1738"/>
      <c r="D907" s="908"/>
      <c r="E907" s="1680"/>
      <c r="F907" s="2024"/>
      <c r="G907" s="1774"/>
      <c r="H907" s="1781"/>
      <c r="I907" s="2000"/>
      <c r="J907" s="1777"/>
      <c r="K907" s="1781"/>
      <c r="L907" s="1881"/>
      <c r="M907" s="1680"/>
      <c r="N907" s="1680"/>
      <c r="O907" s="1688"/>
      <c r="P907" s="1680"/>
      <c r="Q907" s="1680"/>
      <c r="R907" s="1688"/>
    </row>
    <row r="908" spans="1:18" ht="12.75" hidden="1">
      <c r="A908" s="1722"/>
      <c r="B908" s="1997"/>
      <c r="C908" s="1693"/>
      <c r="D908" s="932"/>
      <c r="E908" s="1707"/>
      <c r="F908" s="2025"/>
      <c r="G908" s="1693"/>
      <c r="H908" s="1707"/>
      <c r="I908" s="2028"/>
      <c r="J908" s="1854"/>
      <c r="K908" s="1707"/>
      <c r="L908" s="1849"/>
      <c r="M908" s="1707"/>
      <c r="N908" s="2029"/>
      <c r="O908" s="2030"/>
      <c r="P908" s="1854"/>
      <c r="Q908" s="1707"/>
      <c r="R908" s="1674"/>
    </row>
    <row r="909" spans="1:18" ht="12.75" hidden="1">
      <c r="A909" s="1743"/>
      <c r="B909" s="1977"/>
      <c r="C909" s="1689"/>
      <c r="D909" s="893"/>
      <c r="E909" s="1690"/>
      <c r="F909" s="1998"/>
      <c r="G909" s="1689"/>
      <c r="H909" s="1690"/>
      <c r="I909" s="1912"/>
      <c r="J909" s="1745"/>
      <c r="K909" s="1690"/>
      <c r="L909" s="1746"/>
      <c r="M909" s="1690"/>
      <c r="N909" s="1884"/>
      <c r="O909" s="1695"/>
      <c r="P909" s="1745"/>
      <c r="Q909" s="1690"/>
      <c r="R909" s="1695"/>
    </row>
    <row r="910" spans="1:18" ht="12.75" hidden="1">
      <c r="A910" s="1743"/>
      <c r="B910" s="1977"/>
      <c r="C910" s="1689"/>
      <c r="D910" s="893"/>
      <c r="E910" s="1690"/>
      <c r="F910" s="1998"/>
      <c r="G910" s="1689"/>
      <c r="H910" s="1690"/>
      <c r="I910" s="1912"/>
      <c r="J910" s="1745"/>
      <c r="K910" s="1690"/>
      <c r="L910" s="1746"/>
      <c r="M910" s="1690"/>
      <c r="N910" s="1884"/>
      <c r="O910" s="1695"/>
      <c r="P910" s="1745"/>
      <c r="Q910" s="1690"/>
      <c r="R910" s="1695"/>
    </row>
    <row r="911" spans="1:18" s="1735" customFormat="1" ht="12.75" hidden="1">
      <c r="A911" s="1743"/>
      <c r="B911" s="1977"/>
      <c r="C911" s="1689"/>
      <c r="D911" s="893"/>
      <c r="E911" s="1690"/>
      <c r="F911" s="1998"/>
      <c r="G911" s="1689"/>
      <c r="H911" s="1690"/>
      <c r="I911" s="1912"/>
      <c r="J911" s="1745"/>
      <c r="K911" s="1690"/>
      <c r="L911" s="1746"/>
      <c r="M911" s="1690"/>
      <c r="N911" s="1884"/>
      <c r="O911" s="1695"/>
      <c r="P911" s="1745"/>
      <c r="Q911" s="1690"/>
      <c r="R911" s="1695"/>
    </row>
    <row r="912" spans="1:18" s="1735" customFormat="1" ht="22.5" customHeight="1" hidden="1">
      <c r="A912" s="1743"/>
      <c r="B912" s="1977"/>
      <c r="C912" s="1689"/>
      <c r="D912" s="893"/>
      <c r="E912" s="1690"/>
      <c r="F912" s="1998"/>
      <c r="G912" s="1689"/>
      <c r="H912" s="1690"/>
      <c r="I912" s="1912"/>
      <c r="J912" s="1745"/>
      <c r="K912" s="1690"/>
      <c r="L912" s="1746"/>
      <c r="M912" s="1690"/>
      <c r="N912" s="1884"/>
      <c r="O912" s="1695"/>
      <c r="P912" s="1745"/>
      <c r="Q912" s="1690"/>
      <c r="R912" s="1695"/>
    </row>
    <row r="913" spans="1:18" s="1735" customFormat="1" ht="14.25" customHeight="1" hidden="1">
      <c r="A913" s="1743"/>
      <c r="B913" s="1977"/>
      <c r="C913" s="1689"/>
      <c r="D913" s="893"/>
      <c r="E913" s="1690"/>
      <c r="F913" s="1998"/>
      <c r="G913" s="1689"/>
      <c r="H913" s="1690"/>
      <c r="I913" s="1912"/>
      <c r="J913" s="1745"/>
      <c r="K913" s="1690"/>
      <c r="L913" s="1746"/>
      <c r="M913" s="1690"/>
      <c r="N913" s="1884"/>
      <c r="O913" s="1695"/>
      <c r="P913" s="1745"/>
      <c r="Q913" s="1690"/>
      <c r="R913" s="1695"/>
    </row>
    <row r="914" spans="1:18" s="1735" customFormat="1" ht="14.25" customHeight="1" hidden="1">
      <c r="A914" s="1743"/>
      <c r="B914" s="1977"/>
      <c r="C914" s="1689"/>
      <c r="D914" s="893"/>
      <c r="E914" s="1690"/>
      <c r="F914" s="1998"/>
      <c r="G914" s="1689"/>
      <c r="H914" s="1690"/>
      <c r="I914" s="1912"/>
      <c r="J914" s="1745"/>
      <c r="K914" s="1690"/>
      <c r="L914" s="1746"/>
      <c r="M914" s="1690"/>
      <c r="N914" s="1884"/>
      <c r="O914" s="1695"/>
      <c r="P914" s="1745"/>
      <c r="Q914" s="1690"/>
      <c r="R914" s="1695"/>
    </row>
    <row r="915" spans="1:18" s="1735" customFormat="1" ht="14.25" customHeight="1" hidden="1">
      <c r="A915" s="1743"/>
      <c r="B915" s="1977"/>
      <c r="C915" s="1689"/>
      <c r="D915" s="893"/>
      <c r="E915" s="1690"/>
      <c r="F915" s="1998"/>
      <c r="G915" s="1689"/>
      <c r="H915" s="1690"/>
      <c r="I915" s="1912"/>
      <c r="J915" s="1745"/>
      <c r="K915" s="1690"/>
      <c r="L915" s="1746"/>
      <c r="M915" s="1690"/>
      <c r="N915" s="1884"/>
      <c r="O915" s="1695"/>
      <c r="P915" s="1745"/>
      <c r="Q915" s="1690"/>
      <c r="R915" s="1695"/>
    </row>
    <row r="916" spans="1:18" s="1735" customFormat="1" ht="15" customHeight="1" hidden="1">
      <c r="A916" s="1798"/>
      <c r="B916" s="1978"/>
      <c r="C916" s="1800"/>
      <c r="D916" s="925"/>
      <c r="E916" s="1791"/>
      <c r="F916" s="2022"/>
      <c r="G916" s="1800"/>
      <c r="H916" s="1791"/>
      <c r="I916" s="2013"/>
      <c r="J916" s="1801"/>
      <c r="K916" s="1791"/>
      <c r="L916" s="1857"/>
      <c r="M916" s="1791"/>
      <c r="N916" s="1918"/>
      <c r="O916" s="1974"/>
      <c r="P916" s="1801"/>
      <c r="Q916" s="1791"/>
      <c r="R916" s="1720"/>
    </row>
    <row r="917" spans="1:18" s="1735" customFormat="1" ht="30.75" customHeight="1">
      <c r="A917" s="1736">
        <v>85226</v>
      </c>
      <c r="B917" s="1976" t="s">
        <v>24</v>
      </c>
      <c r="C917" s="1738">
        <f>SUM(C918:C930)</f>
        <v>254860</v>
      </c>
      <c r="D917" s="908">
        <f aca="true" t="shared" si="136" ref="D917:D1009">G917+J917+P917+M917</f>
        <v>260940</v>
      </c>
      <c r="E917" s="1680">
        <f>H917+K917+Q917+N917</f>
        <v>115832</v>
      </c>
      <c r="F917" s="2024">
        <f aca="true" t="shared" si="137" ref="F917:F980">E917/D917*100</f>
        <v>44.39028129071818</v>
      </c>
      <c r="G917" s="1774"/>
      <c r="H917" s="1781"/>
      <c r="I917" s="2000"/>
      <c r="J917" s="1777"/>
      <c r="K917" s="1781"/>
      <c r="L917" s="1881"/>
      <c r="M917" s="1680">
        <f>SUM(M918:M930)</f>
        <v>260940</v>
      </c>
      <c r="N917" s="1680">
        <f>SUM(N918:N930)</f>
        <v>115832</v>
      </c>
      <c r="O917" s="1688">
        <f t="shared" si="135"/>
        <v>44.39028129071818</v>
      </c>
      <c r="P917" s="1680"/>
      <c r="Q917" s="1680"/>
      <c r="R917" s="1688"/>
    </row>
    <row r="918" spans="1:18" s="1735" customFormat="1" ht="24" customHeight="1">
      <c r="A918" s="1722">
        <v>3020</v>
      </c>
      <c r="B918" s="1997" t="s">
        <v>332</v>
      </c>
      <c r="C918" s="1693">
        <v>600</v>
      </c>
      <c r="D918" s="932">
        <f t="shared" si="136"/>
        <v>600</v>
      </c>
      <c r="E918" s="1707">
        <f aca="true" t="shared" si="138" ref="E918:E930">SUM(H918+K918+N918+Q918)</f>
        <v>181</v>
      </c>
      <c r="F918" s="2025">
        <f t="shared" si="137"/>
        <v>30.166666666666668</v>
      </c>
      <c r="G918" s="1693"/>
      <c r="H918" s="1707"/>
      <c r="I918" s="2028"/>
      <c r="J918" s="1854"/>
      <c r="K918" s="1707"/>
      <c r="L918" s="1849"/>
      <c r="M918" s="1693">
        <v>600</v>
      </c>
      <c r="N918" s="1707">
        <v>181</v>
      </c>
      <c r="O918" s="1674">
        <f t="shared" si="135"/>
        <v>30.166666666666668</v>
      </c>
      <c r="P918" s="1707"/>
      <c r="Q918" s="1707"/>
      <c r="R918" s="1674"/>
    </row>
    <row r="919" spans="1:18" s="1735" customFormat="1" ht="24" customHeight="1">
      <c r="A919" s="1743">
        <v>4010</v>
      </c>
      <c r="B919" s="1977" t="s">
        <v>279</v>
      </c>
      <c r="C919" s="1689">
        <v>169950</v>
      </c>
      <c r="D919" s="893">
        <f t="shared" si="136"/>
        <v>169680</v>
      </c>
      <c r="E919" s="1690">
        <f t="shared" si="138"/>
        <v>71373</v>
      </c>
      <c r="F919" s="1998">
        <f t="shared" si="137"/>
        <v>42.06329561527581</v>
      </c>
      <c r="G919" s="1689"/>
      <c r="H919" s="1690"/>
      <c r="I919" s="1912"/>
      <c r="J919" s="1745"/>
      <c r="K919" s="1690"/>
      <c r="L919" s="1746"/>
      <c r="M919" s="1689">
        <v>169680</v>
      </c>
      <c r="N919" s="1690">
        <v>71373</v>
      </c>
      <c r="O919" s="1695">
        <f t="shared" si="135"/>
        <v>42.06329561527581</v>
      </c>
      <c r="P919" s="1690"/>
      <c r="Q919" s="1690"/>
      <c r="R919" s="1695"/>
    </row>
    <row r="920" spans="1:18" s="1735" customFormat="1" ht="26.25" customHeight="1">
      <c r="A920" s="1743">
        <v>4040</v>
      </c>
      <c r="B920" s="1977" t="s">
        <v>108</v>
      </c>
      <c r="C920" s="1689">
        <v>10030</v>
      </c>
      <c r="D920" s="893">
        <f t="shared" si="136"/>
        <v>10300</v>
      </c>
      <c r="E920" s="1690">
        <f t="shared" si="138"/>
        <v>10289</v>
      </c>
      <c r="F920" s="1998">
        <f t="shared" si="137"/>
        <v>99.89320388349515</v>
      </c>
      <c r="G920" s="1689"/>
      <c r="H920" s="1690"/>
      <c r="I920" s="1912"/>
      <c r="J920" s="1745"/>
      <c r="K920" s="1690"/>
      <c r="L920" s="1746"/>
      <c r="M920" s="1689">
        <v>10300</v>
      </c>
      <c r="N920" s="1690">
        <v>10289</v>
      </c>
      <c r="O920" s="1695">
        <f t="shared" si="135"/>
        <v>99.89320388349515</v>
      </c>
      <c r="P920" s="1690"/>
      <c r="Q920" s="1690"/>
      <c r="R920" s="1695"/>
    </row>
    <row r="921" spans="1:18" s="1735" customFormat="1" ht="24" customHeight="1">
      <c r="A921" s="1743">
        <v>4110</v>
      </c>
      <c r="B921" s="1977" t="s">
        <v>110</v>
      </c>
      <c r="C921" s="1689">
        <v>31800</v>
      </c>
      <c r="D921" s="893">
        <f t="shared" si="136"/>
        <v>31800</v>
      </c>
      <c r="E921" s="1690">
        <f t="shared" si="138"/>
        <v>14638</v>
      </c>
      <c r="F921" s="1998">
        <f t="shared" si="137"/>
        <v>46.0314465408805</v>
      </c>
      <c r="G921" s="1689"/>
      <c r="H921" s="1690"/>
      <c r="I921" s="1912"/>
      <c r="J921" s="1745"/>
      <c r="K921" s="1690"/>
      <c r="L921" s="1746"/>
      <c r="M921" s="1689">
        <v>31800</v>
      </c>
      <c r="N921" s="1690">
        <v>14638</v>
      </c>
      <c r="O921" s="1695">
        <f t="shared" si="135"/>
        <v>46.0314465408805</v>
      </c>
      <c r="P921" s="1690"/>
      <c r="Q921" s="1690"/>
      <c r="R921" s="1695"/>
    </row>
    <row r="922" spans="1:18" s="1735" customFormat="1" ht="16.5" customHeight="1">
      <c r="A922" s="1743">
        <v>4120</v>
      </c>
      <c r="B922" s="1977" t="s">
        <v>208</v>
      </c>
      <c r="C922" s="1689">
        <v>4280</v>
      </c>
      <c r="D922" s="893">
        <f t="shared" si="136"/>
        <v>4280</v>
      </c>
      <c r="E922" s="1690">
        <f t="shared" si="138"/>
        <v>1972</v>
      </c>
      <c r="F922" s="1998">
        <f t="shared" si="137"/>
        <v>46.074766355140184</v>
      </c>
      <c r="G922" s="1689"/>
      <c r="H922" s="1690"/>
      <c r="I922" s="1912"/>
      <c r="J922" s="1745"/>
      <c r="K922" s="1690"/>
      <c r="L922" s="1746"/>
      <c r="M922" s="1689">
        <v>4280</v>
      </c>
      <c r="N922" s="1690">
        <v>1972</v>
      </c>
      <c r="O922" s="1695">
        <f t="shared" si="135"/>
        <v>46.074766355140184</v>
      </c>
      <c r="P922" s="1690"/>
      <c r="Q922" s="1690"/>
      <c r="R922" s="1695"/>
    </row>
    <row r="923" spans="1:18" s="1735" customFormat="1" ht="24">
      <c r="A923" s="1743">
        <v>4170</v>
      </c>
      <c r="B923" s="1977" t="s">
        <v>169</v>
      </c>
      <c r="C923" s="1689"/>
      <c r="D923" s="893">
        <f t="shared" si="136"/>
        <v>3600</v>
      </c>
      <c r="E923" s="1690">
        <f t="shared" si="138"/>
        <v>1660</v>
      </c>
      <c r="F923" s="1998">
        <f t="shared" si="137"/>
        <v>46.111111111111114</v>
      </c>
      <c r="G923" s="1689"/>
      <c r="H923" s="1690"/>
      <c r="I923" s="1912"/>
      <c r="J923" s="1745"/>
      <c r="K923" s="1690"/>
      <c r="L923" s="1746"/>
      <c r="M923" s="1689">
        <v>3600</v>
      </c>
      <c r="N923" s="1690">
        <v>1660</v>
      </c>
      <c r="O923" s="1695">
        <f t="shared" si="135"/>
        <v>46.111111111111114</v>
      </c>
      <c r="P923" s="1690"/>
      <c r="Q923" s="1690"/>
      <c r="R923" s="1695"/>
    </row>
    <row r="924" spans="1:18" s="1735" customFormat="1" ht="23.25" customHeight="1">
      <c r="A924" s="1743">
        <v>4210</v>
      </c>
      <c r="B924" s="1977" t="s">
        <v>114</v>
      </c>
      <c r="C924" s="1689">
        <v>5600</v>
      </c>
      <c r="D924" s="893">
        <f t="shared" si="136"/>
        <v>10500</v>
      </c>
      <c r="E924" s="1690">
        <f t="shared" si="138"/>
        <v>2075</v>
      </c>
      <c r="F924" s="1998">
        <f t="shared" si="137"/>
        <v>19.761904761904763</v>
      </c>
      <c r="G924" s="1689"/>
      <c r="H924" s="1690"/>
      <c r="I924" s="1912"/>
      <c r="J924" s="1745"/>
      <c r="K924" s="1690"/>
      <c r="L924" s="1746"/>
      <c r="M924" s="1689">
        <f>5600+4900</f>
        <v>10500</v>
      </c>
      <c r="N924" s="1690">
        <v>2075</v>
      </c>
      <c r="O924" s="1695">
        <f t="shared" si="135"/>
        <v>19.761904761904763</v>
      </c>
      <c r="P924" s="1690"/>
      <c r="Q924" s="1690"/>
      <c r="R924" s="1695"/>
    </row>
    <row r="925" spans="1:18" s="1735" customFormat="1" ht="15" customHeight="1">
      <c r="A925" s="1743">
        <v>4260</v>
      </c>
      <c r="B925" s="1977" t="s">
        <v>118</v>
      </c>
      <c r="C925" s="1689">
        <v>8500</v>
      </c>
      <c r="D925" s="893">
        <f t="shared" si="136"/>
        <v>8500</v>
      </c>
      <c r="E925" s="1690">
        <f t="shared" si="138"/>
        <v>2610</v>
      </c>
      <c r="F925" s="1998">
        <f t="shared" si="137"/>
        <v>30.705882352941178</v>
      </c>
      <c r="G925" s="1689"/>
      <c r="H925" s="1690"/>
      <c r="I925" s="1912"/>
      <c r="J925" s="1745"/>
      <c r="K925" s="1690"/>
      <c r="L925" s="1746"/>
      <c r="M925" s="1689">
        <v>8500</v>
      </c>
      <c r="N925" s="1690">
        <v>2610</v>
      </c>
      <c r="O925" s="1695">
        <f t="shared" si="135"/>
        <v>30.705882352941178</v>
      </c>
      <c r="P925" s="1690"/>
      <c r="Q925" s="1690"/>
      <c r="R925" s="1695"/>
    </row>
    <row r="926" spans="1:18" s="1735" customFormat="1" ht="15" customHeight="1" hidden="1">
      <c r="A926" s="1743">
        <v>4270</v>
      </c>
      <c r="B926" s="1977" t="s">
        <v>120</v>
      </c>
      <c r="C926" s="1689"/>
      <c r="D926" s="893">
        <f t="shared" si="136"/>
        <v>0</v>
      </c>
      <c r="E926" s="1690">
        <f t="shared" si="138"/>
        <v>0</v>
      </c>
      <c r="F926" s="1998" t="e">
        <f t="shared" si="137"/>
        <v>#DIV/0!</v>
      </c>
      <c r="G926" s="1689"/>
      <c r="H926" s="1690"/>
      <c r="I926" s="1912"/>
      <c r="J926" s="1745"/>
      <c r="K926" s="1690"/>
      <c r="L926" s="1746"/>
      <c r="M926" s="1689"/>
      <c r="N926" s="1690"/>
      <c r="O926" s="1695" t="e">
        <f t="shared" si="135"/>
        <v>#DIV/0!</v>
      </c>
      <c r="P926" s="1690"/>
      <c r="Q926" s="1690"/>
      <c r="R926" s="1695"/>
    </row>
    <row r="927" spans="1:18" s="1735" customFormat="1" ht="16.5" customHeight="1">
      <c r="A927" s="1743">
        <v>4300</v>
      </c>
      <c r="B927" s="1977" t="s">
        <v>122</v>
      </c>
      <c r="C927" s="1689">
        <v>17600</v>
      </c>
      <c r="D927" s="893">
        <f t="shared" si="136"/>
        <v>13950</v>
      </c>
      <c r="E927" s="1690">
        <f t="shared" si="138"/>
        <v>6416</v>
      </c>
      <c r="F927" s="1998">
        <f t="shared" si="137"/>
        <v>45.992831541218635</v>
      </c>
      <c r="G927" s="1689"/>
      <c r="H927" s="1690"/>
      <c r="I927" s="1912"/>
      <c r="J927" s="1745"/>
      <c r="K927" s="1690"/>
      <c r="L927" s="1746"/>
      <c r="M927" s="1689">
        <f>12770+1180</f>
        <v>13950</v>
      </c>
      <c r="N927" s="1690">
        <v>6416</v>
      </c>
      <c r="O927" s="1695">
        <f t="shared" si="135"/>
        <v>45.992831541218635</v>
      </c>
      <c r="P927" s="1690"/>
      <c r="Q927" s="1690"/>
      <c r="R927" s="1695"/>
    </row>
    <row r="928" spans="1:18" s="1735" customFormat="1" ht="24">
      <c r="A928" s="1743">
        <v>4350</v>
      </c>
      <c r="B928" s="1977" t="s">
        <v>172</v>
      </c>
      <c r="C928" s="1689"/>
      <c r="D928" s="893">
        <f t="shared" si="136"/>
        <v>1230</v>
      </c>
      <c r="E928" s="1690">
        <f t="shared" si="138"/>
        <v>621</v>
      </c>
      <c r="F928" s="1998">
        <f t="shared" si="137"/>
        <v>50.48780487804878</v>
      </c>
      <c r="G928" s="1689"/>
      <c r="H928" s="1690"/>
      <c r="I928" s="1912"/>
      <c r="J928" s="1745"/>
      <c r="K928" s="1690"/>
      <c r="L928" s="1746"/>
      <c r="M928" s="1689">
        <v>1230</v>
      </c>
      <c r="N928" s="1690">
        <v>621</v>
      </c>
      <c r="O928" s="1695">
        <f t="shared" si="135"/>
        <v>50.48780487804878</v>
      </c>
      <c r="P928" s="1690"/>
      <c r="Q928" s="1690"/>
      <c r="R928" s="1695"/>
    </row>
    <row r="929" spans="1:18" s="1735" customFormat="1" ht="14.25" customHeight="1">
      <c r="A929" s="1743">
        <v>4410</v>
      </c>
      <c r="B929" s="1977" t="s">
        <v>408</v>
      </c>
      <c r="C929" s="1689">
        <v>1700</v>
      </c>
      <c r="D929" s="893">
        <f t="shared" si="136"/>
        <v>1700</v>
      </c>
      <c r="E929" s="1690">
        <f t="shared" si="138"/>
        <v>397</v>
      </c>
      <c r="F929" s="1998">
        <f t="shared" si="137"/>
        <v>23.352941176470587</v>
      </c>
      <c r="G929" s="1689"/>
      <c r="H929" s="1690"/>
      <c r="I929" s="1912"/>
      <c r="J929" s="1745"/>
      <c r="K929" s="1690"/>
      <c r="L929" s="1746"/>
      <c r="M929" s="1689">
        <v>1700</v>
      </c>
      <c r="N929" s="1690">
        <v>397</v>
      </c>
      <c r="O929" s="1695">
        <f t="shared" si="135"/>
        <v>23.352941176470587</v>
      </c>
      <c r="P929" s="1690"/>
      <c r="Q929" s="1690"/>
      <c r="R929" s="1695"/>
    </row>
    <row r="930" spans="1:18" s="1735" customFormat="1" ht="14.25" customHeight="1">
      <c r="A930" s="1798">
        <v>4440</v>
      </c>
      <c r="B930" s="1978" t="s">
        <v>299</v>
      </c>
      <c r="C930" s="1689">
        <v>4800</v>
      </c>
      <c r="D930" s="893">
        <f t="shared" si="136"/>
        <v>4800</v>
      </c>
      <c r="E930" s="1690">
        <f t="shared" si="138"/>
        <v>3600</v>
      </c>
      <c r="F930" s="1998">
        <f t="shared" si="137"/>
        <v>75</v>
      </c>
      <c r="G930" s="1800"/>
      <c r="H930" s="1791"/>
      <c r="I930" s="2013"/>
      <c r="J930" s="1801"/>
      <c r="K930" s="1791"/>
      <c r="L930" s="1857"/>
      <c r="M930" s="1800">
        <v>4800</v>
      </c>
      <c r="N930" s="1791">
        <v>3600</v>
      </c>
      <c r="O930" s="1695">
        <f t="shared" si="135"/>
        <v>75</v>
      </c>
      <c r="P930" s="1791"/>
      <c r="Q930" s="1791"/>
      <c r="R930" s="1695"/>
    </row>
    <row r="931" spans="1:18" ht="36">
      <c r="A931" s="1736">
        <v>85228</v>
      </c>
      <c r="B931" s="1976" t="s">
        <v>409</v>
      </c>
      <c r="C931" s="1738">
        <f>SUM(C932:C935)</f>
        <v>34000</v>
      </c>
      <c r="D931" s="908">
        <f t="shared" si="136"/>
        <v>34000</v>
      </c>
      <c r="E931" s="1680">
        <f>H931+K931+Q931+N931</f>
        <v>6880</v>
      </c>
      <c r="F931" s="2024">
        <f t="shared" si="137"/>
        <v>20.235294117647058</v>
      </c>
      <c r="G931" s="1738">
        <f>SUM(G932:G935)</f>
        <v>34000</v>
      </c>
      <c r="H931" s="1680">
        <f>SUM(H932:H935)</f>
        <v>6880</v>
      </c>
      <c r="I931" s="1681">
        <f>H931/G931*100</f>
        <v>20.235294117647058</v>
      </c>
      <c r="J931" s="1740"/>
      <c r="K931" s="1680"/>
      <c r="L931" s="1741"/>
      <c r="M931" s="1680"/>
      <c r="N931" s="1680"/>
      <c r="O931" s="1742"/>
      <c r="P931" s="1680"/>
      <c r="Q931" s="1680"/>
      <c r="R931" s="1688"/>
    </row>
    <row r="932" spans="1:18" s="1735" customFormat="1" ht="21.75" customHeight="1">
      <c r="A932" s="1743">
        <v>4110</v>
      </c>
      <c r="B932" s="1977" t="s">
        <v>110</v>
      </c>
      <c r="C932" s="1689">
        <v>4020</v>
      </c>
      <c r="D932" s="893">
        <f t="shared" si="136"/>
        <v>4020</v>
      </c>
      <c r="E932" s="1690">
        <f>SUM(H932+K932+N932+Q932)</f>
        <v>807</v>
      </c>
      <c r="F932" s="1998">
        <f t="shared" si="137"/>
        <v>20.07462686567164</v>
      </c>
      <c r="G932" s="1689">
        <v>4020</v>
      </c>
      <c r="H932" s="1690">
        <v>807</v>
      </c>
      <c r="I932" s="1666">
        <f>H932/G932*100</f>
        <v>20.07462686567164</v>
      </c>
      <c r="J932" s="1745"/>
      <c r="K932" s="1690"/>
      <c r="L932" s="1746"/>
      <c r="M932" s="1690"/>
      <c r="N932" s="1690"/>
      <c r="O932" s="1747"/>
      <c r="P932" s="1690"/>
      <c r="Q932" s="1690"/>
      <c r="R932" s="1695"/>
    </row>
    <row r="933" spans="1:18" s="1735" customFormat="1" ht="14.25" customHeight="1">
      <c r="A933" s="1743">
        <v>4120</v>
      </c>
      <c r="B933" s="1977" t="s">
        <v>208</v>
      </c>
      <c r="C933" s="1689">
        <v>100</v>
      </c>
      <c r="D933" s="893">
        <f t="shared" si="136"/>
        <v>100</v>
      </c>
      <c r="E933" s="1690">
        <f>SUM(H933+K933+N933+Q933)</f>
        <v>33</v>
      </c>
      <c r="F933" s="1998">
        <f t="shared" si="137"/>
        <v>33</v>
      </c>
      <c r="G933" s="1689">
        <v>100</v>
      </c>
      <c r="H933" s="1690">
        <v>33</v>
      </c>
      <c r="I933" s="1666">
        <f>H933/G933*100</f>
        <v>33</v>
      </c>
      <c r="J933" s="1745"/>
      <c r="K933" s="1690"/>
      <c r="L933" s="1746"/>
      <c r="M933" s="1690"/>
      <c r="N933" s="1690"/>
      <c r="O933" s="1747"/>
      <c r="P933" s="1690"/>
      <c r="Q933" s="1690"/>
      <c r="R933" s="1695"/>
    </row>
    <row r="934" spans="1:18" s="1735" customFormat="1" ht="24">
      <c r="A934" s="1743">
        <v>4170</v>
      </c>
      <c r="B934" s="1977" t="s">
        <v>169</v>
      </c>
      <c r="C934" s="1689"/>
      <c r="D934" s="893">
        <f t="shared" si="136"/>
        <v>29880</v>
      </c>
      <c r="E934" s="1690">
        <f>SUM(H934+K934+N934+Q934)</f>
        <v>6040</v>
      </c>
      <c r="F934" s="1998">
        <f t="shared" si="137"/>
        <v>20.214190093708165</v>
      </c>
      <c r="G934" s="1689">
        <v>29880</v>
      </c>
      <c r="H934" s="1690">
        <v>6040</v>
      </c>
      <c r="I934" s="1666">
        <f>H934/G934*100</f>
        <v>20.214190093708165</v>
      </c>
      <c r="J934" s="1745"/>
      <c r="K934" s="1690"/>
      <c r="L934" s="1746"/>
      <c r="M934" s="1690"/>
      <c r="N934" s="1690"/>
      <c r="O934" s="1747"/>
      <c r="P934" s="1690"/>
      <c r="Q934" s="1690"/>
      <c r="R934" s="1695"/>
    </row>
    <row r="935" spans="1:18" s="1735" customFormat="1" ht="15.75" customHeight="1">
      <c r="A935" s="1798">
        <v>4300</v>
      </c>
      <c r="B935" s="1977" t="s">
        <v>171</v>
      </c>
      <c r="C935" s="1689">
        <v>29880</v>
      </c>
      <c r="D935" s="893">
        <f t="shared" si="136"/>
        <v>0</v>
      </c>
      <c r="E935" s="1690">
        <f>SUM(H935+K935+N935+Q935)</f>
        <v>0</v>
      </c>
      <c r="F935" s="1998"/>
      <c r="G935" s="1689"/>
      <c r="H935" s="1690"/>
      <c r="I935" s="1666"/>
      <c r="J935" s="1745"/>
      <c r="K935" s="1690"/>
      <c r="L935" s="1746"/>
      <c r="M935" s="1690"/>
      <c r="N935" s="1690"/>
      <c r="O935" s="1747"/>
      <c r="P935" s="1690"/>
      <c r="Q935" s="1690"/>
      <c r="R935" s="1695"/>
    </row>
    <row r="936" spans="1:18" s="1771" customFormat="1" ht="19.5" customHeight="1" hidden="1">
      <c r="A936" s="1858">
        <v>85334</v>
      </c>
      <c r="B936" s="2018" t="s">
        <v>410</v>
      </c>
      <c r="C936" s="886"/>
      <c r="D936" s="908">
        <f t="shared" si="136"/>
        <v>0</v>
      </c>
      <c r="E936" s="908">
        <f>H936+K936+Q936+N936</f>
        <v>0</v>
      </c>
      <c r="F936" s="2031" t="e">
        <f t="shared" si="137"/>
        <v>#DIV/0!</v>
      </c>
      <c r="G936" s="886"/>
      <c r="H936" s="908"/>
      <c r="I936" s="1681"/>
      <c r="J936" s="1816"/>
      <c r="K936" s="908"/>
      <c r="L936" s="1741"/>
      <c r="M936" s="908"/>
      <c r="N936" s="908"/>
      <c r="O936" s="1817"/>
      <c r="P936" s="908">
        <f>SUM(P937)</f>
        <v>0</v>
      </c>
      <c r="Q936" s="908">
        <f>SUM(Q937)</f>
        <v>0</v>
      </c>
      <c r="R936" s="2032" t="e">
        <f>Q936/P936*100</f>
        <v>#DIV/0!</v>
      </c>
    </row>
    <row r="937" spans="1:18" s="1735" customFormat="1" ht="14.25" customHeight="1" hidden="1">
      <c r="A937" s="1772">
        <v>3110</v>
      </c>
      <c r="B937" s="2027" t="s">
        <v>388</v>
      </c>
      <c r="C937" s="1774"/>
      <c r="D937" s="919">
        <f t="shared" si="136"/>
        <v>0</v>
      </c>
      <c r="E937" s="919">
        <f>H937+K937+Q937+N937</f>
        <v>0</v>
      </c>
      <c r="F937" s="2024" t="e">
        <f t="shared" si="137"/>
        <v>#DIV/0!</v>
      </c>
      <c r="G937" s="1774"/>
      <c r="H937" s="1781"/>
      <c r="I937" s="1681"/>
      <c r="J937" s="1777"/>
      <c r="K937" s="1781"/>
      <c r="L937" s="1881"/>
      <c r="M937" s="1781"/>
      <c r="N937" s="1781"/>
      <c r="O937" s="1742"/>
      <c r="P937" s="1781"/>
      <c r="Q937" s="1781"/>
      <c r="R937" s="2033" t="e">
        <f>Q937/P937*100</f>
        <v>#DIV/0!</v>
      </c>
    </row>
    <row r="938" spans="1:18" ht="30.75" customHeight="1">
      <c r="A938" s="1736">
        <v>85295</v>
      </c>
      <c r="B938" s="1976" t="s">
        <v>829</v>
      </c>
      <c r="C938" s="1678">
        <f>SUM(C943:C952)+C939+C954+C955</f>
        <v>198400</v>
      </c>
      <c r="D938" s="908">
        <f t="shared" si="136"/>
        <v>595200</v>
      </c>
      <c r="E938" s="1680">
        <f>H938+K938+Q938+N938</f>
        <v>216203</v>
      </c>
      <c r="F938" s="2024">
        <f t="shared" si="137"/>
        <v>36.32442876344086</v>
      </c>
      <c r="G938" s="1678">
        <f>SUM(G943:G954)+G939+G942</f>
        <v>595200</v>
      </c>
      <c r="H938" s="1687">
        <f>SUM(H943:H954)+H939+H942</f>
        <v>216203</v>
      </c>
      <c r="I938" s="1681">
        <f>H938/G938*100</f>
        <v>36.32442876344086</v>
      </c>
      <c r="J938" s="1678"/>
      <c r="K938" s="1687"/>
      <c r="L938" s="2034"/>
      <c r="M938" s="2035"/>
      <c r="N938" s="1687"/>
      <c r="O938" s="1742"/>
      <c r="P938" s="1792"/>
      <c r="Q938" s="1792"/>
      <c r="R938" s="1688"/>
    </row>
    <row r="939" spans="1:18" s="1735" customFormat="1" ht="59.25" customHeight="1">
      <c r="A939" s="1722">
        <v>2820</v>
      </c>
      <c r="B939" s="2036" t="s">
        <v>411</v>
      </c>
      <c r="C939" s="1693">
        <v>174000</v>
      </c>
      <c r="D939" s="932">
        <f t="shared" si="136"/>
        <v>174000</v>
      </c>
      <c r="E939" s="932">
        <f aca="true" t="shared" si="139" ref="E939:E960">SUM(H939+K939+N939+Q939)</f>
        <v>92000</v>
      </c>
      <c r="F939" s="2025">
        <f t="shared" si="137"/>
        <v>52.87356321839081</v>
      </c>
      <c r="G939" s="1693">
        <v>174000</v>
      </c>
      <c r="H939" s="1707">
        <v>92000</v>
      </c>
      <c r="I939" s="1691">
        <f>H939/G939*100</f>
        <v>52.87356321839081</v>
      </c>
      <c r="J939" s="1854"/>
      <c r="K939" s="1707"/>
      <c r="L939" s="1849"/>
      <c r="M939" s="1707"/>
      <c r="N939" s="1707"/>
      <c r="O939" s="1855"/>
      <c r="P939" s="1707"/>
      <c r="Q939" s="1707"/>
      <c r="R939" s="1674"/>
    </row>
    <row r="940" spans="1:18" s="1980" customFormat="1" ht="36" hidden="1">
      <c r="A940" s="1805"/>
      <c r="B940" s="2037" t="s">
        <v>412</v>
      </c>
      <c r="C940" s="1807"/>
      <c r="D940" s="893">
        <f t="shared" si="136"/>
        <v>0</v>
      </c>
      <c r="E940" s="893">
        <f t="shared" si="139"/>
        <v>0</v>
      </c>
      <c r="F940" s="1998" t="e">
        <f t="shared" si="137"/>
        <v>#DIV/0!</v>
      </c>
      <c r="G940" s="1807"/>
      <c r="H940" s="1808"/>
      <c r="I940" s="1666" t="e">
        <f>H940/G940*100</f>
        <v>#DIV/0!</v>
      </c>
      <c r="J940" s="1810"/>
      <c r="K940" s="1808"/>
      <c r="L940" s="1809"/>
      <c r="M940" s="1808"/>
      <c r="N940" s="1808"/>
      <c r="O940" s="1812"/>
      <c r="P940" s="1808"/>
      <c r="Q940" s="1808"/>
      <c r="R940" s="1879"/>
    </row>
    <row r="941" spans="1:18" s="1962" customFormat="1" ht="34.5" customHeight="1" hidden="1">
      <c r="A941" s="2038"/>
      <c r="B941" s="2039" t="s">
        <v>413</v>
      </c>
      <c r="C941" s="2040"/>
      <c r="D941" s="932">
        <f t="shared" si="136"/>
        <v>0</v>
      </c>
      <c r="E941" s="932">
        <f t="shared" si="139"/>
        <v>0</v>
      </c>
      <c r="F941" s="2025" t="e">
        <f t="shared" si="137"/>
        <v>#DIV/0!</v>
      </c>
      <c r="G941" s="2040"/>
      <c r="H941" s="2041"/>
      <c r="I941" s="1691" t="e">
        <f>H941/G941*100</f>
        <v>#DIV/0!</v>
      </c>
      <c r="J941" s="2042"/>
      <c r="K941" s="2043"/>
      <c r="L941" s="2044"/>
      <c r="M941" s="2043"/>
      <c r="N941" s="2043"/>
      <c r="O941" s="2044"/>
      <c r="P941" s="2043"/>
      <c r="Q941" s="2043"/>
      <c r="R941" s="1891"/>
    </row>
    <row r="942" spans="1:18" s="1771" customFormat="1" ht="34.5" customHeight="1">
      <c r="A942" s="1818">
        <v>3020</v>
      </c>
      <c r="B942" s="2005" t="s">
        <v>332</v>
      </c>
      <c r="C942" s="1910"/>
      <c r="D942" s="893">
        <f t="shared" si="136"/>
        <v>2000</v>
      </c>
      <c r="E942" s="893">
        <f t="shared" si="139"/>
        <v>0</v>
      </c>
      <c r="F942" s="1998">
        <f t="shared" si="137"/>
        <v>0</v>
      </c>
      <c r="G942" s="1910">
        <v>2000</v>
      </c>
      <c r="H942" s="1906"/>
      <c r="I942" s="1666">
        <f>H942/G942*100</f>
        <v>0</v>
      </c>
      <c r="J942" s="1911"/>
      <c r="K942" s="1906"/>
      <c r="L942" s="1746"/>
      <c r="M942" s="1906"/>
      <c r="N942" s="1906"/>
      <c r="O942" s="1746"/>
      <c r="P942" s="1906"/>
      <c r="Q942" s="1906"/>
      <c r="R942" s="1789"/>
    </row>
    <row r="943" spans="1:18" s="1735" customFormat="1" ht="12.75">
      <c r="A943" s="1743">
        <v>3110</v>
      </c>
      <c r="B943" s="2006" t="s">
        <v>388</v>
      </c>
      <c r="C943" s="1689"/>
      <c r="D943" s="893">
        <f t="shared" si="136"/>
        <v>325700</v>
      </c>
      <c r="E943" s="1690">
        <f t="shared" si="139"/>
        <v>116329</v>
      </c>
      <c r="F943" s="1998">
        <f t="shared" si="137"/>
        <v>35.716610377648145</v>
      </c>
      <c r="G943" s="1689">
        <v>325700</v>
      </c>
      <c r="H943" s="893">
        <v>116329</v>
      </c>
      <c r="I943" s="1666">
        <f aca="true" t="shared" si="140" ref="I943:I954">H943/G943*100</f>
        <v>35.716610377648145</v>
      </c>
      <c r="J943" s="1745"/>
      <c r="K943" s="1690"/>
      <c r="L943" s="1809"/>
      <c r="M943" s="1690"/>
      <c r="N943" s="1690"/>
      <c r="O943" s="1747"/>
      <c r="P943" s="1690"/>
      <c r="Q943" s="1690"/>
      <c r="R943" s="1695"/>
    </row>
    <row r="944" spans="1:18" s="1735" customFormat="1" ht="24">
      <c r="A944" s="1743">
        <v>4010</v>
      </c>
      <c r="B944" s="1977" t="s">
        <v>279</v>
      </c>
      <c r="C944" s="1689"/>
      <c r="D944" s="893">
        <f t="shared" si="136"/>
        <v>56040</v>
      </c>
      <c r="E944" s="1690">
        <f t="shared" si="139"/>
        <v>0</v>
      </c>
      <c r="F944" s="1998">
        <f t="shared" si="137"/>
        <v>0</v>
      </c>
      <c r="G944" s="1689">
        <v>56040</v>
      </c>
      <c r="H944" s="893"/>
      <c r="I944" s="1666">
        <f t="shared" si="140"/>
        <v>0</v>
      </c>
      <c r="J944" s="1745"/>
      <c r="K944" s="1690"/>
      <c r="L944" s="1809"/>
      <c r="M944" s="1690"/>
      <c r="N944" s="1690"/>
      <c r="O944" s="1747"/>
      <c r="P944" s="1690"/>
      <c r="Q944" s="1690"/>
      <c r="R944" s="1695"/>
    </row>
    <row r="945" spans="1:18" s="1735" customFormat="1" ht="24">
      <c r="A945" s="1743">
        <v>4110</v>
      </c>
      <c r="B945" s="1977" t="s">
        <v>110</v>
      </c>
      <c r="C945" s="1689"/>
      <c r="D945" s="893">
        <f t="shared" si="136"/>
        <v>9140</v>
      </c>
      <c r="E945" s="1690">
        <f t="shared" si="139"/>
        <v>0</v>
      </c>
      <c r="F945" s="1998">
        <f t="shared" si="137"/>
        <v>0</v>
      </c>
      <c r="G945" s="1689">
        <v>9140</v>
      </c>
      <c r="H945" s="893"/>
      <c r="I945" s="1666">
        <f t="shared" si="140"/>
        <v>0</v>
      </c>
      <c r="J945" s="1745"/>
      <c r="K945" s="1690"/>
      <c r="L945" s="1809"/>
      <c r="M945" s="1690"/>
      <c r="N945" s="1690"/>
      <c r="O945" s="1747"/>
      <c r="P945" s="1690"/>
      <c r="Q945" s="1690"/>
      <c r="R945" s="1695"/>
    </row>
    <row r="946" spans="1:18" s="1735" customFormat="1" ht="12.75">
      <c r="A946" s="1743">
        <v>4120</v>
      </c>
      <c r="B946" s="1977" t="s">
        <v>208</v>
      </c>
      <c r="C946" s="1689"/>
      <c r="D946" s="893">
        <f t="shared" si="136"/>
        <v>1250</v>
      </c>
      <c r="E946" s="1690">
        <f t="shared" si="139"/>
        <v>0</v>
      </c>
      <c r="F946" s="1998">
        <f t="shared" si="137"/>
        <v>0</v>
      </c>
      <c r="G946" s="1689">
        <v>1250</v>
      </c>
      <c r="H946" s="893"/>
      <c r="I946" s="1666">
        <f t="shared" si="140"/>
        <v>0</v>
      </c>
      <c r="J946" s="1745"/>
      <c r="K946" s="1690"/>
      <c r="L946" s="1809"/>
      <c r="M946" s="1690"/>
      <c r="N946" s="1690"/>
      <c r="O946" s="1747"/>
      <c r="P946" s="1690"/>
      <c r="Q946" s="1690"/>
      <c r="R946" s="1695"/>
    </row>
    <row r="947" spans="1:18" s="1735" customFormat="1" ht="22.5" customHeight="1">
      <c r="A947" s="1743">
        <v>4210</v>
      </c>
      <c r="B947" s="2006" t="s">
        <v>414</v>
      </c>
      <c r="C947" s="1689">
        <v>9800</v>
      </c>
      <c r="D947" s="893">
        <f t="shared" si="136"/>
        <v>8300</v>
      </c>
      <c r="E947" s="1690">
        <f>SUM(H947+K947+N947+Q947)</f>
        <v>555</v>
      </c>
      <c r="F947" s="1998">
        <f>E947/D947*100</f>
        <v>6.686746987951807</v>
      </c>
      <c r="G947" s="1689">
        <f>9800-1500</f>
        <v>8300</v>
      </c>
      <c r="H947" s="893">
        <v>555</v>
      </c>
      <c r="I947" s="1666">
        <f t="shared" si="140"/>
        <v>6.686746987951807</v>
      </c>
      <c r="J947" s="1745"/>
      <c r="K947" s="1690"/>
      <c r="L947" s="1746"/>
      <c r="M947" s="1690"/>
      <c r="N947" s="1690"/>
      <c r="O947" s="1747"/>
      <c r="P947" s="1690"/>
      <c r="Q947" s="1690"/>
      <c r="R947" s="1695"/>
    </row>
    <row r="948" spans="1:18" s="1735" customFormat="1" ht="22.5" customHeight="1" hidden="1">
      <c r="A948" s="1743">
        <v>4210</v>
      </c>
      <c r="B948" s="2006" t="s">
        <v>415</v>
      </c>
      <c r="C948" s="1689"/>
      <c r="D948" s="893">
        <f t="shared" si="136"/>
        <v>0</v>
      </c>
      <c r="E948" s="1690">
        <f>SUM(H948+K948+N948+Q948)</f>
        <v>0</v>
      </c>
      <c r="F948" s="1998" t="e">
        <f>E948/D948*100</f>
        <v>#DIV/0!</v>
      </c>
      <c r="G948" s="1689"/>
      <c r="H948" s="893"/>
      <c r="I948" s="1666" t="e">
        <f t="shared" si="140"/>
        <v>#DIV/0!</v>
      </c>
      <c r="J948" s="1745"/>
      <c r="K948" s="1690"/>
      <c r="L948" s="1746"/>
      <c r="M948" s="1690"/>
      <c r="N948" s="1690"/>
      <c r="O948" s="1747"/>
      <c r="P948" s="1690"/>
      <c r="Q948" s="1690"/>
      <c r="R948" s="1695"/>
    </row>
    <row r="949" spans="1:18" s="1735" customFormat="1" ht="12.75">
      <c r="A949" s="1743">
        <v>4280</v>
      </c>
      <c r="B949" s="2006" t="s">
        <v>170</v>
      </c>
      <c r="C949" s="1689"/>
      <c r="D949" s="893">
        <f t="shared" si="136"/>
        <v>500</v>
      </c>
      <c r="E949" s="1690">
        <f>SUM(H949+K949+N949+Q949)</f>
        <v>0</v>
      </c>
      <c r="F949" s="1998">
        <f>E949/D949*100</f>
        <v>0</v>
      </c>
      <c r="G949" s="1689">
        <v>500</v>
      </c>
      <c r="H949" s="893"/>
      <c r="I949" s="1666">
        <f t="shared" si="140"/>
        <v>0</v>
      </c>
      <c r="J949" s="1745"/>
      <c r="K949" s="1690"/>
      <c r="L949" s="1746"/>
      <c r="M949" s="1690"/>
      <c r="N949" s="1690"/>
      <c r="O949" s="1747"/>
      <c r="P949" s="1690"/>
      <c r="Q949" s="1690"/>
      <c r="R949" s="1695"/>
    </row>
    <row r="950" spans="1:18" s="1735" customFormat="1" ht="12.75">
      <c r="A950" s="1743">
        <v>4440</v>
      </c>
      <c r="B950" s="2006" t="s">
        <v>299</v>
      </c>
      <c r="C950" s="1689"/>
      <c r="D950" s="893">
        <f t="shared" si="136"/>
        <v>3670</v>
      </c>
      <c r="E950" s="1690">
        <f>SUM(H950+K950+N950+Q950)</f>
        <v>0</v>
      </c>
      <c r="F950" s="1998">
        <f>E950/D950*100</f>
        <v>0</v>
      </c>
      <c r="G950" s="1689">
        <v>3670</v>
      </c>
      <c r="H950" s="893"/>
      <c r="I950" s="1666">
        <f t="shared" si="140"/>
        <v>0</v>
      </c>
      <c r="J950" s="1745"/>
      <c r="K950" s="1690"/>
      <c r="L950" s="1746"/>
      <c r="M950" s="1690"/>
      <c r="N950" s="1690"/>
      <c r="O950" s="1747"/>
      <c r="P950" s="1690"/>
      <c r="Q950" s="1690"/>
      <c r="R950" s="1695"/>
    </row>
    <row r="951" spans="1:18" ht="24" customHeight="1">
      <c r="A951" s="1743">
        <v>4300</v>
      </c>
      <c r="B951" s="1977" t="s">
        <v>416</v>
      </c>
      <c r="C951" s="1689">
        <v>6600</v>
      </c>
      <c r="D951" s="893">
        <f t="shared" si="136"/>
        <v>6600</v>
      </c>
      <c r="E951" s="1690">
        <f t="shared" si="139"/>
        <v>1324</v>
      </c>
      <c r="F951" s="1990">
        <f t="shared" si="137"/>
        <v>20.06060606060606</v>
      </c>
      <c r="G951" s="1689">
        <v>6600</v>
      </c>
      <c r="H951" s="1690">
        <v>1324</v>
      </c>
      <c r="I951" s="1666">
        <f t="shared" si="140"/>
        <v>20.06060606060606</v>
      </c>
      <c r="J951" s="1745"/>
      <c r="K951" s="1690"/>
      <c r="L951" s="1746"/>
      <c r="M951" s="1690"/>
      <c r="N951" s="1690"/>
      <c r="O951" s="1747"/>
      <c r="P951" s="1690"/>
      <c r="Q951" s="1690"/>
      <c r="R951" s="1695"/>
    </row>
    <row r="952" spans="1:18" s="1735" customFormat="1" ht="24.75" customHeight="1" thickBot="1">
      <c r="A952" s="1743">
        <v>4300</v>
      </c>
      <c r="B952" s="1977" t="s">
        <v>417</v>
      </c>
      <c r="C952" s="1689">
        <v>8000</v>
      </c>
      <c r="D952" s="893">
        <f t="shared" si="136"/>
        <v>8000</v>
      </c>
      <c r="E952" s="1690">
        <f t="shared" si="139"/>
        <v>5995</v>
      </c>
      <c r="F952" s="1990">
        <f t="shared" si="137"/>
        <v>74.9375</v>
      </c>
      <c r="G952" s="1689">
        <v>8000</v>
      </c>
      <c r="H952" s="1690">
        <v>5995</v>
      </c>
      <c r="I952" s="1666">
        <f t="shared" si="140"/>
        <v>74.9375</v>
      </c>
      <c r="J952" s="1745"/>
      <c r="K952" s="1690"/>
      <c r="L952" s="1746"/>
      <c r="M952" s="1690"/>
      <c r="N952" s="1690"/>
      <c r="O952" s="1669"/>
      <c r="P952" s="1690"/>
      <c r="Q952" s="1690"/>
      <c r="R952" s="1695"/>
    </row>
    <row r="953" spans="1:18" s="1735" customFormat="1" ht="24.75" customHeight="1" hidden="1">
      <c r="A953" s="1743">
        <v>4300</v>
      </c>
      <c r="B953" s="1977" t="s">
        <v>418</v>
      </c>
      <c r="C953" s="1689"/>
      <c r="D953" s="893">
        <f t="shared" si="136"/>
        <v>0</v>
      </c>
      <c r="E953" s="1690">
        <f t="shared" si="139"/>
        <v>0</v>
      </c>
      <c r="F953" s="1990" t="e">
        <f>E953/D953*100</f>
        <v>#DIV/0!</v>
      </c>
      <c r="G953" s="1689"/>
      <c r="H953" s="1690"/>
      <c r="I953" s="1666" t="e">
        <f t="shared" si="140"/>
        <v>#DIV/0!</v>
      </c>
      <c r="J953" s="1745"/>
      <c r="K953" s="1690"/>
      <c r="L953" s="1746"/>
      <c r="M953" s="1690"/>
      <c r="N953" s="1690"/>
      <c r="O953" s="1669"/>
      <c r="P953" s="1690"/>
      <c r="Q953" s="1690"/>
      <c r="R953" s="1889"/>
    </row>
    <row r="954" spans="1:18" s="1735" customFormat="1" ht="96" customHeight="1" hidden="1">
      <c r="A954" s="1743">
        <v>6230</v>
      </c>
      <c r="B954" s="2006" t="s">
        <v>419</v>
      </c>
      <c r="C954" s="1689"/>
      <c r="D954" s="893">
        <f t="shared" si="136"/>
        <v>0</v>
      </c>
      <c r="E954" s="1690">
        <f t="shared" si="139"/>
        <v>0</v>
      </c>
      <c r="F954" s="1990" t="e">
        <f>E954/D954*100</f>
        <v>#DIV/0!</v>
      </c>
      <c r="G954" s="1689"/>
      <c r="H954" s="1690"/>
      <c r="I954" s="1666" t="e">
        <f t="shared" si="140"/>
        <v>#DIV/0!</v>
      </c>
      <c r="J954" s="1745"/>
      <c r="K954" s="1690"/>
      <c r="L954" s="1746"/>
      <c r="M954" s="1690"/>
      <c r="N954" s="1690"/>
      <c r="O954" s="1669"/>
      <c r="P954" s="1690"/>
      <c r="Q954" s="1690"/>
      <c r="R954" s="1889"/>
    </row>
    <row r="955" spans="1:18" s="1771" customFormat="1" ht="24.75" hidden="1" thickBot="1">
      <c r="A955" s="1783"/>
      <c r="B955" s="2018" t="s">
        <v>420</v>
      </c>
      <c r="C955" s="886"/>
      <c r="D955" s="908">
        <f t="shared" si="136"/>
        <v>0</v>
      </c>
      <c r="E955" s="908">
        <f t="shared" si="139"/>
        <v>0</v>
      </c>
      <c r="F955" s="1979" t="e">
        <f aca="true" t="shared" si="141" ref="F955:F960">E955/D955*100</f>
        <v>#DIV/0!</v>
      </c>
      <c r="G955" s="1984"/>
      <c r="H955" s="908"/>
      <c r="I955" s="1698"/>
      <c r="J955" s="1816"/>
      <c r="K955" s="908"/>
      <c r="L955" s="1741"/>
      <c r="M955" s="886">
        <f>SUM(M956:M960)</f>
        <v>0</v>
      </c>
      <c r="N955" s="908">
        <f>SUM(N956:N960)</f>
        <v>0</v>
      </c>
      <c r="O955" s="1698" t="e">
        <f aca="true" t="shared" si="142" ref="O955:O960">N955/M955*100</f>
        <v>#DIV/0!</v>
      </c>
      <c r="P955" s="908"/>
      <c r="Q955" s="908"/>
      <c r="R955" s="909"/>
    </row>
    <row r="956" spans="1:18" s="1735" customFormat="1" ht="24.75" hidden="1" thickBot="1">
      <c r="A956" s="1743">
        <v>4110</v>
      </c>
      <c r="B956" s="1977" t="s">
        <v>110</v>
      </c>
      <c r="C956" s="1689"/>
      <c r="D956" s="893">
        <f t="shared" si="136"/>
        <v>0</v>
      </c>
      <c r="E956" s="1690">
        <f t="shared" si="139"/>
        <v>0</v>
      </c>
      <c r="F956" s="1990" t="e">
        <f t="shared" si="141"/>
        <v>#DIV/0!</v>
      </c>
      <c r="G956" s="1689"/>
      <c r="H956" s="1690"/>
      <c r="I956" s="1666"/>
      <c r="J956" s="1745"/>
      <c r="K956" s="1690"/>
      <c r="L956" s="1746"/>
      <c r="M956" s="1689"/>
      <c r="N956" s="1690"/>
      <c r="O956" s="2045" t="e">
        <f t="shared" si="142"/>
        <v>#DIV/0!</v>
      </c>
      <c r="P956" s="1690"/>
      <c r="Q956" s="1690"/>
      <c r="R956" s="1889"/>
    </row>
    <row r="957" spans="1:18" s="1735" customFormat="1" ht="13.5" hidden="1" thickBot="1">
      <c r="A957" s="1743">
        <v>4120</v>
      </c>
      <c r="B957" s="1977" t="s">
        <v>208</v>
      </c>
      <c r="C957" s="1689"/>
      <c r="D957" s="893">
        <f t="shared" si="136"/>
        <v>0</v>
      </c>
      <c r="E957" s="1690">
        <f t="shared" si="139"/>
        <v>0</v>
      </c>
      <c r="F957" s="1990" t="e">
        <f t="shared" si="141"/>
        <v>#DIV/0!</v>
      </c>
      <c r="G957" s="1689"/>
      <c r="H957" s="1690"/>
      <c r="I957" s="1666"/>
      <c r="J957" s="1745"/>
      <c r="K957" s="1690"/>
      <c r="L957" s="1746"/>
      <c r="M957" s="1689"/>
      <c r="N957" s="1690"/>
      <c r="O957" s="2045" t="e">
        <f t="shared" si="142"/>
        <v>#DIV/0!</v>
      </c>
      <c r="P957" s="1690"/>
      <c r="Q957" s="1690"/>
      <c r="R957" s="1889"/>
    </row>
    <row r="958" spans="1:18" s="1735" customFormat="1" ht="24.75" hidden="1" thickBot="1">
      <c r="A958" s="1743">
        <v>4210</v>
      </c>
      <c r="B958" s="1977" t="s">
        <v>114</v>
      </c>
      <c r="C958" s="1689"/>
      <c r="D958" s="893">
        <f t="shared" si="136"/>
        <v>0</v>
      </c>
      <c r="E958" s="1690">
        <f t="shared" si="139"/>
        <v>0</v>
      </c>
      <c r="F958" s="1990" t="e">
        <f t="shared" si="141"/>
        <v>#DIV/0!</v>
      </c>
      <c r="G958" s="1689"/>
      <c r="H958" s="1690"/>
      <c r="I958" s="1666"/>
      <c r="J958" s="1745"/>
      <c r="K958" s="1690"/>
      <c r="L958" s="1746"/>
      <c r="M958" s="1689"/>
      <c r="N958" s="1690"/>
      <c r="O958" s="2045" t="e">
        <f t="shared" si="142"/>
        <v>#DIV/0!</v>
      </c>
      <c r="P958" s="1690"/>
      <c r="Q958" s="1690"/>
      <c r="R958" s="1889"/>
    </row>
    <row r="959" spans="1:18" s="1735" customFormat="1" ht="36.75" hidden="1" thickBot="1">
      <c r="A959" s="1743">
        <v>4240</v>
      </c>
      <c r="B959" s="1977" t="s">
        <v>325</v>
      </c>
      <c r="C959" s="1689"/>
      <c r="D959" s="893">
        <f t="shared" si="136"/>
        <v>0</v>
      </c>
      <c r="E959" s="1690">
        <f t="shared" si="139"/>
        <v>0</v>
      </c>
      <c r="F959" s="1990" t="e">
        <f>E959/D959*100</f>
        <v>#DIV/0!</v>
      </c>
      <c r="G959" s="1689"/>
      <c r="H959" s="1690"/>
      <c r="I959" s="1666"/>
      <c r="J959" s="1745"/>
      <c r="K959" s="1690"/>
      <c r="L959" s="1746"/>
      <c r="M959" s="1689"/>
      <c r="N959" s="1690"/>
      <c r="O959" s="2045" t="e">
        <f t="shared" si="142"/>
        <v>#DIV/0!</v>
      </c>
      <c r="P959" s="1690"/>
      <c r="Q959" s="1690"/>
      <c r="R959" s="1889"/>
    </row>
    <row r="960" spans="1:18" s="1735" customFormat="1" ht="13.5" hidden="1" thickBot="1">
      <c r="A960" s="1743">
        <v>4300</v>
      </c>
      <c r="B960" s="1977" t="s">
        <v>122</v>
      </c>
      <c r="C960" s="1689"/>
      <c r="D960" s="893">
        <f t="shared" si="136"/>
        <v>0</v>
      </c>
      <c r="E960" s="1690">
        <f t="shared" si="139"/>
        <v>0</v>
      </c>
      <c r="F960" s="1990" t="e">
        <f t="shared" si="141"/>
        <v>#DIV/0!</v>
      </c>
      <c r="G960" s="1689"/>
      <c r="H960" s="1690"/>
      <c r="I960" s="1666"/>
      <c r="J960" s="1745"/>
      <c r="K960" s="1690"/>
      <c r="L960" s="1746"/>
      <c r="M960" s="1689"/>
      <c r="N960" s="1690"/>
      <c r="O960" s="2045" t="e">
        <f t="shared" si="142"/>
        <v>#DIV/0!</v>
      </c>
      <c r="P960" s="1690"/>
      <c r="Q960" s="1690"/>
      <c r="R960" s="1889"/>
    </row>
    <row r="961" spans="1:18" s="1771" customFormat="1" ht="37.5" thickBot="1" thickTop="1">
      <c r="A961" s="1755">
        <v>853</v>
      </c>
      <c r="B961" s="2046" t="s">
        <v>421</v>
      </c>
      <c r="C961" s="875">
        <f>C962+C966+C964</f>
        <v>2066665</v>
      </c>
      <c r="D961" s="876">
        <f>D962+D966+D964</f>
        <v>2084665</v>
      </c>
      <c r="E961" s="876">
        <f>E962+E966+E964</f>
        <v>1019652</v>
      </c>
      <c r="F961" s="2047">
        <f>E961/D961*100</f>
        <v>48.91203142951026</v>
      </c>
      <c r="G961" s="875">
        <f>G962+G966+G964</f>
        <v>1945500</v>
      </c>
      <c r="H961" s="876">
        <f>H962+H966+H964</f>
        <v>944998</v>
      </c>
      <c r="I961" s="1757">
        <f>H961/G961*100</f>
        <v>48.57352865587253</v>
      </c>
      <c r="J961" s="1759"/>
      <c r="K961" s="876"/>
      <c r="L961" s="1733"/>
      <c r="M961" s="1759">
        <f>M962+M966</f>
        <v>33165</v>
      </c>
      <c r="N961" s="876">
        <f>N962+N966</f>
        <v>17583</v>
      </c>
      <c r="O961" s="1757">
        <f>N961/M961*100</f>
        <v>53.01673450927182</v>
      </c>
      <c r="P961" s="876">
        <f>P966</f>
        <v>106000</v>
      </c>
      <c r="Q961" s="876">
        <f>Q966</f>
        <v>57071</v>
      </c>
      <c r="R961" s="877">
        <f>Q961/P961*100</f>
        <v>53.84056603773585</v>
      </c>
    </row>
    <row r="962" spans="1:18" s="1735" customFormat="1" ht="13.5" thickTop="1">
      <c r="A962" s="1736">
        <v>85305</v>
      </c>
      <c r="B962" s="1976" t="s">
        <v>858</v>
      </c>
      <c r="C962" s="1738">
        <f>SUM(C963:C963)</f>
        <v>1800000</v>
      </c>
      <c r="D962" s="908">
        <f aca="true" t="shared" si="143" ref="D962:D974">G962+J962+P962+M962</f>
        <v>1836000</v>
      </c>
      <c r="E962" s="1680">
        <f>SUM(E963:E963)</f>
        <v>944998</v>
      </c>
      <c r="F962" s="2024">
        <f aca="true" t="shared" si="144" ref="F962:F974">E962/D962*100</f>
        <v>51.47047930283224</v>
      </c>
      <c r="G962" s="1738">
        <f>SUM(G963:G963)</f>
        <v>1836000</v>
      </c>
      <c r="H962" s="1680">
        <f>SUM(H963:H963)</f>
        <v>944998</v>
      </c>
      <c r="I962" s="1681">
        <f>H962/G962*100</f>
        <v>51.47047930283224</v>
      </c>
      <c r="J962" s="1740"/>
      <c r="K962" s="1680"/>
      <c r="L962" s="1741"/>
      <c r="M962" s="1680"/>
      <c r="N962" s="1680"/>
      <c r="O962" s="1742"/>
      <c r="P962" s="1680"/>
      <c r="Q962" s="1680"/>
      <c r="R962" s="1782"/>
    </row>
    <row r="963" spans="1:18" s="1735" customFormat="1" ht="36">
      <c r="A963" s="1772">
        <v>2510</v>
      </c>
      <c r="B963" s="2027" t="s">
        <v>826</v>
      </c>
      <c r="C963" s="1774">
        <v>1800000</v>
      </c>
      <c r="D963" s="919">
        <f t="shared" si="143"/>
        <v>1836000</v>
      </c>
      <c r="E963" s="1781">
        <f>SUM(H963+K963+N963+Q963)</f>
        <v>944998</v>
      </c>
      <c r="F963" s="2024">
        <f t="shared" si="144"/>
        <v>51.47047930283224</v>
      </c>
      <c r="G963" s="1774">
        <f>1800000+18000+18000</f>
        <v>1836000</v>
      </c>
      <c r="H963" s="1781">
        <v>944998</v>
      </c>
      <c r="I963" s="1681">
        <f>H963/G963*100</f>
        <v>51.47047930283224</v>
      </c>
      <c r="J963" s="1777"/>
      <c r="K963" s="1781"/>
      <c r="L963" s="1881"/>
      <c r="M963" s="1781"/>
      <c r="N963" s="1781"/>
      <c r="O963" s="1742"/>
      <c r="P963" s="1781"/>
      <c r="Q963" s="1781"/>
      <c r="R963" s="1782"/>
    </row>
    <row r="964" spans="1:18" s="1771" customFormat="1" ht="36">
      <c r="A964" s="1783">
        <v>85311</v>
      </c>
      <c r="B964" s="2018" t="s">
        <v>422</v>
      </c>
      <c r="C964" s="886">
        <f>SUM(C965)</f>
        <v>127500</v>
      </c>
      <c r="D964" s="908">
        <f t="shared" si="143"/>
        <v>109500</v>
      </c>
      <c r="E964" s="908">
        <f>SUM(H964+K964+N964+Q964)</f>
        <v>0</v>
      </c>
      <c r="F964" s="2031">
        <f t="shared" si="144"/>
        <v>0</v>
      </c>
      <c r="G964" s="886">
        <f>SUM(G965)</f>
        <v>109500</v>
      </c>
      <c r="H964" s="908">
        <f>SUM(H965)</f>
        <v>0</v>
      </c>
      <c r="I964" s="1698">
        <f>H964/G964*100</f>
        <v>0</v>
      </c>
      <c r="J964" s="1816"/>
      <c r="K964" s="908"/>
      <c r="L964" s="1741"/>
      <c r="M964" s="908"/>
      <c r="N964" s="908"/>
      <c r="O964" s="1817"/>
      <c r="P964" s="908"/>
      <c r="Q964" s="908"/>
      <c r="R964" s="889"/>
    </row>
    <row r="965" spans="1:18" s="1735" customFormat="1" ht="24">
      <c r="A965" s="1772">
        <v>4300</v>
      </c>
      <c r="B965" s="2027" t="s">
        <v>423</v>
      </c>
      <c r="C965" s="1774">
        <v>127500</v>
      </c>
      <c r="D965" s="919">
        <f t="shared" si="143"/>
        <v>109500</v>
      </c>
      <c r="E965" s="1781">
        <f>SUM(H965+K965+N965+Q965)</f>
        <v>0</v>
      </c>
      <c r="F965" s="2024">
        <f t="shared" si="144"/>
        <v>0</v>
      </c>
      <c r="G965" s="1774">
        <f>127500-18000</f>
        <v>109500</v>
      </c>
      <c r="H965" s="1781"/>
      <c r="I965" s="1681">
        <f>H965/G965*100</f>
        <v>0</v>
      </c>
      <c r="J965" s="1777"/>
      <c r="K965" s="1781"/>
      <c r="L965" s="1881"/>
      <c r="M965" s="1781"/>
      <c r="N965" s="1781"/>
      <c r="O965" s="1742"/>
      <c r="P965" s="1781"/>
      <c r="Q965" s="1781"/>
      <c r="R965" s="1782"/>
    </row>
    <row r="966" spans="1:18" s="1735" customFormat="1" ht="36">
      <c r="A966" s="1736">
        <v>85321</v>
      </c>
      <c r="B966" s="1976" t="s">
        <v>424</v>
      </c>
      <c r="C966" s="1738">
        <f>SUM(C967:C976)</f>
        <v>139165</v>
      </c>
      <c r="D966" s="908">
        <f t="shared" si="143"/>
        <v>139165</v>
      </c>
      <c r="E966" s="1680">
        <f>H966+K966+Q966+N966</f>
        <v>74654</v>
      </c>
      <c r="F966" s="2024">
        <f t="shared" si="144"/>
        <v>53.64423526030252</v>
      </c>
      <c r="G966" s="1774"/>
      <c r="H966" s="1781"/>
      <c r="I966" s="2000"/>
      <c r="J966" s="1777"/>
      <c r="K966" s="1781"/>
      <c r="L966" s="1881"/>
      <c r="M966" s="1680">
        <f>SUM(M967:M976)</f>
        <v>33165</v>
      </c>
      <c r="N966" s="1680">
        <f>SUM(N967:N976)</f>
        <v>17583</v>
      </c>
      <c r="O966" s="1688">
        <f aca="true" t="shared" si="145" ref="O966:O974">N966/M966*100</f>
        <v>53.01673450927182</v>
      </c>
      <c r="P966" s="1680">
        <f>SUM(P967:P976)</f>
        <v>106000</v>
      </c>
      <c r="Q966" s="1680">
        <f>SUM(Q967:Q976)</f>
        <v>57071</v>
      </c>
      <c r="R966" s="1688">
        <f>Q966/P966*100</f>
        <v>53.84056603773585</v>
      </c>
    </row>
    <row r="967" spans="1:18" s="1735" customFormat="1" ht="24">
      <c r="A967" s="1722">
        <v>4010</v>
      </c>
      <c r="B967" s="1997" t="s">
        <v>104</v>
      </c>
      <c r="C967" s="1693">
        <v>76091</v>
      </c>
      <c r="D967" s="932">
        <f t="shared" si="143"/>
        <v>76091</v>
      </c>
      <c r="E967" s="1707">
        <f aca="true" t="shared" si="146" ref="E967:E974">SUM(H967+K967+N967+Q967)</f>
        <v>41475</v>
      </c>
      <c r="F967" s="2025">
        <f t="shared" si="144"/>
        <v>54.5071033367941</v>
      </c>
      <c r="G967" s="1693"/>
      <c r="H967" s="1707"/>
      <c r="I967" s="2028"/>
      <c r="J967" s="1854"/>
      <c r="K967" s="1707"/>
      <c r="L967" s="1849"/>
      <c r="M967" s="1707">
        <v>2291</v>
      </c>
      <c r="N967" s="2029">
        <v>2291</v>
      </c>
      <c r="O967" s="2030">
        <f t="shared" si="145"/>
        <v>100</v>
      </c>
      <c r="P967" s="1854">
        <v>73800</v>
      </c>
      <c r="Q967" s="1707">
        <v>39184</v>
      </c>
      <c r="R967" s="1695">
        <f>Q967/P967*100</f>
        <v>53.09485094850949</v>
      </c>
    </row>
    <row r="968" spans="1:18" s="1735" customFormat="1" ht="24">
      <c r="A968" s="1743">
        <v>4040</v>
      </c>
      <c r="B968" s="1977" t="s">
        <v>108</v>
      </c>
      <c r="C968" s="1689">
        <v>6214</v>
      </c>
      <c r="D968" s="893">
        <f t="shared" si="143"/>
        <v>6029</v>
      </c>
      <c r="E968" s="1690">
        <f t="shared" si="146"/>
        <v>6029</v>
      </c>
      <c r="F968" s="1998">
        <f t="shared" si="144"/>
        <v>100</v>
      </c>
      <c r="G968" s="1689"/>
      <c r="H968" s="1690"/>
      <c r="I968" s="1912"/>
      <c r="J968" s="1745"/>
      <c r="K968" s="1690"/>
      <c r="L968" s="1746"/>
      <c r="M968" s="1690">
        <f>6214-185</f>
        <v>6029</v>
      </c>
      <c r="N968" s="1884">
        <v>6029</v>
      </c>
      <c r="O968" s="1669">
        <f t="shared" si="145"/>
        <v>100</v>
      </c>
      <c r="P968" s="1745"/>
      <c r="Q968" s="1690"/>
      <c r="R968" s="1695"/>
    </row>
    <row r="969" spans="1:18" s="1735" customFormat="1" ht="24">
      <c r="A969" s="1743">
        <v>4110</v>
      </c>
      <c r="B969" s="1977" t="s">
        <v>110</v>
      </c>
      <c r="C969" s="1689">
        <v>14554</v>
      </c>
      <c r="D969" s="893">
        <f t="shared" si="143"/>
        <v>14554</v>
      </c>
      <c r="E969" s="1690">
        <f t="shared" si="146"/>
        <v>8271</v>
      </c>
      <c r="F969" s="1998">
        <f t="shared" si="144"/>
        <v>56.829737529201594</v>
      </c>
      <c r="G969" s="1689"/>
      <c r="H969" s="1690"/>
      <c r="I969" s="1912"/>
      <c r="J969" s="1745"/>
      <c r="K969" s="1690"/>
      <c r="L969" s="1746"/>
      <c r="M969" s="1690">
        <v>8954</v>
      </c>
      <c r="N969" s="1884">
        <v>4340</v>
      </c>
      <c r="O969" s="1695">
        <f t="shared" si="145"/>
        <v>48.469957560866646</v>
      </c>
      <c r="P969" s="1745">
        <v>5600</v>
      </c>
      <c r="Q969" s="1690">
        <v>3931</v>
      </c>
      <c r="R969" s="1695">
        <f>Q969/P969*100</f>
        <v>70.19642857142857</v>
      </c>
    </row>
    <row r="970" spans="1:18" s="1735" customFormat="1" ht="12.75">
      <c r="A970" s="1743">
        <v>4120</v>
      </c>
      <c r="B970" s="1977" t="s">
        <v>198</v>
      </c>
      <c r="C970" s="1689">
        <v>1906</v>
      </c>
      <c r="D970" s="893">
        <f t="shared" si="143"/>
        <v>1906</v>
      </c>
      <c r="E970" s="1690">
        <f t="shared" si="146"/>
        <v>930</v>
      </c>
      <c r="F970" s="1998">
        <f t="shared" si="144"/>
        <v>48.79328436516264</v>
      </c>
      <c r="G970" s="1689"/>
      <c r="H970" s="1690"/>
      <c r="I970" s="1912"/>
      <c r="J970" s="1745"/>
      <c r="K970" s="1690"/>
      <c r="L970" s="1746"/>
      <c r="M970" s="1690">
        <v>206</v>
      </c>
      <c r="N970" s="1884">
        <v>162</v>
      </c>
      <c r="O970" s="1695">
        <f t="shared" si="145"/>
        <v>78.64077669902912</v>
      </c>
      <c r="P970" s="1745">
        <v>1700</v>
      </c>
      <c r="Q970" s="1690">
        <v>768</v>
      </c>
      <c r="R970" s="1695">
        <f>Q970/P970*100</f>
        <v>45.1764705882353</v>
      </c>
    </row>
    <row r="971" spans="1:18" s="1735" customFormat="1" ht="24">
      <c r="A971" s="1743">
        <v>4170</v>
      </c>
      <c r="B971" s="1977" t="s">
        <v>169</v>
      </c>
      <c r="C971" s="1689"/>
      <c r="D971" s="893">
        <f t="shared" si="143"/>
        <v>7200</v>
      </c>
      <c r="E971" s="1690">
        <f t="shared" si="146"/>
        <v>4158</v>
      </c>
      <c r="F971" s="1998">
        <f t="shared" si="144"/>
        <v>57.75</v>
      </c>
      <c r="G971" s="1689"/>
      <c r="H971" s="1690"/>
      <c r="I971" s="1912"/>
      <c r="J971" s="1745"/>
      <c r="K971" s="1690"/>
      <c r="L971" s="1746"/>
      <c r="M971" s="1690"/>
      <c r="N971" s="1884"/>
      <c r="O971" s="1695"/>
      <c r="P971" s="1745">
        <v>7200</v>
      </c>
      <c r="Q971" s="1690">
        <v>4158</v>
      </c>
      <c r="R971" s="1695">
        <f>Q971/P971*100</f>
        <v>57.75</v>
      </c>
    </row>
    <row r="972" spans="1:18" s="1735" customFormat="1" ht="24">
      <c r="A972" s="1743">
        <v>4210</v>
      </c>
      <c r="B972" s="1977" t="s">
        <v>114</v>
      </c>
      <c r="C972" s="1689">
        <v>5200</v>
      </c>
      <c r="D972" s="893">
        <f t="shared" si="143"/>
        <v>5385</v>
      </c>
      <c r="E972" s="1690">
        <f t="shared" si="146"/>
        <v>684</v>
      </c>
      <c r="F972" s="1998">
        <f t="shared" si="144"/>
        <v>12.701949860724234</v>
      </c>
      <c r="G972" s="1689"/>
      <c r="H972" s="1690"/>
      <c r="I972" s="1912"/>
      <c r="J972" s="1745"/>
      <c r="K972" s="1690"/>
      <c r="L972" s="1746"/>
      <c r="M972" s="1690">
        <f>5200+185</f>
        <v>5385</v>
      </c>
      <c r="N972" s="1884">
        <v>684</v>
      </c>
      <c r="O972" s="1695">
        <f t="shared" si="145"/>
        <v>12.701949860724234</v>
      </c>
      <c r="P972" s="1745"/>
      <c r="Q972" s="1690"/>
      <c r="R972" s="1695"/>
    </row>
    <row r="973" spans="1:18" s="1735" customFormat="1" ht="12" customHeight="1">
      <c r="A973" s="1743">
        <v>4300</v>
      </c>
      <c r="B973" s="1977" t="s">
        <v>122</v>
      </c>
      <c r="C973" s="1689">
        <v>27920</v>
      </c>
      <c r="D973" s="893">
        <f t="shared" si="143"/>
        <v>20720</v>
      </c>
      <c r="E973" s="1690">
        <f t="shared" si="146"/>
        <v>11187</v>
      </c>
      <c r="F973" s="1998">
        <f t="shared" si="144"/>
        <v>53.99131274131273</v>
      </c>
      <c r="G973" s="1689"/>
      <c r="H973" s="1690"/>
      <c r="I973" s="1912"/>
      <c r="J973" s="1745"/>
      <c r="K973" s="1690"/>
      <c r="L973" s="1746"/>
      <c r="M973" s="1690">
        <v>3020</v>
      </c>
      <c r="N973" s="1884">
        <v>2157</v>
      </c>
      <c r="O973" s="1695">
        <f t="shared" si="145"/>
        <v>71.42384105960264</v>
      </c>
      <c r="P973" s="1745">
        <v>17700</v>
      </c>
      <c r="Q973" s="1690">
        <v>9030</v>
      </c>
      <c r="R973" s="1695">
        <f>Q973/P973*100</f>
        <v>51.01694915254237</v>
      </c>
    </row>
    <row r="974" spans="1:18" s="1735" customFormat="1" ht="12.75">
      <c r="A974" s="1743">
        <v>4410</v>
      </c>
      <c r="B974" s="1977" t="s">
        <v>96</v>
      </c>
      <c r="C974" s="1689">
        <v>360</v>
      </c>
      <c r="D974" s="893">
        <f t="shared" si="143"/>
        <v>360</v>
      </c>
      <c r="E974" s="1690">
        <f t="shared" si="146"/>
        <v>0</v>
      </c>
      <c r="F974" s="1998">
        <f t="shared" si="144"/>
        <v>0</v>
      </c>
      <c r="G974" s="1689"/>
      <c r="H974" s="1690"/>
      <c r="I974" s="1912"/>
      <c r="J974" s="1745"/>
      <c r="K974" s="1690"/>
      <c r="L974" s="1746"/>
      <c r="M974" s="1690">
        <v>360</v>
      </c>
      <c r="N974" s="1884"/>
      <c r="O974" s="1695">
        <f t="shared" si="145"/>
        <v>0</v>
      </c>
      <c r="P974" s="1745"/>
      <c r="Q974" s="1690"/>
      <c r="R974" s="1695"/>
    </row>
    <row r="975" spans="1:18" s="1735" customFormat="1" ht="12.75">
      <c r="A975" s="1743">
        <v>4440</v>
      </c>
      <c r="B975" s="2005" t="s">
        <v>299</v>
      </c>
      <c r="C975" s="1689">
        <v>1920</v>
      </c>
      <c r="D975" s="893">
        <f>G975+J975+P975+M975</f>
        <v>1920</v>
      </c>
      <c r="E975" s="1690">
        <f>SUM(H975+K975+N975+Q975)</f>
        <v>1920</v>
      </c>
      <c r="F975" s="1998">
        <f>E975/D975*100</f>
        <v>100</v>
      </c>
      <c r="G975" s="1689"/>
      <c r="H975" s="1690"/>
      <c r="I975" s="1912"/>
      <c r="J975" s="1745"/>
      <c r="K975" s="1690"/>
      <c r="L975" s="1746"/>
      <c r="M975" s="1690">
        <v>1920</v>
      </c>
      <c r="N975" s="1884">
        <v>1920</v>
      </c>
      <c r="O975" s="1669">
        <f>N975/M975*100</f>
        <v>100</v>
      </c>
      <c r="P975" s="1745"/>
      <c r="Q975" s="1690"/>
      <c r="R975" s="1695"/>
    </row>
    <row r="976" spans="1:18" s="1735" customFormat="1" ht="36.75" thickBot="1">
      <c r="A976" s="1798">
        <v>6060</v>
      </c>
      <c r="B976" s="1978" t="s">
        <v>293</v>
      </c>
      <c r="C976" s="1800">
        <v>5000</v>
      </c>
      <c r="D976" s="925">
        <f>G976+J976+P976+M976</f>
        <v>5000</v>
      </c>
      <c r="E976" s="1791">
        <f>SUM(H976+K976+N976+Q976)</f>
        <v>0</v>
      </c>
      <c r="F976" s="2022">
        <f>E976/D976*100</f>
        <v>0</v>
      </c>
      <c r="G976" s="1800"/>
      <c r="H976" s="1791"/>
      <c r="I976" s="2013"/>
      <c r="J976" s="1801"/>
      <c r="K976" s="1791"/>
      <c r="L976" s="1857"/>
      <c r="M976" s="1791">
        <v>5000</v>
      </c>
      <c r="N976" s="1918"/>
      <c r="O976" s="1974">
        <f>N976/M976*100</f>
        <v>0</v>
      </c>
      <c r="P976" s="1801"/>
      <c r="Q976" s="1791"/>
      <c r="R976" s="1720"/>
    </row>
    <row r="977" spans="1:18" s="2003" customFormat="1" ht="25.5" customHeight="1" thickBot="1" thickTop="1">
      <c r="A977" s="2048">
        <v>854</v>
      </c>
      <c r="B977" s="2049" t="s">
        <v>637</v>
      </c>
      <c r="C977" s="1731">
        <f>C978+C992+C1013+C1015+C1028+C1045+C1064+C1089+C1085+C1102+C1104</f>
        <v>8683160</v>
      </c>
      <c r="D977" s="876">
        <f t="shared" si="136"/>
        <v>9059001</v>
      </c>
      <c r="E977" s="876">
        <f>H977+K977+Q977+N977</f>
        <v>4889621</v>
      </c>
      <c r="F977" s="1644">
        <f t="shared" si="137"/>
        <v>53.975278289515586</v>
      </c>
      <c r="G977" s="1731">
        <f>G978+G992+G1013+G1015+G1028+G1045+G1064+G1085+G1089+G1102+G1104</f>
        <v>1786016</v>
      </c>
      <c r="H977" s="1716">
        <f>H978+H992+H1013+H1015+H1028+H1064+H1085+H1089+H1102+H1104</f>
        <v>1001702</v>
      </c>
      <c r="I977" s="1642">
        <f aca="true" t="shared" si="147" ref="I977:I984">H977/G977*100</f>
        <v>56.08583573719385</v>
      </c>
      <c r="J977" s="1732"/>
      <c r="K977" s="1716"/>
      <c r="L977" s="1733"/>
      <c r="M977" s="1716">
        <f>M978+M992+M1013+M1015+M1028+M1045+M1064+M1083+M1085+M1089+M1102+M1104</f>
        <v>7272985</v>
      </c>
      <c r="N977" s="1716">
        <f>N978+N992+N1013+N1015+N1028+N1045+N1064+N1085+N1089+N1102+N1104</f>
        <v>3887919</v>
      </c>
      <c r="O977" s="1649">
        <f>N977/M977*100</f>
        <v>53.456991867850675</v>
      </c>
      <c r="P977" s="1716"/>
      <c r="Q977" s="1716"/>
      <c r="R977" s="1834"/>
    </row>
    <row r="978" spans="1:18" s="1735" customFormat="1" ht="15.75" customHeight="1" thickTop="1">
      <c r="A978" s="1837">
        <v>85401</v>
      </c>
      <c r="B978" s="2021" t="s">
        <v>425</v>
      </c>
      <c r="C978" s="1839">
        <f>SUM(C979:C991)</f>
        <v>1117800</v>
      </c>
      <c r="D978" s="884">
        <f t="shared" si="136"/>
        <v>1117200</v>
      </c>
      <c r="E978" s="1842">
        <f>H978+K978+Q978+N978</f>
        <v>595458</v>
      </c>
      <c r="F978" s="1999">
        <f t="shared" si="137"/>
        <v>53.29914070891515</v>
      </c>
      <c r="G978" s="1839">
        <f>SUM(G979:G991)</f>
        <v>972150</v>
      </c>
      <c r="H978" s="1842">
        <f>SUM(H979:H991)</f>
        <v>523491</v>
      </c>
      <c r="I978" s="1719">
        <f t="shared" si="147"/>
        <v>53.84878876716556</v>
      </c>
      <c r="J978" s="1843"/>
      <c r="K978" s="1842"/>
      <c r="L978" s="1844"/>
      <c r="M978" s="1842">
        <f>SUM(M979:M991)</f>
        <v>145050</v>
      </c>
      <c r="N978" s="1842">
        <f>SUM(N979:N991)</f>
        <v>71967</v>
      </c>
      <c r="O978" s="1720">
        <f aca="true" t="shared" si="148" ref="O978:O1041">N978/M978*100</f>
        <v>49.6153050672182</v>
      </c>
      <c r="P978" s="1842"/>
      <c r="Q978" s="1842"/>
      <c r="R978" s="1804"/>
    </row>
    <row r="979" spans="1:18" s="1870" customFormat="1" ht="24">
      <c r="A979" s="1722">
        <v>3020</v>
      </c>
      <c r="B979" s="1997" t="s">
        <v>332</v>
      </c>
      <c r="C979" s="1693">
        <v>3500</v>
      </c>
      <c r="D979" s="932">
        <f t="shared" si="136"/>
        <v>3500</v>
      </c>
      <c r="E979" s="1707">
        <f aca="true" t="shared" si="149" ref="E979:E991">SUM(H979+K979+N979+Q979)</f>
        <v>342</v>
      </c>
      <c r="F979" s="1994">
        <f t="shared" si="137"/>
        <v>9.77142857142857</v>
      </c>
      <c r="G979" s="1693">
        <v>3300</v>
      </c>
      <c r="H979" s="1707">
        <v>342</v>
      </c>
      <c r="I979" s="1691">
        <f t="shared" si="147"/>
        <v>10.363636363636363</v>
      </c>
      <c r="J979" s="1854"/>
      <c r="K979" s="1707"/>
      <c r="L979" s="1849"/>
      <c r="M979" s="1707">
        <v>200</v>
      </c>
      <c r="N979" s="1707"/>
      <c r="O979" s="1674">
        <f t="shared" si="148"/>
        <v>0</v>
      </c>
      <c r="P979" s="1707"/>
      <c r="Q979" s="1707"/>
      <c r="R979" s="1856"/>
    </row>
    <row r="980" spans="1:18" s="1870" customFormat="1" ht="27" customHeight="1">
      <c r="A980" s="1743">
        <v>4010</v>
      </c>
      <c r="B980" s="2005" t="s">
        <v>104</v>
      </c>
      <c r="C980" s="1689">
        <v>804500</v>
      </c>
      <c r="D980" s="893">
        <f t="shared" si="136"/>
        <v>806465</v>
      </c>
      <c r="E980" s="1690">
        <f t="shared" si="149"/>
        <v>395023</v>
      </c>
      <c r="F980" s="1666">
        <f t="shared" si="137"/>
        <v>48.982038898154286</v>
      </c>
      <c r="G980" s="1745">
        <f>703410+1905-250</f>
        <v>705065</v>
      </c>
      <c r="H980" s="1745">
        <v>350772</v>
      </c>
      <c r="I980" s="1669">
        <f t="shared" si="147"/>
        <v>49.750306709310486</v>
      </c>
      <c r="J980" s="1745"/>
      <c r="K980" s="1690"/>
      <c r="L980" s="1746"/>
      <c r="M980" s="1690">
        <v>101400</v>
      </c>
      <c r="N980" s="1690">
        <v>44251</v>
      </c>
      <c r="O980" s="1891">
        <f t="shared" si="148"/>
        <v>43.64003944773175</v>
      </c>
      <c r="P980" s="1690"/>
      <c r="Q980" s="1690"/>
      <c r="R980" s="1754"/>
    </row>
    <row r="981" spans="1:18" s="1870" customFormat="1" ht="24.75" customHeight="1">
      <c r="A981" s="1743">
        <v>4040</v>
      </c>
      <c r="B981" s="1977" t="s">
        <v>165</v>
      </c>
      <c r="C981" s="1689">
        <v>65800</v>
      </c>
      <c r="D981" s="893">
        <f t="shared" si="136"/>
        <v>62855</v>
      </c>
      <c r="E981" s="1690">
        <f t="shared" si="149"/>
        <v>61094</v>
      </c>
      <c r="F981" s="1666">
        <f aca="true" t="shared" si="150" ref="F981:F1043">E981/D981*100</f>
        <v>97.198313578872</v>
      </c>
      <c r="G981" s="1690">
        <f>58360-2255</f>
        <v>56105</v>
      </c>
      <c r="H981" s="1745">
        <v>54352</v>
      </c>
      <c r="I981" s="1669">
        <f t="shared" si="147"/>
        <v>96.87550129221995</v>
      </c>
      <c r="J981" s="1745"/>
      <c r="K981" s="1690"/>
      <c r="L981" s="1746"/>
      <c r="M981" s="1690">
        <f>7100-350</f>
        <v>6750</v>
      </c>
      <c r="N981" s="1690">
        <v>6742</v>
      </c>
      <c r="O981" s="1891">
        <f t="shared" si="148"/>
        <v>99.88148148148149</v>
      </c>
      <c r="P981" s="1690"/>
      <c r="Q981" s="1690"/>
      <c r="R981" s="1754"/>
    </row>
    <row r="982" spans="1:18" s="1870" customFormat="1" ht="24">
      <c r="A982" s="1743">
        <v>4110</v>
      </c>
      <c r="B982" s="1977" t="s">
        <v>110</v>
      </c>
      <c r="C982" s="1689">
        <v>155400</v>
      </c>
      <c r="D982" s="893">
        <f t="shared" si="136"/>
        <v>155400</v>
      </c>
      <c r="E982" s="1690">
        <f t="shared" si="149"/>
        <v>75314</v>
      </c>
      <c r="F982" s="1666">
        <f t="shared" si="150"/>
        <v>48.46460746460746</v>
      </c>
      <c r="G982" s="1690">
        <v>136400</v>
      </c>
      <c r="H982" s="1745">
        <v>66884</v>
      </c>
      <c r="I982" s="1669">
        <f t="shared" si="147"/>
        <v>49.03519061583578</v>
      </c>
      <c r="J982" s="1745"/>
      <c r="K982" s="1690"/>
      <c r="L982" s="1746"/>
      <c r="M982" s="1690">
        <v>19000</v>
      </c>
      <c r="N982" s="1690">
        <v>8430</v>
      </c>
      <c r="O982" s="1891">
        <f t="shared" si="148"/>
        <v>44.36842105263158</v>
      </c>
      <c r="P982" s="1690"/>
      <c r="Q982" s="1690"/>
      <c r="R982" s="1754"/>
    </row>
    <row r="983" spans="1:18" s="1870" customFormat="1" ht="12.75">
      <c r="A983" s="1743">
        <v>4120</v>
      </c>
      <c r="B983" s="1977" t="s">
        <v>208</v>
      </c>
      <c r="C983" s="1689">
        <v>21200</v>
      </c>
      <c r="D983" s="893">
        <f t="shared" si="136"/>
        <v>21200</v>
      </c>
      <c r="E983" s="1690">
        <f t="shared" si="149"/>
        <v>10292</v>
      </c>
      <c r="F983" s="1666">
        <f t="shared" si="150"/>
        <v>48.54716981132076</v>
      </c>
      <c r="G983" s="1690">
        <v>18600</v>
      </c>
      <c r="H983" s="1745">
        <v>9079</v>
      </c>
      <c r="I983" s="1669">
        <f t="shared" si="147"/>
        <v>48.81182795698925</v>
      </c>
      <c r="J983" s="1745"/>
      <c r="K983" s="1690"/>
      <c r="L983" s="1746"/>
      <c r="M983" s="1690">
        <v>2600</v>
      </c>
      <c r="N983" s="1690">
        <v>1213</v>
      </c>
      <c r="O983" s="1695">
        <f t="shared" si="148"/>
        <v>46.65384615384615</v>
      </c>
      <c r="P983" s="1690"/>
      <c r="Q983" s="1690"/>
      <c r="R983" s="1754"/>
    </row>
    <row r="984" spans="1:18" s="1870" customFormat="1" ht="12.75">
      <c r="A984" s="1743">
        <v>4140</v>
      </c>
      <c r="B984" s="1977" t="s">
        <v>168</v>
      </c>
      <c r="C984" s="1689">
        <v>2200</v>
      </c>
      <c r="D984" s="893">
        <f t="shared" si="136"/>
        <v>2580</v>
      </c>
      <c r="E984" s="1690">
        <f t="shared" si="149"/>
        <v>992</v>
      </c>
      <c r="F984" s="1666">
        <f t="shared" si="150"/>
        <v>38.44961240310077</v>
      </c>
      <c r="G984" s="1690">
        <f>2200+380</f>
        <v>2580</v>
      </c>
      <c r="H984" s="1745">
        <v>992</v>
      </c>
      <c r="I984" s="1669">
        <f t="shared" si="147"/>
        <v>38.44961240310077</v>
      </c>
      <c r="J984" s="1745"/>
      <c r="K984" s="1690"/>
      <c r="L984" s="1746"/>
      <c r="M984" s="1690"/>
      <c r="N984" s="1690"/>
      <c r="O984" s="1695"/>
      <c r="P984" s="1690"/>
      <c r="Q984" s="1690"/>
      <c r="R984" s="1754"/>
    </row>
    <row r="985" spans="1:18" s="1870" customFormat="1" ht="24">
      <c r="A985" s="1743">
        <v>4210</v>
      </c>
      <c r="B985" s="1977" t="s">
        <v>114</v>
      </c>
      <c r="C985" s="1689">
        <v>2000</v>
      </c>
      <c r="D985" s="893">
        <f t="shared" si="136"/>
        <v>2000</v>
      </c>
      <c r="E985" s="1690">
        <f t="shared" si="149"/>
        <v>421</v>
      </c>
      <c r="F985" s="1666">
        <f t="shared" si="150"/>
        <v>21.05</v>
      </c>
      <c r="G985" s="1690"/>
      <c r="H985" s="1745"/>
      <c r="I985" s="1669"/>
      <c r="J985" s="1745"/>
      <c r="K985" s="1690"/>
      <c r="L985" s="1746"/>
      <c r="M985" s="1690">
        <v>2000</v>
      </c>
      <c r="N985" s="1690">
        <v>421</v>
      </c>
      <c r="O985" s="1695">
        <f t="shared" si="148"/>
        <v>21.05</v>
      </c>
      <c r="P985" s="1690"/>
      <c r="Q985" s="1690"/>
      <c r="R985" s="1754"/>
    </row>
    <row r="986" spans="1:18" s="1870" customFormat="1" ht="36">
      <c r="A986" s="1743">
        <v>4240</v>
      </c>
      <c r="B986" s="1977" t="s">
        <v>325</v>
      </c>
      <c r="C986" s="1689">
        <v>800</v>
      </c>
      <c r="D986" s="893">
        <f t="shared" si="136"/>
        <v>800</v>
      </c>
      <c r="E986" s="1690">
        <f t="shared" si="149"/>
        <v>500</v>
      </c>
      <c r="F986" s="1666">
        <f t="shared" si="150"/>
        <v>62.5</v>
      </c>
      <c r="G986" s="1690"/>
      <c r="H986" s="1745"/>
      <c r="I986" s="1669"/>
      <c r="J986" s="1745"/>
      <c r="K986" s="1690"/>
      <c r="L986" s="1746"/>
      <c r="M986" s="1690">
        <v>800</v>
      </c>
      <c r="N986" s="1690">
        <v>500</v>
      </c>
      <c r="O986" s="1695">
        <f t="shared" si="148"/>
        <v>62.5</v>
      </c>
      <c r="P986" s="1690"/>
      <c r="Q986" s="1690"/>
      <c r="R986" s="1754"/>
    </row>
    <row r="987" spans="1:18" s="1870" customFormat="1" ht="15" customHeight="1">
      <c r="A987" s="1743">
        <v>4260</v>
      </c>
      <c r="B987" s="1977" t="s">
        <v>118</v>
      </c>
      <c r="C987" s="1689">
        <v>5700</v>
      </c>
      <c r="D987" s="893">
        <f t="shared" si="136"/>
        <v>5700</v>
      </c>
      <c r="E987" s="1690">
        <f t="shared" si="149"/>
        <v>5700</v>
      </c>
      <c r="F987" s="1666">
        <f t="shared" si="150"/>
        <v>100</v>
      </c>
      <c r="G987" s="1690"/>
      <c r="H987" s="1745"/>
      <c r="I987" s="1669"/>
      <c r="J987" s="1745"/>
      <c r="K987" s="1690"/>
      <c r="L987" s="1746"/>
      <c r="M987" s="1690">
        <v>5700</v>
      </c>
      <c r="N987" s="1690">
        <v>5700</v>
      </c>
      <c r="O987" s="1669">
        <f t="shared" si="148"/>
        <v>100</v>
      </c>
      <c r="P987" s="1690"/>
      <c r="Q987" s="1690"/>
      <c r="R987" s="1754"/>
    </row>
    <row r="988" spans="1:18" s="1870" customFormat="1" ht="12.75">
      <c r="A988" s="1743">
        <v>4270</v>
      </c>
      <c r="B988" s="1977" t="s">
        <v>120</v>
      </c>
      <c r="C988" s="1689">
        <v>300</v>
      </c>
      <c r="D988" s="893">
        <f t="shared" si="136"/>
        <v>300</v>
      </c>
      <c r="E988" s="1690">
        <f t="shared" si="149"/>
        <v>0</v>
      </c>
      <c r="F988" s="1666">
        <f t="shared" si="150"/>
        <v>0</v>
      </c>
      <c r="G988" s="1690"/>
      <c r="H988" s="1745"/>
      <c r="I988" s="1669"/>
      <c r="J988" s="1745"/>
      <c r="K988" s="1690"/>
      <c r="L988" s="1746"/>
      <c r="M988" s="1690">
        <v>300</v>
      </c>
      <c r="N988" s="1690"/>
      <c r="O988" s="1695">
        <f t="shared" si="148"/>
        <v>0</v>
      </c>
      <c r="P988" s="1689"/>
      <c r="Q988" s="1690"/>
      <c r="R988" s="1754"/>
    </row>
    <row r="989" spans="1:18" s="1870" customFormat="1" ht="15.75" customHeight="1">
      <c r="A989" s="1743">
        <v>4280</v>
      </c>
      <c r="B989" s="1977" t="s">
        <v>170</v>
      </c>
      <c r="C989" s="1689">
        <v>100</v>
      </c>
      <c r="D989" s="893">
        <f t="shared" si="136"/>
        <v>100</v>
      </c>
      <c r="E989" s="1690">
        <f t="shared" si="149"/>
        <v>0</v>
      </c>
      <c r="F989" s="1666">
        <f t="shared" si="150"/>
        <v>0</v>
      </c>
      <c r="G989" s="1690"/>
      <c r="H989" s="1745"/>
      <c r="I989" s="1669"/>
      <c r="J989" s="1745"/>
      <c r="K989" s="1690"/>
      <c r="L989" s="1746"/>
      <c r="M989" s="1690">
        <v>100</v>
      </c>
      <c r="N989" s="1690"/>
      <c r="O989" s="1695">
        <f t="shared" si="148"/>
        <v>0</v>
      </c>
      <c r="P989" s="1690"/>
      <c r="Q989" s="1690"/>
      <c r="R989" s="1754"/>
    </row>
    <row r="990" spans="1:18" s="1870" customFormat="1" ht="15.75" customHeight="1">
      <c r="A990" s="1743">
        <v>4300</v>
      </c>
      <c r="B990" s="1977" t="s">
        <v>122</v>
      </c>
      <c r="C990" s="1689">
        <v>500</v>
      </c>
      <c r="D990" s="893">
        <f t="shared" si="136"/>
        <v>500</v>
      </c>
      <c r="E990" s="893">
        <f>H990+K990+Q990+N990</f>
        <v>400</v>
      </c>
      <c r="F990" s="1666">
        <f t="shared" si="150"/>
        <v>80</v>
      </c>
      <c r="G990" s="1690">
        <f>30-30</f>
        <v>0</v>
      </c>
      <c r="H990" s="1745"/>
      <c r="I990" s="1669"/>
      <c r="J990" s="1745"/>
      <c r="K990" s="1690"/>
      <c r="L990" s="1746"/>
      <c r="M990" s="1690">
        <v>500</v>
      </c>
      <c r="N990" s="1690">
        <v>400</v>
      </c>
      <c r="O990" s="1695">
        <f t="shared" si="148"/>
        <v>80</v>
      </c>
      <c r="P990" s="1690"/>
      <c r="Q990" s="1690"/>
      <c r="R990" s="1754"/>
    </row>
    <row r="991" spans="1:18" s="1870" customFormat="1" ht="15.75" customHeight="1">
      <c r="A991" s="1798">
        <v>4440</v>
      </c>
      <c r="B991" s="1978" t="s">
        <v>126</v>
      </c>
      <c r="C991" s="1800">
        <v>55800</v>
      </c>
      <c r="D991" s="925">
        <f t="shared" si="136"/>
        <v>55800</v>
      </c>
      <c r="E991" s="1791">
        <f t="shared" si="149"/>
        <v>45380</v>
      </c>
      <c r="F991" s="1719">
        <f t="shared" si="150"/>
        <v>81.32616487455198</v>
      </c>
      <c r="G991" s="1791">
        <v>50100</v>
      </c>
      <c r="H991" s="1801">
        <v>41070</v>
      </c>
      <c r="I991" s="1739">
        <f>H991/G991*100</f>
        <v>81.97604790419162</v>
      </c>
      <c r="J991" s="1801"/>
      <c r="K991" s="1791"/>
      <c r="L991" s="1857"/>
      <c r="M991" s="1791">
        <v>5700</v>
      </c>
      <c r="N991" s="1791">
        <v>4310</v>
      </c>
      <c r="O991" s="1974">
        <f t="shared" si="148"/>
        <v>75.6140350877193</v>
      </c>
      <c r="P991" s="1791"/>
      <c r="Q991" s="1791"/>
      <c r="R991" s="1845"/>
    </row>
    <row r="992" spans="1:18" s="1870" customFormat="1" ht="22.5" customHeight="1">
      <c r="A992" s="1736">
        <v>85403</v>
      </c>
      <c r="B992" s="1976" t="s">
        <v>426</v>
      </c>
      <c r="C992" s="1738">
        <f>SUM(C993:C1012)</f>
        <v>1319100</v>
      </c>
      <c r="D992" s="908">
        <f t="shared" si="136"/>
        <v>1347890</v>
      </c>
      <c r="E992" s="1680">
        <f>H992+K992+Q992+N992</f>
        <v>630988</v>
      </c>
      <c r="F992" s="1681">
        <f t="shared" si="150"/>
        <v>46.813018866524715</v>
      </c>
      <c r="G992" s="1680"/>
      <c r="H992" s="1740"/>
      <c r="I992" s="1881"/>
      <c r="J992" s="1740"/>
      <c r="K992" s="1680"/>
      <c r="L992" s="1741"/>
      <c r="M992" s="1680">
        <f>SUM(M993:M1012)</f>
        <v>1347890</v>
      </c>
      <c r="N992" s="1680">
        <f>SUM(N993:N1012)</f>
        <v>630988</v>
      </c>
      <c r="O992" s="1688">
        <f t="shared" si="148"/>
        <v>46.813018866524715</v>
      </c>
      <c r="P992" s="1680"/>
      <c r="Q992" s="1680"/>
      <c r="R992" s="1782"/>
    </row>
    <row r="993" spans="1:18" s="1870" customFormat="1" ht="24">
      <c r="A993" s="1722">
        <v>3020</v>
      </c>
      <c r="B993" s="1997" t="s">
        <v>332</v>
      </c>
      <c r="C993" s="1693">
        <v>4400</v>
      </c>
      <c r="D993" s="932">
        <f t="shared" si="136"/>
        <v>4400</v>
      </c>
      <c r="E993" s="1707">
        <f aca="true" t="shared" si="151" ref="E993:E1012">SUM(H993+K993+N993+Q993)</f>
        <v>718</v>
      </c>
      <c r="F993" s="1691">
        <f t="shared" si="150"/>
        <v>16.318181818181817</v>
      </c>
      <c r="G993" s="1707"/>
      <c r="H993" s="1854"/>
      <c r="I993" s="1849"/>
      <c r="J993" s="1854"/>
      <c r="K993" s="1707"/>
      <c r="L993" s="1849"/>
      <c r="M993" s="1693">
        <v>4400</v>
      </c>
      <c r="N993" s="1707">
        <v>718</v>
      </c>
      <c r="O993" s="1674">
        <f t="shared" si="148"/>
        <v>16.318181818181817</v>
      </c>
      <c r="P993" s="1707"/>
      <c r="Q993" s="1707"/>
      <c r="R993" s="1856"/>
    </row>
    <row r="994" spans="1:18" s="1870" customFormat="1" ht="12.75" hidden="1">
      <c r="A994" s="1743">
        <v>3110</v>
      </c>
      <c r="B994" s="1977" t="s">
        <v>388</v>
      </c>
      <c r="C994" s="1689"/>
      <c r="D994" s="893">
        <f t="shared" si="136"/>
        <v>0</v>
      </c>
      <c r="E994" s="1690">
        <f t="shared" si="151"/>
        <v>0</v>
      </c>
      <c r="F994" s="1666" t="e">
        <f t="shared" si="150"/>
        <v>#DIV/0!</v>
      </c>
      <c r="G994" s="1690"/>
      <c r="H994" s="1745"/>
      <c r="I994" s="1746"/>
      <c r="J994" s="1745"/>
      <c r="K994" s="1690"/>
      <c r="L994" s="1746"/>
      <c r="M994" s="1689"/>
      <c r="N994" s="1690"/>
      <c r="O994" s="1695" t="e">
        <f t="shared" si="148"/>
        <v>#DIV/0!</v>
      </c>
      <c r="P994" s="1690"/>
      <c r="Q994" s="1690"/>
      <c r="R994" s="1754"/>
    </row>
    <row r="995" spans="1:18" s="1870" customFormat="1" ht="24">
      <c r="A995" s="1743">
        <v>4010</v>
      </c>
      <c r="B995" s="1977" t="s">
        <v>104</v>
      </c>
      <c r="C995" s="1689">
        <v>778000</v>
      </c>
      <c r="D995" s="893">
        <f t="shared" si="136"/>
        <v>779230</v>
      </c>
      <c r="E995" s="1690">
        <f t="shared" si="151"/>
        <v>353740</v>
      </c>
      <c r="F995" s="1666">
        <f t="shared" si="150"/>
        <v>45.3960961461956</v>
      </c>
      <c r="G995" s="1690"/>
      <c r="H995" s="1745"/>
      <c r="I995" s="1746"/>
      <c r="J995" s="1745"/>
      <c r="K995" s="1690"/>
      <c r="L995" s="1746"/>
      <c r="M995" s="1689">
        <f>778000+1230</f>
        <v>779230</v>
      </c>
      <c r="N995" s="1690">
        <v>353740</v>
      </c>
      <c r="O995" s="1695">
        <f t="shared" si="148"/>
        <v>45.3960961461956</v>
      </c>
      <c r="P995" s="1690"/>
      <c r="Q995" s="1690"/>
      <c r="R995" s="1754"/>
    </row>
    <row r="996" spans="1:18" s="1870" customFormat="1" ht="24">
      <c r="A996" s="1743">
        <v>4040</v>
      </c>
      <c r="B996" s="1977" t="s">
        <v>108</v>
      </c>
      <c r="C996" s="1689">
        <v>65300</v>
      </c>
      <c r="D996" s="893">
        <f t="shared" si="136"/>
        <v>59860</v>
      </c>
      <c r="E996" s="1690">
        <f t="shared" si="151"/>
        <v>59852</v>
      </c>
      <c r="F996" s="1666">
        <f t="shared" si="150"/>
        <v>99.98663548279319</v>
      </c>
      <c r="G996" s="1690"/>
      <c r="H996" s="1745"/>
      <c r="I996" s="1746"/>
      <c r="J996" s="1745"/>
      <c r="K996" s="1690"/>
      <c r="L996" s="1746"/>
      <c r="M996" s="1689">
        <f>65300-5440</f>
        <v>59860</v>
      </c>
      <c r="N996" s="1690">
        <v>59852</v>
      </c>
      <c r="O996" s="1891">
        <f t="shared" si="148"/>
        <v>99.98663548279319</v>
      </c>
      <c r="P996" s="1690"/>
      <c r="Q996" s="1690"/>
      <c r="R996" s="1754"/>
    </row>
    <row r="997" spans="1:18" s="1870" customFormat="1" ht="24">
      <c r="A997" s="1743">
        <v>4110</v>
      </c>
      <c r="B997" s="1977" t="s">
        <v>110</v>
      </c>
      <c r="C997" s="1689">
        <v>145000</v>
      </c>
      <c r="D997" s="893">
        <f t="shared" si="136"/>
        <v>145000</v>
      </c>
      <c r="E997" s="1690">
        <f t="shared" si="151"/>
        <v>65233</v>
      </c>
      <c r="F997" s="1666">
        <f t="shared" si="150"/>
        <v>44.98827586206897</v>
      </c>
      <c r="G997" s="1690"/>
      <c r="H997" s="1745"/>
      <c r="I997" s="1746"/>
      <c r="J997" s="1745"/>
      <c r="K997" s="1690"/>
      <c r="L997" s="1746"/>
      <c r="M997" s="1689">
        <v>145000</v>
      </c>
      <c r="N997" s="1690">
        <v>65233</v>
      </c>
      <c r="O997" s="1695">
        <f t="shared" si="148"/>
        <v>44.98827586206897</v>
      </c>
      <c r="P997" s="1690"/>
      <c r="Q997" s="1690"/>
      <c r="R997" s="1754"/>
    </row>
    <row r="998" spans="1:18" s="1870" customFormat="1" ht="12.75">
      <c r="A998" s="1743">
        <v>4120</v>
      </c>
      <c r="B998" s="1977" t="s">
        <v>208</v>
      </c>
      <c r="C998" s="1689">
        <v>20000</v>
      </c>
      <c r="D998" s="893">
        <f t="shared" si="136"/>
        <v>20000</v>
      </c>
      <c r="E998" s="1690">
        <f t="shared" si="151"/>
        <v>9476</v>
      </c>
      <c r="F998" s="1666">
        <f t="shared" si="150"/>
        <v>47.38</v>
      </c>
      <c r="G998" s="1690"/>
      <c r="H998" s="1745"/>
      <c r="I998" s="1746"/>
      <c r="J998" s="1745"/>
      <c r="K998" s="1690"/>
      <c r="L998" s="1746"/>
      <c r="M998" s="1689">
        <v>20000</v>
      </c>
      <c r="N998" s="1690">
        <v>9476</v>
      </c>
      <c r="O998" s="1695">
        <f t="shared" si="148"/>
        <v>47.38</v>
      </c>
      <c r="P998" s="1690"/>
      <c r="Q998" s="1690"/>
      <c r="R998" s="1754"/>
    </row>
    <row r="999" spans="1:18" s="1870" customFormat="1" ht="24">
      <c r="A999" s="1743">
        <v>4130</v>
      </c>
      <c r="B999" s="1977" t="s">
        <v>331</v>
      </c>
      <c r="C999" s="1689">
        <v>1400</v>
      </c>
      <c r="D999" s="893">
        <f t="shared" si="136"/>
        <v>1400</v>
      </c>
      <c r="E999" s="1690">
        <f>H999+K999+Q999+N999</f>
        <v>603</v>
      </c>
      <c r="F999" s="1666">
        <f t="shared" si="150"/>
        <v>43.07142857142857</v>
      </c>
      <c r="G999" s="1690"/>
      <c r="H999" s="1745"/>
      <c r="I999" s="1746"/>
      <c r="J999" s="1745"/>
      <c r="K999" s="1690"/>
      <c r="L999" s="1746"/>
      <c r="M999" s="1689">
        <v>1400</v>
      </c>
      <c r="N999" s="1690">
        <v>603</v>
      </c>
      <c r="O999" s="1695">
        <f t="shared" si="148"/>
        <v>43.07142857142857</v>
      </c>
      <c r="P999" s="1690"/>
      <c r="Q999" s="1690"/>
      <c r="R999" s="1754"/>
    </row>
    <row r="1000" spans="1:18" s="1870" customFormat="1" ht="24">
      <c r="A1000" s="1743">
        <v>4170</v>
      </c>
      <c r="B1000" s="1977" t="s">
        <v>169</v>
      </c>
      <c r="C1000" s="1689"/>
      <c r="D1000" s="893">
        <f t="shared" si="136"/>
        <v>1000</v>
      </c>
      <c r="E1000" s="1690">
        <f>H1000+K1000+Q1000+N1000</f>
        <v>0</v>
      </c>
      <c r="F1000" s="1666">
        <f t="shared" si="150"/>
        <v>0</v>
      </c>
      <c r="G1000" s="1690"/>
      <c r="H1000" s="1745"/>
      <c r="I1000" s="1746"/>
      <c r="J1000" s="1745"/>
      <c r="K1000" s="1690"/>
      <c r="L1000" s="1746"/>
      <c r="M1000" s="1689">
        <v>1000</v>
      </c>
      <c r="N1000" s="1690"/>
      <c r="O1000" s="1695">
        <f t="shared" si="148"/>
        <v>0</v>
      </c>
      <c r="P1000" s="1690"/>
      <c r="Q1000" s="1690"/>
      <c r="R1000" s="1754"/>
    </row>
    <row r="1001" spans="1:18" s="1870" customFormat="1" ht="24">
      <c r="A1001" s="1743">
        <v>4210</v>
      </c>
      <c r="B1001" s="1977" t="s">
        <v>114</v>
      </c>
      <c r="C1001" s="1689">
        <v>50000</v>
      </c>
      <c r="D1001" s="893">
        <f t="shared" si="136"/>
        <v>50000</v>
      </c>
      <c r="E1001" s="1690">
        <f t="shared" si="151"/>
        <v>26122</v>
      </c>
      <c r="F1001" s="1666">
        <f t="shared" si="150"/>
        <v>52.244</v>
      </c>
      <c r="G1001" s="1690"/>
      <c r="H1001" s="1745"/>
      <c r="I1001" s="1746"/>
      <c r="J1001" s="1745"/>
      <c r="K1001" s="1690"/>
      <c r="L1001" s="1746"/>
      <c r="M1001" s="1689">
        <v>50000</v>
      </c>
      <c r="N1001" s="1690">
        <v>26122</v>
      </c>
      <c r="O1001" s="1695">
        <f t="shared" si="148"/>
        <v>52.244</v>
      </c>
      <c r="P1001" s="1690"/>
      <c r="Q1001" s="1690"/>
      <c r="R1001" s="1754"/>
    </row>
    <row r="1002" spans="1:18" s="1870" customFormat="1" ht="12.75">
      <c r="A1002" s="1743">
        <v>4220</v>
      </c>
      <c r="B1002" s="1977" t="s">
        <v>285</v>
      </c>
      <c r="C1002" s="1689">
        <v>80000</v>
      </c>
      <c r="D1002" s="893">
        <f t="shared" si="136"/>
        <v>80000</v>
      </c>
      <c r="E1002" s="1690">
        <f t="shared" si="151"/>
        <v>25596</v>
      </c>
      <c r="F1002" s="1666">
        <f t="shared" si="150"/>
        <v>31.995</v>
      </c>
      <c r="G1002" s="1690"/>
      <c r="H1002" s="1745"/>
      <c r="I1002" s="1746"/>
      <c r="J1002" s="1745"/>
      <c r="K1002" s="1690"/>
      <c r="L1002" s="1746"/>
      <c r="M1002" s="1689">
        <v>80000</v>
      </c>
      <c r="N1002" s="1690">
        <v>25596</v>
      </c>
      <c r="O1002" s="1695">
        <f t="shared" si="148"/>
        <v>31.995</v>
      </c>
      <c r="P1002" s="1690"/>
      <c r="Q1002" s="1690"/>
      <c r="R1002" s="1754"/>
    </row>
    <row r="1003" spans="1:18" s="1870" customFormat="1" ht="36">
      <c r="A1003" s="1743">
        <v>4240</v>
      </c>
      <c r="B1003" s="1977" t="s">
        <v>427</v>
      </c>
      <c r="C1003" s="1689">
        <v>5000</v>
      </c>
      <c r="D1003" s="893">
        <f t="shared" si="136"/>
        <v>5000</v>
      </c>
      <c r="E1003" s="1690">
        <f t="shared" si="151"/>
        <v>2383</v>
      </c>
      <c r="F1003" s="1666">
        <f t="shared" si="150"/>
        <v>47.660000000000004</v>
      </c>
      <c r="G1003" s="1690"/>
      <c r="H1003" s="1745"/>
      <c r="I1003" s="1746"/>
      <c r="J1003" s="1745"/>
      <c r="K1003" s="1690"/>
      <c r="L1003" s="1746"/>
      <c r="M1003" s="1689">
        <v>5000</v>
      </c>
      <c r="N1003" s="1690">
        <v>2383</v>
      </c>
      <c r="O1003" s="1695">
        <f t="shared" si="148"/>
        <v>47.660000000000004</v>
      </c>
      <c r="P1003" s="1690"/>
      <c r="Q1003" s="1690"/>
      <c r="R1003" s="1754"/>
    </row>
    <row r="1004" spans="1:18" s="1870" customFormat="1" ht="12.75">
      <c r="A1004" s="1743">
        <v>4260</v>
      </c>
      <c r="B1004" s="1977" t="s">
        <v>118</v>
      </c>
      <c r="C1004" s="1689">
        <v>62400</v>
      </c>
      <c r="D1004" s="893">
        <f t="shared" si="136"/>
        <v>62400</v>
      </c>
      <c r="E1004" s="1690">
        <f t="shared" si="151"/>
        <v>23343</v>
      </c>
      <c r="F1004" s="1666">
        <f t="shared" si="150"/>
        <v>37.40865384615385</v>
      </c>
      <c r="G1004" s="1690"/>
      <c r="H1004" s="1745"/>
      <c r="I1004" s="1746"/>
      <c r="J1004" s="1745"/>
      <c r="K1004" s="1690"/>
      <c r="L1004" s="1746"/>
      <c r="M1004" s="1689">
        <v>62400</v>
      </c>
      <c r="N1004" s="1690">
        <v>23343</v>
      </c>
      <c r="O1004" s="1695">
        <f t="shared" si="148"/>
        <v>37.40865384615385</v>
      </c>
      <c r="P1004" s="1690"/>
      <c r="Q1004" s="1690"/>
      <c r="R1004" s="1754"/>
    </row>
    <row r="1005" spans="1:18" s="1870" customFormat="1" ht="12.75">
      <c r="A1005" s="1743">
        <v>4270</v>
      </c>
      <c r="B1005" s="1977" t="s">
        <v>120</v>
      </c>
      <c r="C1005" s="1689">
        <v>8000</v>
      </c>
      <c r="D1005" s="893">
        <f t="shared" si="136"/>
        <v>41000</v>
      </c>
      <c r="E1005" s="1690">
        <f t="shared" si="151"/>
        <v>2347</v>
      </c>
      <c r="F1005" s="1666">
        <f t="shared" si="150"/>
        <v>5.724390243902439</v>
      </c>
      <c r="G1005" s="1690"/>
      <c r="H1005" s="1745"/>
      <c r="I1005" s="1746"/>
      <c r="J1005" s="1745"/>
      <c r="K1005" s="1690"/>
      <c r="L1005" s="1746"/>
      <c r="M1005" s="1689">
        <f>8000+33000</f>
        <v>41000</v>
      </c>
      <c r="N1005" s="1690">
        <v>2347</v>
      </c>
      <c r="O1005" s="1695">
        <f t="shared" si="148"/>
        <v>5.724390243902439</v>
      </c>
      <c r="P1005" s="1690"/>
      <c r="Q1005" s="1690"/>
      <c r="R1005" s="1754"/>
    </row>
    <row r="1006" spans="1:18" s="1870" customFormat="1" ht="12.75">
      <c r="A1006" s="1743">
        <v>4280</v>
      </c>
      <c r="B1006" s="1977" t="s">
        <v>170</v>
      </c>
      <c r="C1006" s="1689">
        <v>2300</v>
      </c>
      <c r="D1006" s="893">
        <f t="shared" si="136"/>
        <v>2300</v>
      </c>
      <c r="E1006" s="1690">
        <f t="shared" si="151"/>
        <v>75</v>
      </c>
      <c r="F1006" s="1666">
        <f t="shared" si="150"/>
        <v>3.260869565217391</v>
      </c>
      <c r="G1006" s="1690"/>
      <c r="H1006" s="1745"/>
      <c r="I1006" s="1746"/>
      <c r="J1006" s="1745"/>
      <c r="K1006" s="1690"/>
      <c r="L1006" s="1746"/>
      <c r="M1006" s="1689">
        <v>2300</v>
      </c>
      <c r="N1006" s="1690">
        <v>75</v>
      </c>
      <c r="O1006" s="1695">
        <f t="shared" si="148"/>
        <v>3.260869565217391</v>
      </c>
      <c r="P1006" s="1690"/>
      <c r="Q1006" s="1690"/>
      <c r="R1006" s="1754"/>
    </row>
    <row r="1007" spans="1:18" s="1870" customFormat="1" ht="12.75">
      <c r="A1007" s="1743">
        <v>4300</v>
      </c>
      <c r="B1007" s="1977" t="s">
        <v>122</v>
      </c>
      <c r="C1007" s="1689">
        <v>30400</v>
      </c>
      <c r="D1007" s="893">
        <f t="shared" si="136"/>
        <v>27700</v>
      </c>
      <c r="E1007" s="1690">
        <f t="shared" si="151"/>
        <v>6239</v>
      </c>
      <c r="F1007" s="1666">
        <f t="shared" si="150"/>
        <v>22.52346570397112</v>
      </c>
      <c r="G1007" s="1690"/>
      <c r="H1007" s="1745"/>
      <c r="I1007" s="1746"/>
      <c r="J1007" s="1745"/>
      <c r="K1007" s="1690"/>
      <c r="L1007" s="1746"/>
      <c r="M1007" s="1689">
        <v>27700</v>
      </c>
      <c r="N1007" s="1690">
        <v>6239</v>
      </c>
      <c r="O1007" s="1695">
        <f t="shared" si="148"/>
        <v>22.52346570397112</v>
      </c>
      <c r="P1007" s="1690"/>
      <c r="Q1007" s="1690"/>
      <c r="R1007" s="1754"/>
    </row>
    <row r="1008" spans="1:18" s="1870" customFormat="1" ht="24">
      <c r="A1008" s="1743">
        <v>4350</v>
      </c>
      <c r="B1008" s="1977" t="s">
        <v>326</v>
      </c>
      <c r="C1008" s="1689"/>
      <c r="D1008" s="893">
        <f t="shared" si="136"/>
        <v>1700</v>
      </c>
      <c r="E1008" s="1690">
        <f t="shared" si="151"/>
        <v>1174</v>
      </c>
      <c r="F1008" s="1666">
        <f t="shared" si="150"/>
        <v>69.05882352941177</v>
      </c>
      <c r="G1008" s="1690"/>
      <c r="H1008" s="1745"/>
      <c r="I1008" s="1746"/>
      <c r="J1008" s="1745"/>
      <c r="K1008" s="1690"/>
      <c r="L1008" s="1746"/>
      <c r="M1008" s="1689">
        <v>1700</v>
      </c>
      <c r="N1008" s="1690">
        <v>1174</v>
      </c>
      <c r="O1008" s="1695">
        <f t="shared" si="148"/>
        <v>69.05882352941177</v>
      </c>
      <c r="P1008" s="1690"/>
      <c r="Q1008" s="1690"/>
      <c r="R1008" s="1754"/>
    </row>
    <row r="1009" spans="1:18" s="1870" customFormat="1" ht="12.75">
      <c r="A1009" s="1743">
        <v>4410</v>
      </c>
      <c r="B1009" s="1977" t="s">
        <v>96</v>
      </c>
      <c r="C1009" s="1689">
        <v>200</v>
      </c>
      <c r="D1009" s="893">
        <f t="shared" si="136"/>
        <v>200</v>
      </c>
      <c r="E1009" s="1690">
        <f t="shared" si="151"/>
        <v>0</v>
      </c>
      <c r="F1009" s="1666">
        <f t="shared" si="150"/>
        <v>0</v>
      </c>
      <c r="G1009" s="1690"/>
      <c r="H1009" s="1745"/>
      <c r="I1009" s="1746"/>
      <c r="J1009" s="1745"/>
      <c r="K1009" s="1690"/>
      <c r="L1009" s="1746"/>
      <c r="M1009" s="1689">
        <v>200</v>
      </c>
      <c r="N1009" s="1690"/>
      <c r="O1009" s="1891">
        <f t="shared" si="148"/>
        <v>0</v>
      </c>
      <c r="P1009" s="1690"/>
      <c r="Q1009" s="1690"/>
      <c r="R1009" s="1754"/>
    </row>
    <row r="1010" spans="1:18" s="1870" customFormat="1" ht="12.75" hidden="1">
      <c r="A1010" s="1743">
        <v>4430</v>
      </c>
      <c r="B1010" s="1977" t="s">
        <v>124</v>
      </c>
      <c r="C1010" s="1689"/>
      <c r="D1010" s="893">
        <f>G1010+J1010+P1010+M1010</f>
        <v>0</v>
      </c>
      <c r="E1010" s="1690">
        <f t="shared" si="151"/>
        <v>0</v>
      </c>
      <c r="F1010" s="1666" t="e">
        <f t="shared" si="150"/>
        <v>#DIV/0!</v>
      </c>
      <c r="G1010" s="1690"/>
      <c r="H1010" s="1745"/>
      <c r="I1010" s="1746"/>
      <c r="J1010" s="1745"/>
      <c r="K1010" s="1690"/>
      <c r="L1010" s="1746"/>
      <c r="M1010" s="1689"/>
      <c r="N1010" s="1690"/>
      <c r="O1010" s="1695" t="e">
        <f t="shared" si="148"/>
        <v>#DIV/0!</v>
      </c>
      <c r="P1010" s="1690"/>
      <c r="Q1010" s="1690"/>
      <c r="R1010" s="1754"/>
    </row>
    <row r="1011" spans="1:18" s="1870" customFormat="1" ht="36">
      <c r="A1011" s="1743">
        <v>6060</v>
      </c>
      <c r="B1011" s="1977" t="s">
        <v>293</v>
      </c>
      <c r="C1011" s="1689">
        <v>27000</v>
      </c>
      <c r="D1011" s="893">
        <f>G1011+J1011+P1011+M1011</f>
        <v>27000</v>
      </c>
      <c r="E1011" s="1690">
        <f t="shared" si="151"/>
        <v>22387</v>
      </c>
      <c r="F1011" s="1666">
        <f t="shared" si="150"/>
        <v>82.91481481481482</v>
      </c>
      <c r="G1011" s="1690"/>
      <c r="H1011" s="1745"/>
      <c r="I1011" s="1746"/>
      <c r="J1011" s="1745"/>
      <c r="K1011" s="1690"/>
      <c r="L1011" s="1746"/>
      <c r="M1011" s="1689">
        <v>27000</v>
      </c>
      <c r="N1011" s="1690">
        <v>22387</v>
      </c>
      <c r="O1011" s="1695">
        <f t="shared" si="148"/>
        <v>82.91481481481482</v>
      </c>
      <c r="P1011" s="1690"/>
      <c r="Q1011" s="1690"/>
      <c r="R1011" s="1754"/>
    </row>
    <row r="1012" spans="1:18" s="1870" customFormat="1" ht="12.75">
      <c r="A1012" s="1798">
        <v>4440</v>
      </c>
      <c r="B1012" s="1978" t="s">
        <v>126</v>
      </c>
      <c r="C1012" s="1800">
        <v>39700</v>
      </c>
      <c r="D1012" s="925">
        <f>G1012+J1012+P1012+M1012</f>
        <v>39700</v>
      </c>
      <c r="E1012" s="1791">
        <f t="shared" si="151"/>
        <v>31700</v>
      </c>
      <c r="F1012" s="1719">
        <f t="shared" si="150"/>
        <v>79.84886649874056</v>
      </c>
      <c r="G1012" s="1791"/>
      <c r="H1012" s="1801"/>
      <c r="I1012" s="1857"/>
      <c r="J1012" s="1801"/>
      <c r="K1012" s="1791"/>
      <c r="L1012" s="1857"/>
      <c r="M1012" s="1800">
        <v>39700</v>
      </c>
      <c r="N1012" s="1791">
        <v>31700</v>
      </c>
      <c r="O1012" s="1974">
        <f t="shared" si="148"/>
        <v>79.84886649874056</v>
      </c>
      <c r="P1012" s="1791"/>
      <c r="Q1012" s="1791"/>
      <c r="R1012" s="1845"/>
    </row>
    <row r="1013" spans="1:18" ht="24" customHeight="1" hidden="1">
      <c r="A1013" s="1736"/>
      <c r="B1013" s="1976"/>
      <c r="C1013" s="1738"/>
      <c r="D1013" s="908"/>
      <c r="E1013" s="1680"/>
      <c r="F1013" s="1681"/>
      <c r="G1013" s="1680"/>
      <c r="H1013" s="1680"/>
      <c r="I1013" s="1776"/>
      <c r="J1013" s="1740"/>
      <c r="K1013" s="1680"/>
      <c r="L1013" s="1741"/>
      <c r="M1013" s="1680"/>
      <c r="N1013" s="1680"/>
      <c r="O1013" s="1688"/>
      <c r="P1013" s="1680"/>
      <c r="Q1013" s="1680"/>
      <c r="R1013" s="1782"/>
    </row>
    <row r="1014" spans="1:18" ht="12.75" hidden="1">
      <c r="A1014" s="1722"/>
      <c r="B1014" s="1997"/>
      <c r="C1014" s="1689"/>
      <c r="D1014" s="893"/>
      <c r="E1014" s="1690"/>
      <c r="F1014" s="1666"/>
      <c r="G1014" s="1790"/>
      <c r="H1014" s="1781"/>
      <c r="I1014" s="1669"/>
      <c r="J1014" s="1854"/>
      <c r="K1014" s="1707"/>
      <c r="L1014" s="1849"/>
      <c r="M1014" s="1707"/>
      <c r="N1014" s="1707"/>
      <c r="O1014" s="1695"/>
      <c r="P1014" s="1707"/>
      <c r="Q1014" s="1707"/>
      <c r="R1014" s="1856"/>
    </row>
    <row r="1015" spans="1:18" s="1735" customFormat="1" ht="12.75" hidden="1">
      <c r="A1015" s="1736"/>
      <c r="B1015" s="1976"/>
      <c r="C1015" s="1738"/>
      <c r="D1015" s="908"/>
      <c r="E1015" s="1680"/>
      <c r="F1015" s="1681"/>
      <c r="G1015" s="1680"/>
      <c r="H1015" s="1740"/>
      <c r="I1015" s="1881"/>
      <c r="J1015" s="1740"/>
      <c r="K1015" s="1680"/>
      <c r="L1015" s="1741"/>
      <c r="M1015" s="1680"/>
      <c r="N1015" s="1680"/>
      <c r="O1015" s="1688"/>
      <c r="P1015" s="1680"/>
      <c r="Q1015" s="1680"/>
      <c r="R1015" s="1782"/>
    </row>
    <row r="1016" spans="1:18" s="1735" customFormat="1" ht="12.75" hidden="1">
      <c r="A1016" s="1743"/>
      <c r="B1016" s="1977"/>
      <c r="C1016" s="1689"/>
      <c r="D1016" s="893"/>
      <c r="E1016" s="1690"/>
      <c r="F1016" s="1666"/>
      <c r="G1016" s="1690"/>
      <c r="H1016" s="1745"/>
      <c r="I1016" s="1746"/>
      <c r="J1016" s="1745"/>
      <c r="K1016" s="1690"/>
      <c r="L1016" s="1746"/>
      <c r="M1016" s="1693"/>
      <c r="N1016" s="1707"/>
      <c r="O1016" s="1695"/>
      <c r="P1016" s="1690"/>
      <c r="Q1016" s="1690"/>
      <c r="R1016" s="1754"/>
    </row>
    <row r="1017" spans="1:18" s="1735" customFormat="1" ht="12.75" hidden="1">
      <c r="A1017" s="1743"/>
      <c r="B1017" s="1977"/>
      <c r="C1017" s="1689"/>
      <c r="D1017" s="893"/>
      <c r="E1017" s="1690"/>
      <c r="F1017" s="1666"/>
      <c r="G1017" s="1690"/>
      <c r="H1017" s="1745"/>
      <c r="I1017" s="1746"/>
      <c r="J1017" s="1745"/>
      <c r="K1017" s="1690"/>
      <c r="L1017" s="1746"/>
      <c r="M1017" s="1689"/>
      <c r="N1017" s="1690"/>
      <c r="O1017" s="1695"/>
      <c r="P1017" s="1690"/>
      <c r="Q1017" s="1690"/>
      <c r="R1017" s="1754"/>
    </row>
    <row r="1018" spans="1:18" s="1735" customFormat="1" ht="12.75" hidden="1">
      <c r="A1018" s="1743"/>
      <c r="B1018" s="1977"/>
      <c r="C1018" s="1689"/>
      <c r="D1018" s="893"/>
      <c r="E1018" s="1690"/>
      <c r="F1018" s="1666"/>
      <c r="G1018" s="1690"/>
      <c r="H1018" s="1745"/>
      <c r="I1018" s="1746"/>
      <c r="J1018" s="1745"/>
      <c r="K1018" s="1690"/>
      <c r="L1018" s="1746"/>
      <c r="M1018" s="1689"/>
      <c r="N1018" s="1690"/>
      <c r="O1018" s="1669"/>
      <c r="P1018" s="1690"/>
      <c r="Q1018" s="1690"/>
      <c r="R1018" s="1754"/>
    </row>
    <row r="1019" spans="1:18" s="1735" customFormat="1" ht="12.75" hidden="1">
      <c r="A1019" s="1743"/>
      <c r="B1019" s="1977"/>
      <c r="C1019" s="1689"/>
      <c r="D1019" s="893"/>
      <c r="E1019" s="1690"/>
      <c r="F1019" s="1666"/>
      <c r="G1019" s="1690"/>
      <c r="H1019" s="1745"/>
      <c r="I1019" s="1746"/>
      <c r="J1019" s="1745"/>
      <c r="K1019" s="1690"/>
      <c r="L1019" s="1746"/>
      <c r="M1019" s="1689"/>
      <c r="N1019" s="1690"/>
      <c r="O1019" s="1695"/>
      <c r="P1019" s="1690"/>
      <c r="Q1019" s="1690"/>
      <c r="R1019" s="1754"/>
    </row>
    <row r="1020" spans="1:18" s="1735" customFormat="1" ht="12.75" hidden="1">
      <c r="A1020" s="1743"/>
      <c r="B1020" s="1977"/>
      <c r="C1020" s="1689"/>
      <c r="D1020" s="893"/>
      <c r="E1020" s="1690"/>
      <c r="F1020" s="1666"/>
      <c r="G1020" s="1690"/>
      <c r="H1020" s="1745"/>
      <c r="I1020" s="1746"/>
      <c r="J1020" s="1745"/>
      <c r="K1020" s="1690"/>
      <c r="L1020" s="1746"/>
      <c r="M1020" s="1689"/>
      <c r="N1020" s="1690"/>
      <c r="O1020" s="1695"/>
      <c r="P1020" s="1690"/>
      <c r="Q1020" s="1690"/>
      <c r="R1020" s="1754"/>
    </row>
    <row r="1021" spans="1:18" s="1735" customFormat="1" ht="12.75" hidden="1">
      <c r="A1021" s="1743"/>
      <c r="B1021" s="1977"/>
      <c r="C1021" s="1689"/>
      <c r="D1021" s="893"/>
      <c r="E1021" s="1690"/>
      <c r="F1021" s="1666"/>
      <c r="G1021" s="1690"/>
      <c r="H1021" s="1745"/>
      <c r="I1021" s="1746"/>
      <c r="J1021" s="1745"/>
      <c r="K1021" s="1690"/>
      <c r="L1021" s="1746"/>
      <c r="M1021" s="1689"/>
      <c r="N1021" s="1690"/>
      <c r="O1021" s="1695"/>
      <c r="P1021" s="1690"/>
      <c r="Q1021" s="1690"/>
      <c r="R1021" s="1754"/>
    </row>
    <row r="1022" spans="1:18" s="1735" customFormat="1" ht="12.75" hidden="1">
      <c r="A1022" s="1743"/>
      <c r="B1022" s="1977"/>
      <c r="C1022" s="1689"/>
      <c r="D1022" s="893"/>
      <c r="E1022" s="1690"/>
      <c r="F1022" s="1666"/>
      <c r="G1022" s="1690"/>
      <c r="H1022" s="1745"/>
      <c r="I1022" s="1746"/>
      <c r="J1022" s="1745"/>
      <c r="K1022" s="1690"/>
      <c r="L1022" s="1746"/>
      <c r="M1022" s="1689"/>
      <c r="N1022" s="1690"/>
      <c r="O1022" s="1695"/>
      <c r="P1022" s="1690"/>
      <c r="Q1022" s="1690"/>
      <c r="R1022" s="1754"/>
    </row>
    <row r="1023" spans="1:18" s="1735" customFormat="1" ht="12.75" hidden="1">
      <c r="A1023" s="1743"/>
      <c r="B1023" s="1977"/>
      <c r="C1023" s="1689"/>
      <c r="D1023" s="893"/>
      <c r="E1023" s="1690"/>
      <c r="F1023" s="1666"/>
      <c r="G1023" s="1690"/>
      <c r="H1023" s="1745"/>
      <c r="I1023" s="1746"/>
      <c r="J1023" s="1745"/>
      <c r="K1023" s="1690"/>
      <c r="L1023" s="1746"/>
      <c r="M1023" s="1689"/>
      <c r="N1023" s="1690"/>
      <c r="O1023" s="1695"/>
      <c r="P1023" s="1690"/>
      <c r="Q1023" s="1690"/>
      <c r="R1023" s="1754"/>
    </row>
    <row r="1024" spans="1:18" s="1735" customFormat="1" ht="12.75" hidden="1">
      <c r="A1024" s="1743"/>
      <c r="B1024" s="1977"/>
      <c r="C1024" s="1689"/>
      <c r="D1024" s="893"/>
      <c r="E1024" s="1690"/>
      <c r="F1024" s="1666"/>
      <c r="G1024" s="1690"/>
      <c r="H1024" s="1745"/>
      <c r="I1024" s="1746"/>
      <c r="J1024" s="1745"/>
      <c r="K1024" s="1690"/>
      <c r="L1024" s="1746"/>
      <c r="M1024" s="1689"/>
      <c r="N1024" s="1690"/>
      <c r="O1024" s="1695"/>
      <c r="P1024" s="1690"/>
      <c r="Q1024" s="1690"/>
      <c r="R1024" s="1754"/>
    </row>
    <row r="1025" spans="1:18" s="1735" customFormat="1" ht="12.75" hidden="1">
      <c r="A1025" s="1743"/>
      <c r="B1025" s="1977"/>
      <c r="C1025" s="1689"/>
      <c r="D1025" s="893"/>
      <c r="E1025" s="1690"/>
      <c r="F1025" s="1666"/>
      <c r="G1025" s="1690"/>
      <c r="H1025" s="1745"/>
      <c r="I1025" s="1746"/>
      <c r="J1025" s="1745"/>
      <c r="K1025" s="1690"/>
      <c r="L1025" s="1746"/>
      <c r="M1025" s="1689"/>
      <c r="N1025" s="1690"/>
      <c r="O1025" s="1695"/>
      <c r="P1025" s="1690"/>
      <c r="Q1025" s="1690"/>
      <c r="R1025" s="1754"/>
    </row>
    <row r="1026" spans="1:18" s="1735" customFormat="1" ht="12.75" hidden="1">
      <c r="A1026" s="1743"/>
      <c r="B1026" s="1977"/>
      <c r="C1026" s="1689"/>
      <c r="D1026" s="893"/>
      <c r="E1026" s="1690"/>
      <c r="F1026" s="1666"/>
      <c r="G1026" s="1690"/>
      <c r="H1026" s="1745"/>
      <c r="I1026" s="1746"/>
      <c r="J1026" s="1745"/>
      <c r="K1026" s="1690"/>
      <c r="L1026" s="1746"/>
      <c r="M1026" s="1689"/>
      <c r="N1026" s="1690"/>
      <c r="O1026" s="1695"/>
      <c r="P1026" s="1690"/>
      <c r="Q1026" s="1690"/>
      <c r="R1026" s="1754"/>
    </row>
    <row r="1027" spans="1:18" s="1735" customFormat="1" ht="12.75" hidden="1">
      <c r="A1027" s="1798"/>
      <c r="B1027" s="1978"/>
      <c r="C1027" s="1800"/>
      <c r="D1027" s="925"/>
      <c r="E1027" s="1791"/>
      <c r="F1027" s="1719"/>
      <c r="G1027" s="1791"/>
      <c r="H1027" s="1801"/>
      <c r="I1027" s="1857"/>
      <c r="J1027" s="1801"/>
      <c r="K1027" s="1791"/>
      <c r="L1027" s="1857"/>
      <c r="M1027" s="1800"/>
      <c r="N1027" s="1791"/>
      <c r="O1027" s="1974"/>
      <c r="P1027" s="1791"/>
      <c r="Q1027" s="1791"/>
      <c r="R1027" s="1845"/>
    </row>
    <row r="1028" spans="1:18" s="1735" customFormat="1" ht="48">
      <c r="A1028" s="1736">
        <v>85406</v>
      </c>
      <c r="B1028" s="1976" t="s">
        <v>428</v>
      </c>
      <c r="C1028" s="1738">
        <f>SUM(C1029:C1043)</f>
        <v>1181900</v>
      </c>
      <c r="D1028" s="908">
        <f aca="true" t="shared" si="152" ref="D1028:E1104">G1028+J1028+P1028+M1028</f>
        <v>1181900</v>
      </c>
      <c r="E1028" s="1680">
        <f>H1028+K1028+Q1028+N1028</f>
        <v>594285</v>
      </c>
      <c r="F1028" s="1681">
        <f t="shared" si="150"/>
        <v>50.2821727726542</v>
      </c>
      <c r="G1028" s="1781"/>
      <c r="H1028" s="1777"/>
      <c r="I1028" s="1881"/>
      <c r="J1028" s="1777"/>
      <c r="K1028" s="1781"/>
      <c r="L1028" s="1881"/>
      <c r="M1028" s="1680">
        <f>SUM(M1029:M1044)</f>
        <v>1181900</v>
      </c>
      <c r="N1028" s="1680">
        <f>SUM(N1029:N1044)</f>
        <v>594285</v>
      </c>
      <c r="O1028" s="1688">
        <f t="shared" si="148"/>
        <v>50.2821727726542</v>
      </c>
      <c r="P1028" s="1680"/>
      <c r="Q1028" s="1680"/>
      <c r="R1028" s="1782"/>
    </row>
    <row r="1029" spans="1:18" s="1735" customFormat="1" ht="24">
      <c r="A1029" s="1743">
        <v>3020</v>
      </c>
      <c r="B1029" s="1997" t="s">
        <v>332</v>
      </c>
      <c r="C1029" s="1689">
        <v>4300</v>
      </c>
      <c r="D1029" s="893">
        <f t="shared" si="152"/>
        <v>4300</v>
      </c>
      <c r="E1029" s="1690">
        <f aca="true" t="shared" si="153" ref="E1029:E1043">SUM(H1029+K1029+N1029+Q1029)</f>
        <v>89</v>
      </c>
      <c r="F1029" s="1666">
        <f t="shared" si="150"/>
        <v>2.0697674418604652</v>
      </c>
      <c r="G1029" s="1690"/>
      <c r="H1029" s="1745"/>
      <c r="I1029" s="1746"/>
      <c r="J1029" s="1745"/>
      <c r="K1029" s="1690"/>
      <c r="L1029" s="1746"/>
      <c r="M1029" s="1689">
        <v>4300</v>
      </c>
      <c r="N1029" s="1690">
        <v>89</v>
      </c>
      <c r="O1029" s="1695">
        <f t="shared" si="148"/>
        <v>2.0697674418604652</v>
      </c>
      <c r="P1029" s="1690"/>
      <c r="Q1029" s="1690"/>
      <c r="R1029" s="1754"/>
    </row>
    <row r="1030" spans="1:18" s="1735" customFormat="1" ht="24">
      <c r="A1030" s="1743">
        <v>4010</v>
      </c>
      <c r="B1030" s="1977" t="s">
        <v>104</v>
      </c>
      <c r="C1030" s="1689">
        <v>800000</v>
      </c>
      <c r="D1030" s="893">
        <f t="shared" si="152"/>
        <v>801528</v>
      </c>
      <c r="E1030" s="1690">
        <f t="shared" si="153"/>
        <v>372496</v>
      </c>
      <c r="F1030" s="1666">
        <f t="shared" si="150"/>
        <v>46.47323611901268</v>
      </c>
      <c r="G1030" s="1690"/>
      <c r="H1030" s="1745"/>
      <c r="I1030" s="1746"/>
      <c r="J1030" s="1745"/>
      <c r="K1030" s="1690"/>
      <c r="L1030" s="1746"/>
      <c r="M1030" s="1689">
        <f>800000+1528</f>
        <v>801528</v>
      </c>
      <c r="N1030" s="1690">
        <v>372496</v>
      </c>
      <c r="O1030" s="1695">
        <f t="shared" si="148"/>
        <v>46.47323611901268</v>
      </c>
      <c r="P1030" s="1690"/>
      <c r="Q1030" s="1690"/>
      <c r="R1030" s="1754"/>
    </row>
    <row r="1031" spans="1:18" s="1735" customFormat="1" ht="24">
      <c r="A1031" s="1743">
        <v>4040</v>
      </c>
      <c r="B1031" s="1977" t="s">
        <v>108</v>
      </c>
      <c r="C1031" s="1689">
        <v>61700</v>
      </c>
      <c r="D1031" s="893">
        <f t="shared" si="152"/>
        <v>60172</v>
      </c>
      <c r="E1031" s="1690">
        <f t="shared" si="153"/>
        <v>60172</v>
      </c>
      <c r="F1031" s="1666">
        <f t="shared" si="150"/>
        <v>100</v>
      </c>
      <c r="G1031" s="1690"/>
      <c r="H1031" s="1745"/>
      <c r="I1031" s="1746"/>
      <c r="J1031" s="1745"/>
      <c r="K1031" s="1690"/>
      <c r="L1031" s="1746"/>
      <c r="M1031" s="1689">
        <f>61700-1528</f>
        <v>60172</v>
      </c>
      <c r="N1031" s="1690">
        <v>60172</v>
      </c>
      <c r="O1031" s="1891">
        <f t="shared" si="148"/>
        <v>100</v>
      </c>
      <c r="P1031" s="1690"/>
      <c r="Q1031" s="1690"/>
      <c r="R1031" s="1754"/>
    </row>
    <row r="1032" spans="1:18" s="1735" customFormat="1" ht="24">
      <c r="A1032" s="1743">
        <v>4110</v>
      </c>
      <c r="B1032" s="1977" t="s">
        <v>110</v>
      </c>
      <c r="C1032" s="1689">
        <v>153000</v>
      </c>
      <c r="D1032" s="893">
        <f t="shared" si="152"/>
        <v>153000</v>
      </c>
      <c r="E1032" s="1690">
        <f t="shared" si="153"/>
        <v>66802</v>
      </c>
      <c r="F1032" s="1666">
        <f t="shared" si="150"/>
        <v>43.66143790849673</v>
      </c>
      <c r="G1032" s="1690"/>
      <c r="H1032" s="1745"/>
      <c r="I1032" s="1746"/>
      <c r="J1032" s="1745"/>
      <c r="K1032" s="1690"/>
      <c r="L1032" s="1746"/>
      <c r="M1032" s="1689">
        <v>153000</v>
      </c>
      <c r="N1032" s="1690">
        <v>66802</v>
      </c>
      <c r="O1032" s="1695">
        <f t="shared" si="148"/>
        <v>43.66143790849673</v>
      </c>
      <c r="P1032" s="1690"/>
      <c r="Q1032" s="1690"/>
      <c r="R1032" s="1754"/>
    </row>
    <row r="1033" spans="1:18" s="1735" customFormat="1" ht="12.75">
      <c r="A1033" s="1743">
        <v>4120</v>
      </c>
      <c r="B1033" s="1977" t="s">
        <v>208</v>
      </c>
      <c r="C1033" s="1689">
        <v>21000</v>
      </c>
      <c r="D1033" s="893">
        <f t="shared" si="152"/>
        <v>21000</v>
      </c>
      <c r="E1033" s="1690">
        <f>SUM(H1033+K1033+N1033+Q1033)</f>
        <v>10033</v>
      </c>
      <c r="F1033" s="1666">
        <f>E1033/D1033*100</f>
        <v>47.77619047619048</v>
      </c>
      <c r="G1033" s="1690"/>
      <c r="H1033" s="1745"/>
      <c r="I1033" s="1746"/>
      <c r="J1033" s="1745"/>
      <c r="K1033" s="1690"/>
      <c r="L1033" s="1746"/>
      <c r="M1033" s="1689">
        <v>21000</v>
      </c>
      <c r="N1033" s="1690">
        <v>10033</v>
      </c>
      <c r="O1033" s="1695">
        <f>N1033/M1033*100</f>
        <v>47.77619047619048</v>
      </c>
      <c r="P1033" s="1690"/>
      <c r="Q1033" s="1690"/>
      <c r="R1033" s="1754"/>
    </row>
    <row r="1034" spans="1:18" s="1735" customFormat="1" ht="12.75">
      <c r="A1034" s="1743">
        <v>4140</v>
      </c>
      <c r="B1034" s="1977" t="s">
        <v>168</v>
      </c>
      <c r="C1034" s="1689">
        <v>7200</v>
      </c>
      <c r="D1034" s="893">
        <f t="shared" si="152"/>
        <v>7200</v>
      </c>
      <c r="E1034" s="1690">
        <f t="shared" si="153"/>
        <v>724</v>
      </c>
      <c r="F1034" s="1666">
        <f t="shared" si="150"/>
        <v>10.055555555555555</v>
      </c>
      <c r="G1034" s="1690"/>
      <c r="H1034" s="1745"/>
      <c r="I1034" s="1746"/>
      <c r="J1034" s="1745"/>
      <c r="K1034" s="1690"/>
      <c r="L1034" s="1746"/>
      <c r="M1034" s="1689">
        <v>7200</v>
      </c>
      <c r="N1034" s="1690">
        <v>724</v>
      </c>
      <c r="O1034" s="1695">
        <f t="shared" si="148"/>
        <v>10.055555555555555</v>
      </c>
      <c r="P1034" s="1690"/>
      <c r="Q1034" s="1690"/>
      <c r="R1034" s="1754"/>
    </row>
    <row r="1035" spans="1:18" s="1735" customFormat="1" ht="24">
      <c r="A1035" s="1743">
        <v>4210</v>
      </c>
      <c r="B1035" s="1977" t="s">
        <v>114</v>
      </c>
      <c r="C1035" s="1689">
        <v>15000</v>
      </c>
      <c r="D1035" s="893">
        <f t="shared" si="152"/>
        <v>15000</v>
      </c>
      <c r="E1035" s="1690">
        <f t="shared" si="153"/>
        <v>9458</v>
      </c>
      <c r="F1035" s="1666">
        <f t="shared" si="150"/>
        <v>63.05333333333333</v>
      </c>
      <c r="G1035" s="1690"/>
      <c r="H1035" s="1745"/>
      <c r="I1035" s="1746"/>
      <c r="J1035" s="1745"/>
      <c r="K1035" s="1690"/>
      <c r="L1035" s="1746"/>
      <c r="M1035" s="1689">
        <v>15000</v>
      </c>
      <c r="N1035" s="1690">
        <v>9458</v>
      </c>
      <c r="O1035" s="1695">
        <f t="shared" si="148"/>
        <v>63.05333333333333</v>
      </c>
      <c r="P1035" s="1690"/>
      <c r="Q1035" s="1690"/>
      <c r="R1035" s="1754"/>
    </row>
    <row r="1036" spans="1:18" s="1735" customFormat="1" ht="36">
      <c r="A1036" s="1743">
        <v>4240</v>
      </c>
      <c r="B1036" s="1977" t="s">
        <v>429</v>
      </c>
      <c r="C1036" s="1689">
        <v>2500</v>
      </c>
      <c r="D1036" s="893">
        <f t="shared" si="152"/>
        <v>2500</v>
      </c>
      <c r="E1036" s="1690">
        <f t="shared" si="153"/>
        <v>1243</v>
      </c>
      <c r="F1036" s="1666">
        <f t="shared" si="150"/>
        <v>49.72</v>
      </c>
      <c r="G1036" s="1690"/>
      <c r="H1036" s="1745"/>
      <c r="I1036" s="1746"/>
      <c r="J1036" s="1745"/>
      <c r="K1036" s="1690"/>
      <c r="L1036" s="1746"/>
      <c r="M1036" s="1689">
        <v>2500</v>
      </c>
      <c r="N1036" s="1690">
        <v>1243</v>
      </c>
      <c r="O1036" s="1695">
        <f t="shared" si="148"/>
        <v>49.72</v>
      </c>
      <c r="P1036" s="1690"/>
      <c r="Q1036" s="1690"/>
      <c r="R1036" s="1754"/>
    </row>
    <row r="1037" spans="1:18" s="1735" customFormat="1" ht="12.75">
      <c r="A1037" s="1743">
        <v>4260</v>
      </c>
      <c r="B1037" s="1977" t="s">
        <v>118</v>
      </c>
      <c r="C1037" s="1689">
        <v>27000</v>
      </c>
      <c r="D1037" s="893">
        <f t="shared" si="152"/>
        <v>20000</v>
      </c>
      <c r="E1037" s="1690">
        <f t="shared" si="153"/>
        <v>11780</v>
      </c>
      <c r="F1037" s="1666">
        <f t="shared" si="150"/>
        <v>58.9</v>
      </c>
      <c r="G1037" s="1690"/>
      <c r="H1037" s="1745"/>
      <c r="I1037" s="1746"/>
      <c r="J1037" s="1745"/>
      <c r="K1037" s="1690"/>
      <c r="L1037" s="1746"/>
      <c r="M1037" s="1689">
        <v>20000</v>
      </c>
      <c r="N1037" s="1690">
        <v>11780</v>
      </c>
      <c r="O1037" s="1695">
        <f t="shared" si="148"/>
        <v>58.9</v>
      </c>
      <c r="P1037" s="1690"/>
      <c r="Q1037" s="1690"/>
      <c r="R1037" s="1754"/>
    </row>
    <row r="1038" spans="1:18" s="1735" customFormat="1" ht="12.75">
      <c r="A1038" s="1743">
        <v>4280</v>
      </c>
      <c r="B1038" s="1977" t="s">
        <v>170</v>
      </c>
      <c r="C1038" s="1689">
        <v>1200</v>
      </c>
      <c r="D1038" s="893">
        <f t="shared" si="152"/>
        <v>1200</v>
      </c>
      <c r="E1038" s="1690">
        <f t="shared" si="153"/>
        <v>154</v>
      </c>
      <c r="F1038" s="1666">
        <f t="shared" si="150"/>
        <v>12.833333333333332</v>
      </c>
      <c r="G1038" s="1690"/>
      <c r="H1038" s="1745"/>
      <c r="I1038" s="1746"/>
      <c r="J1038" s="1745"/>
      <c r="K1038" s="1690"/>
      <c r="L1038" s="1746"/>
      <c r="M1038" s="1689">
        <v>1200</v>
      </c>
      <c r="N1038" s="1690">
        <v>154</v>
      </c>
      <c r="O1038" s="1695">
        <f t="shared" si="148"/>
        <v>12.833333333333332</v>
      </c>
      <c r="P1038" s="1690"/>
      <c r="Q1038" s="1690"/>
      <c r="R1038" s="1754"/>
    </row>
    <row r="1039" spans="1:18" s="1735" customFormat="1" ht="12.75">
      <c r="A1039" s="1743">
        <v>4300</v>
      </c>
      <c r="B1039" s="1977" t="s">
        <v>122</v>
      </c>
      <c r="C1039" s="1689">
        <v>40000</v>
      </c>
      <c r="D1039" s="893">
        <f t="shared" si="152"/>
        <v>37600</v>
      </c>
      <c r="E1039" s="1690">
        <f t="shared" si="153"/>
        <v>17635</v>
      </c>
      <c r="F1039" s="1666">
        <f t="shared" si="150"/>
        <v>46.901595744680854</v>
      </c>
      <c r="G1039" s="1690"/>
      <c r="H1039" s="1745"/>
      <c r="I1039" s="1746"/>
      <c r="J1039" s="1745"/>
      <c r="K1039" s="1690"/>
      <c r="L1039" s="1746"/>
      <c r="M1039" s="1689">
        <v>37600</v>
      </c>
      <c r="N1039" s="1690">
        <v>17635</v>
      </c>
      <c r="O1039" s="1695">
        <f t="shared" si="148"/>
        <v>46.901595744680854</v>
      </c>
      <c r="P1039" s="1690"/>
      <c r="Q1039" s="1690"/>
      <c r="R1039" s="1754"/>
    </row>
    <row r="1040" spans="1:18" s="1735" customFormat="1" ht="24">
      <c r="A1040" s="1743">
        <v>4350</v>
      </c>
      <c r="B1040" s="1977" t="s">
        <v>326</v>
      </c>
      <c r="C1040" s="1689"/>
      <c r="D1040" s="893">
        <f t="shared" si="152"/>
        <v>2400</v>
      </c>
      <c r="E1040" s="1690">
        <f t="shared" si="153"/>
        <v>280</v>
      </c>
      <c r="F1040" s="1666">
        <f t="shared" si="150"/>
        <v>11.666666666666666</v>
      </c>
      <c r="G1040" s="1690"/>
      <c r="H1040" s="1745"/>
      <c r="I1040" s="1746"/>
      <c r="J1040" s="1745"/>
      <c r="K1040" s="1690"/>
      <c r="L1040" s="1746"/>
      <c r="M1040" s="1689">
        <v>2400</v>
      </c>
      <c r="N1040" s="1690">
        <v>280</v>
      </c>
      <c r="O1040" s="1695">
        <f t="shared" si="148"/>
        <v>11.666666666666666</v>
      </c>
      <c r="P1040" s="1690"/>
      <c r="Q1040" s="1690"/>
      <c r="R1040" s="1754"/>
    </row>
    <row r="1041" spans="1:18" s="1735" customFormat="1" ht="12.75">
      <c r="A1041" s="1743">
        <v>4410</v>
      </c>
      <c r="B1041" s="1977" t="s">
        <v>96</v>
      </c>
      <c r="C1041" s="1689">
        <v>1800</v>
      </c>
      <c r="D1041" s="893">
        <f t="shared" si="152"/>
        <v>1800</v>
      </c>
      <c r="E1041" s="1690">
        <f t="shared" si="153"/>
        <v>1019</v>
      </c>
      <c r="F1041" s="1666">
        <f t="shared" si="150"/>
        <v>56.611111111111114</v>
      </c>
      <c r="G1041" s="1690"/>
      <c r="H1041" s="1745"/>
      <c r="I1041" s="1746"/>
      <c r="J1041" s="1745"/>
      <c r="K1041" s="1690"/>
      <c r="L1041" s="1746"/>
      <c r="M1041" s="1689">
        <v>1800</v>
      </c>
      <c r="N1041" s="1690">
        <v>1019</v>
      </c>
      <c r="O1041" s="1695">
        <f t="shared" si="148"/>
        <v>56.611111111111114</v>
      </c>
      <c r="P1041" s="1690"/>
      <c r="Q1041" s="1690"/>
      <c r="R1041" s="1754"/>
    </row>
    <row r="1042" spans="1:18" s="1735" customFormat="1" ht="12.75">
      <c r="A1042" s="1743">
        <v>4440</v>
      </c>
      <c r="B1042" s="1977" t="s">
        <v>126</v>
      </c>
      <c r="C1042" s="1689">
        <v>47200</v>
      </c>
      <c r="D1042" s="893">
        <f t="shared" si="152"/>
        <v>47200</v>
      </c>
      <c r="E1042" s="1690">
        <f t="shared" si="153"/>
        <v>35400</v>
      </c>
      <c r="F1042" s="1666">
        <f t="shared" si="150"/>
        <v>75</v>
      </c>
      <c r="G1042" s="1690"/>
      <c r="H1042" s="1745"/>
      <c r="I1042" s="1746"/>
      <c r="J1042" s="1745"/>
      <c r="K1042" s="1690"/>
      <c r="L1042" s="1746"/>
      <c r="M1042" s="1689">
        <v>47200</v>
      </c>
      <c r="N1042" s="1690">
        <v>35400</v>
      </c>
      <c r="O1042" s="1695">
        <f aca="true" t="shared" si="154" ref="O1042:O1081">N1042/M1042*100</f>
        <v>75</v>
      </c>
      <c r="P1042" s="1690"/>
      <c r="Q1042" s="1690"/>
      <c r="R1042" s="1754"/>
    </row>
    <row r="1043" spans="1:18" s="1735" customFormat="1" ht="36">
      <c r="A1043" s="1743">
        <v>6060</v>
      </c>
      <c r="B1043" s="1977" t="s">
        <v>293</v>
      </c>
      <c r="C1043" s="1689"/>
      <c r="D1043" s="893">
        <f t="shared" si="152"/>
        <v>7000</v>
      </c>
      <c r="E1043" s="1690">
        <f t="shared" si="153"/>
        <v>7000</v>
      </c>
      <c r="F1043" s="1666">
        <f t="shared" si="150"/>
        <v>100</v>
      </c>
      <c r="G1043" s="1690"/>
      <c r="H1043" s="1745"/>
      <c r="I1043" s="1746"/>
      <c r="J1043" s="1745"/>
      <c r="K1043" s="1690"/>
      <c r="L1043" s="1746"/>
      <c r="M1043" s="1689">
        <v>7000</v>
      </c>
      <c r="N1043" s="1690">
        <v>7000</v>
      </c>
      <c r="O1043" s="1891">
        <f t="shared" si="154"/>
        <v>100</v>
      </c>
      <c r="P1043" s="1690"/>
      <c r="Q1043" s="1690"/>
      <c r="R1043" s="1754"/>
    </row>
    <row r="1044" spans="1:18" s="1735" customFormat="1" ht="12.75" hidden="1">
      <c r="A1044" s="1743">
        <v>4480</v>
      </c>
      <c r="B1044" s="1977" t="s">
        <v>688</v>
      </c>
      <c r="C1044" s="1689"/>
      <c r="D1044" s="893">
        <f t="shared" si="152"/>
        <v>0</v>
      </c>
      <c r="E1044" s="1690">
        <f>SUM(H1044+K1044+N1044+Q1044)</f>
        <v>0</v>
      </c>
      <c r="F1044" s="1666"/>
      <c r="G1044" s="1690"/>
      <c r="H1044" s="1745"/>
      <c r="I1044" s="1746"/>
      <c r="J1044" s="1745"/>
      <c r="K1044" s="1690"/>
      <c r="L1044" s="1746"/>
      <c r="M1044" s="1689"/>
      <c r="N1044" s="1690"/>
      <c r="O1044" s="1891"/>
      <c r="P1044" s="1690"/>
      <c r="Q1044" s="1690"/>
      <c r="R1044" s="1754"/>
    </row>
    <row r="1045" spans="1:18" s="1771" customFormat="1" ht="24">
      <c r="A1045" s="1783">
        <v>85407</v>
      </c>
      <c r="B1045" s="2018" t="s">
        <v>430</v>
      </c>
      <c r="C1045" s="886">
        <f>SUM(C1046:C1061)</f>
        <v>1034900</v>
      </c>
      <c r="D1045" s="908">
        <f t="shared" si="152"/>
        <v>1063510</v>
      </c>
      <c r="E1045" s="908">
        <f>H1045+K1045+Q1045+N1045</f>
        <v>569029</v>
      </c>
      <c r="F1045" s="1681">
        <f aca="true" t="shared" si="155" ref="F1045:F1080">E1045/D1045*100</f>
        <v>53.50480954574945</v>
      </c>
      <c r="G1045" s="908"/>
      <c r="H1045" s="908"/>
      <c r="I1045" s="1741"/>
      <c r="J1045" s="1816"/>
      <c r="K1045" s="908"/>
      <c r="L1045" s="1741"/>
      <c r="M1045" s="1816">
        <f>SUM(M1046:M1063)</f>
        <v>1063510</v>
      </c>
      <c r="N1045" s="1816">
        <f>SUM(N1046:N1063)</f>
        <v>569029</v>
      </c>
      <c r="O1045" s="1688">
        <f t="shared" si="154"/>
        <v>53.50480954574945</v>
      </c>
      <c r="P1045" s="908"/>
      <c r="Q1045" s="908"/>
      <c r="R1045" s="889"/>
    </row>
    <row r="1046" spans="1:18" s="1735" customFormat="1" ht="24">
      <c r="A1046" s="1743">
        <v>3020</v>
      </c>
      <c r="B1046" s="1997" t="s">
        <v>332</v>
      </c>
      <c r="C1046" s="1689">
        <v>2500</v>
      </c>
      <c r="D1046" s="893">
        <f t="shared" si="152"/>
        <v>2500</v>
      </c>
      <c r="E1046" s="1690">
        <f aca="true" t="shared" si="156" ref="E1046:E1063">SUM(H1046+K1046+N1046+Q1046)</f>
        <v>200</v>
      </c>
      <c r="F1046" s="1666">
        <f t="shared" si="155"/>
        <v>8</v>
      </c>
      <c r="G1046" s="1690"/>
      <c r="H1046" s="1745"/>
      <c r="I1046" s="1746"/>
      <c r="J1046" s="1745"/>
      <c r="K1046" s="1690"/>
      <c r="L1046" s="1746"/>
      <c r="M1046" s="1745">
        <v>2500</v>
      </c>
      <c r="N1046" s="1690">
        <v>200</v>
      </c>
      <c r="O1046" s="1695">
        <f t="shared" si="154"/>
        <v>8</v>
      </c>
      <c r="P1046" s="1690"/>
      <c r="Q1046" s="1690"/>
      <c r="R1046" s="1754"/>
    </row>
    <row r="1047" spans="1:18" s="1735" customFormat="1" ht="24">
      <c r="A1047" s="1743">
        <v>4010</v>
      </c>
      <c r="B1047" s="1751" t="s">
        <v>104</v>
      </c>
      <c r="C1047" s="1689">
        <v>623300</v>
      </c>
      <c r="D1047" s="893">
        <f t="shared" si="152"/>
        <v>623300</v>
      </c>
      <c r="E1047" s="1690">
        <f t="shared" si="156"/>
        <v>320380</v>
      </c>
      <c r="F1047" s="1666">
        <f t="shared" si="155"/>
        <v>51.40060965827049</v>
      </c>
      <c r="G1047" s="1690"/>
      <c r="H1047" s="1745"/>
      <c r="I1047" s="1746"/>
      <c r="J1047" s="1745"/>
      <c r="K1047" s="1690"/>
      <c r="L1047" s="1746"/>
      <c r="M1047" s="1745">
        <v>623300</v>
      </c>
      <c r="N1047" s="1690">
        <v>320380</v>
      </c>
      <c r="O1047" s="1695">
        <f t="shared" si="154"/>
        <v>51.40060965827049</v>
      </c>
      <c r="P1047" s="1690"/>
      <c r="Q1047" s="1690"/>
      <c r="R1047" s="1754"/>
    </row>
    <row r="1048" spans="1:18" s="1735" customFormat="1" ht="24">
      <c r="A1048" s="1743">
        <v>4040</v>
      </c>
      <c r="B1048" s="1751" t="s">
        <v>108</v>
      </c>
      <c r="C1048" s="1689">
        <v>46100</v>
      </c>
      <c r="D1048" s="893">
        <f t="shared" si="152"/>
        <v>45550</v>
      </c>
      <c r="E1048" s="1690">
        <f t="shared" si="156"/>
        <v>45549</v>
      </c>
      <c r="F1048" s="1666">
        <f t="shared" si="155"/>
        <v>99.99780461031833</v>
      </c>
      <c r="G1048" s="1906"/>
      <c r="H1048" s="1745"/>
      <c r="I1048" s="1746"/>
      <c r="J1048" s="1745"/>
      <c r="K1048" s="1690"/>
      <c r="L1048" s="1746"/>
      <c r="M1048" s="1745">
        <f>46100-550</f>
        <v>45550</v>
      </c>
      <c r="N1048" s="1690">
        <v>45549</v>
      </c>
      <c r="O1048" s="1891">
        <f t="shared" si="154"/>
        <v>99.99780461031833</v>
      </c>
      <c r="P1048" s="1690"/>
      <c r="Q1048" s="1690"/>
      <c r="R1048" s="1754"/>
    </row>
    <row r="1049" spans="1:18" s="1735" customFormat="1" ht="24">
      <c r="A1049" s="1743">
        <v>4110</v>
      </c>
      <c r="B1049" s="1751" t="s">
        <v>110</v>
      </c>
      <c r="C1049" s="1689">
        <v>118100</v>
      </c>
      <c r="D1049" s="893">
        <f t="shared" si="152"/>
        <v>118100</v>
      </c>
      <c r="E1049" s="1690">
        <f t="shared" si="156"/>
        <v>62266</v>
      </c>
      <c r="F1049" s="1666">
        <f t="shared" si="155"/>
        <v>52.72311600338696</v>
      </c>
      <c r="G1049" s="1690"/>
      <c r="H1049" s="1745"/>
      <c r="I1049" s="1746"/>
      <c r="J1049" s="1745"/>
      <c r="K1049" s="1690"/>
      <c r="L1049" s="1746"/>
      <c r="M1049" s="1745">
        <v>118100</v>
      </c>
      <c r="N1049" s="1690">
        <v>62266</v>
      </c>
      <c r="O1049" s="1695">
        <f t="shared" si="154"/>
        <v>52.72311600338696</v>
      </c>
      <c r="P1049" s="1689"/>
      <c r="Q1049" s="1690"/>
      <c r="R1049" s="1754"/>
    </row>
    <row r="1050" spans="1:18" s="1735" customFormat="1" ht="12.75">
      <c r="A1050" s="1743">
        <v>4120</v>
      </c>
      <c r="B1050" s="1751" t="s">
        <v>208</v>
      </c>
      <c r="C1050" s="1689">
        <v>16100</v>
      </c>
      <c r="D1050" s="893">
        <f t="shared" si="152"/>
        <v>16100</v>
      </c>
      <c r="E1050" s="1690">
        <f t="shared" si="156"/>
        <v>8527</v>
      </c>
      <c r="F1050" s="1666">
        <f t="shared" si="155"/>
        <v>52.96273291925466</v>
      </c>
      <c r="G1050" s="1690"/>
      <c r="H1050" s="1745"/>
      <c r="I1050" s="1746"/>
      <c r="J1050" s="1745"/>
      <c r="K1050" s="1690"/>
      <c r="L1050" s="1746"/>
      <c r="M1050" s="1745">
        <v>16100</v>
      </c>
      <c r="N1050" s="1690">
        <v>8527</v>
      </c>
      <c r="O1050" s="1695">
        <f t="shared" si="154"/>
        <v>52.96273291925466</v>
      </c>
      <c r="P1050" s="1690"/>
      <c r="Q1050" s="1690"/>
      <c r="R1050" s="1754"/>
    </row>
    <row r="1051" spans="1:18" s="1735" customFormat="1" ht="12.75">
      <c r="A1051" s="1743">
        <v>4140</v>
      </c>
      <c r="B1051" s="1977" t="s">
        <v>168</v>
      </c>
      <c r="C1051" s="1689">
        <v>8100</v>
      </c>
      <c r="D1051" s="893">
        <f t="shared" si="152"/>
        <v>8650</v>
      </c>
      <c r="E1051" s="1690">
        <f t="shared" si="156"/>
        <v>4432</v>
      </c>
      <c r="F1051" s="1666">
        <f t="shared" si="155"/>
        <v>51.23699421965318</v>
      </c>
      <c r="G1051" s="1690"/>
      <c r="H1051" s="1745"/>
      <c r="I1051" s="1746"/>
      <c r="J1051" s="1745"/>
      <c r="K1051" s="1690"/>
      <c r="L1051" s="1746"/>
      <c r="M1051" s="1745">
        <f>8100+550</f>
        <v>8650</v>
      </c>
      <c r="N1051" s="1690">
        <v>4432</v>
      </c>
      <c r="O1051" s="1695">
        <f t="shared" si="154"/>
        <v>51.23699421965318</v>
      </c>
      <c r="P1051" s="1690"/>
      <c r="Q1051" s="1690"/>
      <c r="R1051" s="1754"/>
    </row>
    <row r="1052" spans="1:18" s="1735" customFormat="1" ht="24">
      <c r="A1052" s="1743">
        <v>4170</v>
      </c>
      <c r="B1052" s="1751" t="s">
        <v>169</v>
      </c>
      <c r="C1052" s="1689"/>
      <c r="D1052" s="893">
        <f t="shared" si="152"/>
        <v>8920</v>
      </c>
      <c r="E1052" s="1690">
        <f t="shared" si="156"/>
        <v>8459</v>
      </c>
      <c r="F1052" s="1666">
        <f t="shared" si="155"/>
        <v>94.83183856502242</v>
      </c>
      <c r="G1052" s="1690"/>
      <c r="H1052" s="1745"/>
      <c r="I1052" s="1746"/>
      <c r="J1052" s="1745"/>
      <c r="K1052" s="1690"/>
      <c r="L1052" s="1746"/>
      <c r="M1052" s="1745">
        <f>3120+5800</f>
        <v>8920</v>
      </c>
      <c r="N1052" s="1690">
        <v>8459</v>
      </c>
      <c r="O1052" s="1695">
        <f t="shared" si="154"/>
        <v>94.83183856502242</v>
      </c>
      <c r="P1052" s="1690"/>
      <c r="Q1052" s="1690"/>
      <c r="R1052" s="1754"/>
    </row>
    <row r="1053" spans="1:18" s="1735" customFormat="1" ht="24">
      <c r="A1053" s="1743">
        <v>4210</v>
      </c>
      <c r="B1053" s="1751" t="s">
        <v>114</v>
      </c>
      <c r="C1053" s="1689">
        <v>38200</v>
      </c>
      <c r="D1053" s="893">
        <f t="shared" si="152"/>
        <v>50540</v>
      </c>
      <c r="E1053" s="1690">
        <f t="shared" si="156"/>
        <v>22410</v>
      </c>
      <c r="F1053" s="1666">
        <f t="shared" si="155"/>
        <v>44.341115947764145</v>
      </c>
      <c r="G1053" s="1690"/>
      <c r="H1053" s="1745"/>
      <c r="I1053" s="1746"/>
      <c r="J1053" s="1745"/>
      <c r="K1053" s="1690"/>
      <c r="L1053" s="1746"/>
      <c r="M1053" s="1745">
        <v>50540</v>
      </c>
      <c r="N1053" s="1690">
        <v>22410</v>
      </c>
      <c r="O1053" s="1695">
        <f t="shared" si="154"/>
        <v>44.341115947764145</v>
      </c>
      <c r="P1053" s="1690"/>
      <c r="Q1053" s="1690"/>
      <c r="R1053" s="1754"/>
    </row>
    <row r="1054" spans="1:18" s="1735" customFormat="1" ht="36">
      <c r="A1054" s="1743">
        <v>4240</v>
      </c>
      <c r="B1054" s="1751" t="s">
        <v>185</v>
      </c>
      <c r="C1054" s="1689">
        <v>15200</v>
      </c>
      <c r="D1054" s="893">
        <f t="shared" si="152"/>
        <v>15200</v>
      </c>
      <c r="E1054" s="1690">
        <f t="shared" si="156"/>
        <v>1300</v>
      </c>
      <c r="F1054" s="1666">
        <f t="shared" si="155"/>
        <v>8.552631578947368</v>
      </c>
      <c r="G1054" s="1690"/>
      <c r="H1054" s="1745"/>
      <c r="I1054" s="1746"/>
      <c r="J1054" s="1745"/>
      <c r="K1054" s="1690"/>
      <c r="L1054" s="1746"/>
      <c r="M1054" s="1745">
        <v>15200</v>
      </c>
      <c r="N1054" s="1690">
        <v>1300</v>
      </c>
      <c r="O1054" s="1669">
        <f t="shared" si="154"/>
        <v>8.552631578947368</v>
      </c>
      <c r="P1054" s="1690"/>
      <c r="Q1054" s="1690"/>
      <c r="R1054" s="1754"/>
    </row>
    <row r="1055" spans="1:18" s="1735" customFormat="1" ht="12.75">
      <c r="A1055" s="1743">
        <v>4260</v>
      </c>
      <c r="B1055" s="1751" t="s">
        <v>118</v>
      </c>
      <c r="C1055" s="1689">
        <v>81400</v>
      </c>
      <c r="D1055" s="893">
        <f t="shared" si="152"/>
        <v>70000</v>
      </c>
      <c r="E1055" s="1690">
        <f t="shared" si="156"/>
        <v>31845</v>
      </c>
      <c r="F1055" s="1666">
        <f t="shared" si="155"/>
        <v>45.49285714285714</v>
      </c>
      <c r="G1055" s="1690"/>
      <c r="H1055" s="1745"/>
      <c r="I1055" s="1746"/>
      <c r="J1055" s="1745"/>
      <c r="K1055" s="1690"/>
      <c r="L1055" s="1746"/>
      <c r="M1055" s="1745">
        <v>70000</v>
      </c>
      <c r="N1055" s="1690">
        <v>31845</v>
      </c>
      <c r="O1055" s="1695">
        <f>N1055/M1055*100</f>
        <v>45.49285714285714</v>
      </c>
      <c r="P1055" s="1690"/>
      <c r="Q1055" s="1690"/>
      <c r="R1055" s="1754"/>
    </row>
    <row r="1056" spans="1:18" s="1735" customFormat="1" ht="12.75">
      <c r="A1056" s="1743">
        <v>4280</v>
      </c>
      <c r="B1056" s="1751" t="s">
        <v>170</v>
      </c>
      <c r="C1056" s="1689">
        <v>1200</v>
      </c>
      <c r="D1056" s="893">
        <f t="shared" si="152"/>
        <v>1200</v>
      </c>
      <c r="E1056" s="1690">
        <f t="shared" si="156"/>
        <v>120</v>
      </c>
      <c r="F1056" s="1666">
        <f t="shared" si="155"/>
        <v>10</v>
      </c>
      <c r="G1056" s="1690"/>
      <c r="H1056" s="1745"/>
      <c r="I1056" s="1746"/>
      <c r="J1056" s="1745"/>
      <c r="K1056" s="1690"/>
      <c r="L1056" s="1746"/>
      <c r="M1056" s="1745">
        <v>1200</v>
      </c>
      <c r="N1056" s="1690">
        <v>120</v>
      </c>
      <c r="O1056" s="1695">
        <f>N1056/M1056*100</f>
        <v>10</v>
      </c>
      <c r="P1056" s="1690"/>
      <c r="Q1056" s="1690"/>
      <c r="R1056" s="1754"/>
    </row>
    <row r="1057" spans="1:18" s="1735" customFormat="1" ht="12.75">
      <c r="A1057" s="1743">
        <v>4300</v>
      </c>
      <c r="B1057" s="1751" t="s">
        <v>122</v>
      </c>
      <c r="C1057" s="1689">
        <v>38800</v>
      </c>
      <c r="D1057" s="893">
        <f t="shared" si="152"/>
        <v>56050</v>
      </c>
      <c r="E1057" s="1690">
        <f t="shared" si="156"/>
        <v>30505</v>
      </c>
      <c r="F1057" s="1666">
        <f t="shared" si="155"/>
        <v>54.42462087421944</v>
      </c>
      <c r="G1057" s="1690"/>
      <c r="H1057" s="1745"/>
      <c r="I1057" s="1746"/>
      <c r="J1057" s="1745"/>
      <c r="K1057" s="1690"/>
      <c r="L1057" s="1746"/>
      <c r="M1057" s="1745">
        <f>53450+8400-5800</f>
        <v>56050</v>
      </c>
      <c r="N1057" s="1690">
        <v>30505</v>
      </c>
      <c r="O1057" s="1695">
        <f t="shared" si="154"/>
        <v>54.42462087421944</v>
      </c>
      <c r="P1057" s="1690"/>
      <c r="Q1057" s="1690"/>
      <c r="R1057" s="1754"/>
    </row>
    <row r="1058" spans="1:18" s="1735" customFormat="1" ht="24">
      <c r="A1058" s="1743">
        <v>4350</v>
      </c>
      <c r="B1058" s="1751" t="s">
        <v>326</v>
      </c>
      <c r="C1058" s="1689"/>
      <c r="D1058" s="893">
        <f t="shared" si="152"/>
        <v>1500</v>
      </c>
      <c r="E1058" s="1690">
        <f t="shared" si="156"/>
        <v>642</v>
      </c>
      <c r="F1058" s="1666">
        <f t="shared" si="155"/>
        <v>42.8</v>
      </c>
      <c r="G1058" s="1690"/>
      <c r="H1058" s="1745"/>
      <c r="I1058" s="1746"/>
      <c r="J1058" s="1745"/>
      <c r="K1058" s="1690"/>
      <c r="L1058" s="1746"/>
      <c r="M1058" s="1745">
        <v>1500</v>
      </c>
      <c r="N1058" s="1690">
        <v>642</v>
      </c>
      <c r="O1058" s="1695">
        <f t="shared" si="154"/>
        <v>42.8</v>
      </c>
      <c r="P1058" s="1690"/>
      <c r="Q1058" s="1690"/>
      <c r="R1058" s="1754"/>
    </row>
    <row r="1059" spans="1:18" s="1735" customFormat="1" ht="12.75">
      <c r="A1059" s="1743">
        <v>4410</v>
      </c>
      <c r="B1059" s="1751" t="s">
        <v>96</v>
      </c>
      <c r="C1059" s="1689">
        <v>3500</v>
      </c>
      <c r="D1059" s="893">
        <f t="shared" si="152"/>
        <v>3500</v>
      </c>
      <c r="E1059" s="1690">
        <f t="shared" si="156"/>
        <v>594</v>
      </c>
      <c r="F1059" s="1666">
        <f t="shared" si="155"/>
        <v>16.97142857142857</v>
      </c>
      <c r="G1059" s="1690"/>
      <c r="H1059" s="1745"/>
      <c r="I1059" s="1746"/>
      <c r="J1059" s="1745"/>
      <c r="K1059" s="1690"/>
      <c r="L1059" s="1746"/>
      <c r="M1059" s="1745">
        <v>3500</v>
      </c>
      <c r="N1059" s="1690">
        <v>594</v>
      </c>
      <c r="O1059" s="1695">
        <f t="shared" si="154"/>
        <v>16.97142857142857</v>
      </c>
      <c r="P1059" s="1690"/>
      <c r="Q1059" s="1690"/>
      <c r="R1059" s="1754"/>
    </row>
    <row r="1060" spans="1:18" s="1735" customFormat="1" ht="12.75" hidden="1">
      <c r="A1060" s="1743">
        <v>4430</v>
      </c>
      <c r="B1060" s="1751" t="s">
        <v>124</v>
      </c>
      <c r="C1060" s="1689"/>
      <c r="D1060" s="893">
        <f t="shared" si="152"/>
        <v>0</v>
      </c>
      <c r="E1060" s="1690">
        <f t="shared" si="156"/>
        <v>0</v>
      </c>
      <c r="F1060" s="1666" t="e">
        <f t="shared" si="155"/>
        <v>#DIV/0!</v>
      </c>
      <c r="G1060" s="1690"/>
      <c r="H1060" s="1745"/>
      <c r="I1060" s="1746"/>
      <c r="J1060" s="1745"/>
      <c r="K1060" s="1690"/>
      <c r="L1060" s="1746"/>
      <c r="M1060" s="1745"/>
      <c r="N1060" s="1690"/>
      <c r="O1060" s="1695" t="e">
        <f t="shared" si="154"/>
        <v>#DIV/0!</v>
      </c>
      <c r="P1060" s="1690"/>
      <c r="Q1060" s="1690"/>
      <c r="R1060" s="1754"/>
    </row>
    <row r="1061" spans="1:18" s="1735" customFormat="1" ht="12.75">
      <c r="A1061" s="1743">
        <v>4440</v>
      </c>
      <c r="B1061" s="1751" t="s">
        <v>126</v>
      </c>
      <c r="C1061" s="1689">
        <v>42400</v>
      </c>
      <c r="D1061" s="893">
        <f t="shared" si="152"/>
        <v>42400</v>
      </c>
      <c r="E1061" s="1690">
        <f t="shared" si="156"/>
        <v>31800</v>
      </c>
      <c r="F1061" s="1666">
        <f t="shared" si="155"/>
        <v>75</v>
      </c>
      <c r="G1061" s="1690"/>
      <c r="H1061" s="1745"/>
      <c r="I1061" s="1746"/>
      <c r="J1061" s="1745"/>
      <c r="K1061" s="1690"/>
      <c r="L1061" s="1746"/>
      <c r="M1061" s="1745">
        <v>42400</v>
      </c>
      <c r="N1061" s="1690">
        <v>31800</v>
      </c>
      <c r="O1061" s="1695">
        <f t="shared" si="154"/>
        <v>75</v>
      </c>
      <c r="P1061" s="1690"/>
      <c r="Q1061" s="1690"/>
      <c r="R1061" s="1754"/>
    </row>
    <row r="1062" spans="1:18" s="1735" customFormat="1" ht="24" hidden="1">
      <c r="A1062" s="1743">
        <v>6050</v>
      </c>
      <c r="B1062" s="1977" t="s">
        <v>431</v>
      </c>
      <c r="C1062" s="1689"/>
      <c r="D1062" s="893">
        <f t="shared" si="152"/>
        <v>0</v>
      </c>
      <c r="E1062" s="1690">
        <f t="shared" si="156"/>
        <v>0</v>
      </c>
      <c r="F1062" s="1666" t="e">
        <f t="shared" si="155"/>
        <v>#DIV/0!</v>
      </c>
      <c r="G1062" s="1690"/>
      <c r="H1062" s="1745"/>
      <c r="I1062" s="1746"/>
      <c r="J1062" s="1745"/>
      <c r="K1062" s="1690"/>
      <c r="L1062" s="1746"/>
      <c r="M1062" s="1745"/>
      <c r="N1062" s="1690"/>
      <c r="O1062" s="1695" t="e">
        <f t="shared" si="154"/>
        <v>#DIV/0!</v>
      </c>
      <c r="P1062" s="1690"/>
      <c r="Q1062" s="1690"/>
      <c r="R1062" s="1754"/>
    </row>
    <row r="1063" spans="1:18" s="1735" customFormat="1" ht="24" hidden="1">
      <c r="A1063" s="1743">
        <v>6050</v>
      </c>
      <c r="B1063" s="1977" t="s">
        <v>194</v>
      </c>
      <c r="C1063" s="1689"/>
      <c r="D1063" s="893">
        <f t="shared" si="152"/>
        <v>0</v>
      </c>
      <c r="E1063" s="1690">
        <f t="shared" si="156"/>
        <v>0</v>
      </c>
      <c r="F1063" s="1666" t="e">
        <f t="shared" si="155"/>
        <v>#DIV/0!</v>
      </c>
      <c r="G1063" s="1690">
        <v>0</v>
      </c>
      <c r="H1063" s="1745"/>
      <c r="I1063" s="1746"/>
      <c r="J1063" s="1745"/>
      <c r="K1063" s="1690"/>
      <c r="L1063" s="1746"/>
      <c r="M1063" s="1745"/>
      <c r="N1063" s="1690"/>
      <c r="O1063" s="1695" t="e">
        <f t="shared" si="154"/>
        <v>#DIV/0!</v>
      </c>
      <c r="P1063" s="1690"/>
      <c r="Q1063" s="1690"/>
      <c r="R1063" s="1754"/>
    </row>
    <row r="1064" spans="1:18" s="1735" customFormat="1" ht="12.75">
      <c r="A1064" s="1736">
        <v>85410</v>
      </c>
      <c r="B1064" s="1976" t="s">
        <v>26</v>
      </c>
      <c r="C1064" s="1738">
        <f>SUM(C1065:C1081)</f>
        <v>2584300</v>
      </c>
      <c r="D1064" s="908">
        <f t="shared" si="152"/>
        <v>2608300</v>
      </c>
      <c r="E1064" s="1680">
        <f>H1064+K1064+Q1064+N1064</f>
        <v>1199043</v>
      </c>
      <c r="F1064" s="1681">
        <f t="shared" si="155"/>
        <v>45.9702871602193</v>
      </c>
      <c r="G1064" s="1781"/>
      <c r="H1064" s="1777"/>
      <c r="I1064" s="1881"/>
      <c r="J1064" s="1777"/>
      <c r="K1064" s="1781"/>
      <c r="L1064" s="1881"/>
      <c r="M1064" s="1680">
        <f>SUM(M1065:M1082)</f>
        <v>2608300</v>
      </c>
      <c r="N1064" s="1680">
        <f>SUM(N1065:N1082)</f>
        <v>1199043</v>
      </c>
      <c r="O1064" s="1688">
        <f t="shared" si="154"/>
        <v>45.9702871602193</v>
      </c>
      <c r="P1064" s="1680"/>
      <c r="Q1064" s="1680"/>
      <c r="R1064" s="1782"/>
    </row>
    <row r="1065" spans="1:18" s="1735" customFormat="1" ht="24">
      <c r="A1065" s="1722">
        <v>3020</v>
      </c>
      <c r="B1065" s="1997" t="s">
        <v>332</v>
      </c>
      <c r="C1065" s="1693">
        <v>8200</v>
      </c>
      <c r="D1065" s="932">
        <f t="shared" si="152"/>
        <v>8200</v>
      </c>
      <c r="E1065" s="1707">
        <f aca="true" t="shared" si="157" ref="E1065:E1088">SUM(H1065+K1065+N1065+Q1065)</f>
        <v>363</v>
      </c>
      <c r="F1065" s="1691">
        <f t="shared" si="155"/>
        <v>4.426829268292683</v>
      </c>
      <c r="G1065" s="1707"/>
      <c r="H1065" s="1854"/>
      <c r="I1065" s="1849"/>
      <c r="J1065" s="1854"/>
      <c r="K1065" s="1707"/>
      <c r="L1065" s="1849"/>
      <c r="M1065" s="1693">
        <v>8200</v>
      </c>
      <c r="N1065" s="1707">
        <v>363</v>
      </c>
      <c r="O1065" s="1674">
        <f t="shared" si="154"/>
        <v>4.426829268292683</v>
      </c>
      <c r="P1065" s="1707"/>
      <c r="Q1065" s="1707"/>
      <c r="R1065" s="1856"/>
    </row>
    <row r="1066" spans="1:18" s="1735" customFormat="1" ht="24">
      <c r="A1066" s="1743">
        <v>4010</v>
      </c>
      <c r="B1066" s="1977" t="s">
        <v>104</v>
      </c>
      <c r="C1066" s="1689">
        <v>1325000</v>
      </c>
      <c r="D1066" s="893">
        <f t="shared" si="152"/>
        <v>1325182</v>
      </c>
      <c r="E1066" s="1690">
        <f t="shared" si="157"/>
        <v>614738</v>
      </c>
      <c r="F1066" s="1666">
        <f t="shared" si="155"/>
        <v>46.38894883872555</v>
      </c>
      <c r="G1066" s="1690"/>
      <c r="H1066" s="1745"/>
      <c r="I1066" s="1746"/>
      <c r="J1066" s="1745"/>
      <c r="K1066" s="1690"/>
      <c r="L1066" s="1746"/>
      <c r="M1066" s="1689">
        <f>1325000+182</f>
        <v>1325182</v>
      </c>
      <c r="N1066" s="1690">
        <v>614738</v>
      </c>
      <c r="O1066" s="1695">
        <f t="shared" si="154"/>
        <v>46.38894883872555</v>
      </c>
      <c r="P1066" s="1690"/>
      <c r="Q1066" s="1690"/>
      <c r="R1066" s="1754"/>
    </row>
    <row r="1067" spans="1:18" s="1735" customFormat="1" ht="24">
      <c r="A1067" s="1743">
        <v>4040</v>
      </c>
      <c r="B1067" s="1977" t="s">
        <v>108</v>
      </c>
      <c r="C1067" s="1689">
        <v>110700</v>
      </c>
      <c r="D1067" s="893">
        <f t="shared" si="152"/>
        <v>104320</v>
      </c>
      <c r="E1067" s="1690">
        <f t="shared" si="157"/>
        <v>104319</v>
      </c>
      <c r="F1067" s="1666">
        <f t="shared" si="155"/>
        <v>99.99904141104294</v>
      </c>
      <c r="G1067" s="1690"/>
      <c r="H1067" s="1745"/>
      <c r="I1067" s="1746"/>
      <c r="J1067" s="1745"/>
      <c r="K1067" s="1690"/>
      <c r="L1067" s="1746"/>
      <c r="M1067" s="1689">
        <f>110700-6380</f>
        <v>104320</v>
      </c>
      <c r="N1067" s="1690">
        <v>104319</v>
      </c>
      <c r="O1067" s="1891">
        <f t="shared" si="154"/>
        <v>99.99904141104294</v>
      </c>
      <c r="P1067" s="1690"/>
      <c r="Q1067" s="1690"/>
      <c r="R1067" s="1754"/>
    </row>
    <row r="1068" spans="1:18" s="1735" customFormat="1" ht="24">
      <c r="A1068" s="1743">
        <v>4110</v>
      </c>
      <c r="B1068" s="1977" t="s">
        <v>110</v>
      </c>
      <c r="C1068" s="1689">
        <v>253000</v>
      </c>
      <c r="D1068" s="893">
        <f t="shared" si="152"/>
        <v>253000</v>
      </c>
      <c r="E1068" s="1690">
        <f t="shared" si="157"/>
        <v>118058</v>
      </c>
      <c r="F1068" s="1666">
        <f t="shared" si="155"/>
        <v>46.66324110671937</v>
      </c>
      <c r="G1068" s="1690"/>
      <c r="H1068" s="1745"/>
      <c r="I1068" s="1746"/>
      <c r="J1068" s="1745"/>
      <c r="K1068" s="1690"/>
      <c r="L1068" s="1746"/>
      <c r="M1068" s="1689">
        <v>253000</v>
      </c>
      <c r="N1068" s="1690">
        <v>118058</v>
      </c>
      <c r="O1068" s="1695">
        <f t="shared" si="154"/>
        <v>46.66324110671937</v>
      </c>
      <c r="P1068" s="1690"/>
      <c r="Q1068" s="1690"/>
      <c r="R1068" s="1754"/>
    </row>
    <row r="1069" spans="1:18" s="1735" customFormat="1" ht="12.75">
      <c r="A1069" s="1743">
        <v>4120</v>
      </c>
      <c r="B1069" s="1977" t="s">
        <v>208</v>
      </c>
      <c r="C1069" s="1689">
        <v>34000</v>
      </c>
      <c r="D1069" s="893">
        <f t="shared" si="152"/>
        <v>34000</v>
      </c>
      <c r="E1069" s="1690">
        <f t="shared" si="157"/>
        <v>15382</v>
      </c>
      <c r="F1069" s="1666">
        <f t="shared" si="155"/>
        <v>45.241176470588236</v>
      </c>
      <c r="G1069" s="1690"/>
      <c r="H1069" s="1745"/>
      <c r="I1069" s="1746"/>
      <c r="J1069" s="1745"/>
      <c r="K1069" s="1690"/>
      <c r="L1069" s="1746"/>
      <c r="M1069" s="1689">
        <v>34000</v>
      </c>
      <c r="N1069" s="1690">
        <v>15382</v>
      </c>
      <c r="O1069" s="1695">
        <f t="shared" si="154"/>
        <v>45.241176470588236</v>
      </c>
      <c r="P1069" s="1690"/>
      <c r="Q1069" s="1690"/>
      <c r="R1069" s="1754"/>
    </row>
    <row r="1070" spans="1:18" s="1735" customFormat="1" ht="12.75">
      <c r="A1070" s="1743">
        <v>4140</v>
      </c>
      <c r="B1070" s="1977" t="s">
        <v>168</v>
      </c>
      <c r="C1070" s="1689">
        <v>7000</v>
      </c>
      <c r="D1070" s="893">
        <f t="shared" si="152"/>
        <v>10730</v>
      </c>
      <c r="E1070" s="1690">
        <f t="shared" si="157"/>
        <v>6828</v>
      </c>
      <c r="F1070" s="1666">
        <f t="shared" si="155"/>
        <v>63.63466915191053</v>
      </c>
      <c r="G1070" s="1690"/>
      <c r="H1070" s="1745"/>
      <c r="I1070" s="1746"/>
      <c r="J1070" s="1745"/>
      <c r="K1070" s="1690"/>
      <c r="L1070" s="1746"/>
      <c r="M1070" s="1689">
        <f>7000+3730</f>
        <v>10730</v>
      </c>
      <c r="N1070" s="1690">
        <v>6828</v>
      </c>
      <c r="O1070" s="1695">
        <f t="shared" si="154"/>
        <v>63.63466915191053</v>
      </c>
      <c r="P1070" s="1690"/>
      <c r="Q1070" s="1690"/>
      <c r="R1070" s="1754"/>
    </row>
    <row r="1071" spans="1:18" s="1735" customFormat="1" ht="24">
      <c r="A1071" s="1743">
        <v>4170</v>
      </c>
      <c r="B1071" s="1977" t="s">
        <v>169</v>
      </c>
      <c r="C1071" s="1689"/>
      <c r="D1071" s="893">
        <f t="shared" si="152"/>
        <v>18500</v>
      </c>
      <c r="E1071" s="1690">
        <f t="shared" si="157"/>
        <v>1178</v>
      </c>
      <c r="F1071" s="1666">
        <f t="shared" si="155"/>
        <v>6.367567567567567</v>
      </c>
      <c r="G1071" s="1690"/>
      <c r="H1071" s="1745"/>
      <c r="I1071" s="1746"/>
      <c r="J1071" s="1745"/>
      <c r="K1071" s="1690"/>
      <c r="L1071" s="1746"/>
      <c r="M1071" s="1689">
        <v>18500</v>
      </c>
      <c r="N1071" s="1690">
        <v>1178</v>
      </c>
      <c r="O1071" s="1695">
        <f t="shared" si="154"/>
        <v>6.367567567567567</v>
      </c>
      <c r="P1071" s="1690"/>
      <c r="Q1071" s="1690"/>
      <c r="R1071" s="1754"/>
    </row>
    <row r="1072" spans="1:18" s="1735" customFormat="1" ht="24">
      <c r="A1072" s="1743">
        <v>4210</v>
      </c>
      <c r="B1072" s="1977" t="s">
        <v>114</v>
      </c>
      <c r="C1072" s="1689">
        <v>87700</v>
      </c>
      <c r="D1072" s="893">
        <f t="shared" si="152"/>
        <v>87700</v>
      </c>
      <c r="E1072" s="1690">
        <f t="shared" si="157"/>
        <v>18784</v>
      </c>
      <c r="F1072" s="1666">
        <f t="shared" si="155"/>
        <v>21.418472063854047</v>
      </c>
      <c r="G1072" s="1690"/>
      <c r="H1072" s="1745"/>
      <c r="I1072" s="1746"/>
      <c r="J1072" s="1745"/>
      <c r="K1072" s="1690"/>
      <c r="L1072" s="1746"/>
      <c r="M1072" s="1689">
        <v>87700</v>
      </c>
      <c r="N1072" s="1690">
        <v>18784</v>
      </c>
      <c r="O1072" s="1695">
        <f t="shared" si="154"/>
        <v>21.418472063854047</v>
      </c>
      <c r="P1072" s="1690"/>
      <c r="Q1072" s="1690"/>
      <c r="R1072" s="1754"/>
    </row>
    <row r="1073" spans="1:18" s="1735" customFormat="1" ht="36">
      <c r="A1073" s="1743">
        <v>4240</v>
      </c>
      <c r="B1073" s="1977" t="s">
        <v>429</v>
      </c>
      <c r="C1073" s="1689">
        <v>1500</v>
      </c>
      <c r="D1073" s="893">
        <f t="shared" si="152"/>
        <v>1500</v>
      </c>
      <c r="E1073" s="1690">
        <f t="shared" si="157"/>
        <v>0</v>
      </c>
      <c r="F1073" s="1666">
        <f>E1073/D1073*100</f>
        <v>0</v>
      </c>
      <c r="G1073" s="1690"/>
      <c r="H1073" s="1745"/>
      <c r="I1073" s="1746"/>
      <c r="J1073" s="1745"/>
      <c r="K1073" s="1690"/>
      <c r="L1073" s="1746"/>
      <c r="M1073" s="1689">
        <v>1500</v>
      </c>
      <c r="N1073" s="1690"/>
      <c r="O1073" s="1695">
        <f t="shared" si="154"/>
        <v>0</v>
      </c>
      <c r="P1073" s="1690"/>
      <c r="Q1073" s="1690"/>
      <c r="R1073" s="1754"/>
    </row>
    <row r="1074" spans="1:18" s="1735" customFormat="1" ht="12.75">
      <c r="A1074" s="1743">
        <v>4260</v>
      </c>
      <c r="B1074" s="1977" t="s">
        <v>118</v>
      </c>
      <c r="C1074" s="1689">
        <v>420000</v>
      </c>
      <c r="D1074" s="893">
        <f t="shared" si="152"/>
        <v>402000</v>
      </c>
      <c r="E1074" s="1690">
        <f t="shared" si="157"/>
        <v>188039</v>
      </c>
      <c r="F1074" s="1666">
        <f t="shared" si="155"/>
        <v>46.77587064676617</v>
      </c>
      <c r="G1074" s="1690"/>
      <c r="H1074" s="1745"/>
      <c r="I1074" s="1746"/>
      <c r="J1074" s="1745"/>
      <c r="K1074" s="1690"/>
      <c r="L1074" s="1746"/>
      <c r="M1074" s="1689">
        <v>402000</v>
      </c>
      <c r="N1074" s="1690">
        <v>188039</v>
      </c>
      <c r="O1074" s="1695">
        <f t="shared" si="154"/>
        <v>46.77587064676617</v>
      </c>
      <c r="P1074" s="1690"/>
      <c r="Q1074" s="1690"/>
      <c r="R1074" s="1754"/>
    </row>
    <row r="1075" spans="1:18" s="1735" customFormat="1" ht="15.75" customHeight="1">
      <c r="A1075" s="1743">
        <v>4270</v>
      </c>
      <c r="B1075" s="1977" t="s">
        <v>120</v>
      </c>
      <c r="C1075" s="1689">
        <v>158000</v>
      </c>
      <c r="D1075" s="893">
        <f t="shared" si="152"/>
        <v>200000</v>
      </c>
      <c r="E1075" s="1690">
        <f t="shared" si="157"/>
        <v>26523</v>
      </c>
      <c r="F1075" s="1666">
        <f t="shared" si="155"/>
        <v>13.261500000000002</v>
      </c>
      <c r="G1075" s="1690"/>
      <c r="H1075" s="1745"/>
      <c r="I1075" s="1746"/>
      <c r="J1075" s="1745"/>
      <c r="K1075" s="1690"/>
      <c r="L1075" s="1746"/>
      <c r="M1075" s="1689">
        <f>158000+42000</f>
        <v>200000</v>
      </c>
      <c r="N1075" s="1690">
        <v>26523</v>
      </c>
      <c r="O1075" s="1695">
        <f t="shared" si="154"/>
        <v>13.261500000000002</v>
      </c>
      <c r="P1075" s="1690"/>
      <c r="Q1075" s="1690"/>
      <c r="R1075" s="1754"/>
    </row>
    <row r="1076" spans="1:18" s="1735" customFormat="1" ht="15.75" customHeight="1">
      <c r="A1076" s="1743">
        <v>4280</v>
      </c>
      <c r="B1076" s="1977" t="s">
        <v>170</v>
      </c>
      <c r="C1076" s="1689">
        <v>4300</v>
      </c>
      <c r="D1076" s="893">
        <f t="shared" si="152"/>
        <v>4300</v>
      </c>
      <c r="E1076" s="1690">
        <f t="shared" si="157"/>
        <v>109</v>
      </c>
      <c r="F1076" s="1666">
        <f t="shared" si="155"/>
        <v>2.5348837209302326</v>
      </c>
      <c r="G1076" s="1690"/>
      <c r="H1076" s="1745"/>
      <c r="I1076" s="1746"/>
      <c r="J1076" s="1745"/>
      <c r="K1076" s="1690"/>
      <c r="L1076" s="1746"/>
      <c r="M1076" s="1689">
        <v>4300</v>
      </c>
      <c r="N1076" s="1690">
        <v>109</v>
      </c>
      <c r="O1076" s="1695">
        <f t="shared" si="154"/>
        <v>2.5348837209302326</v>
      </c>
      <c r="P1076" s="1690"/>
      <c r="Q1076" s="1690"/>
      <c r="R1076" s="1754"/>
    </row>
    <row r="1077" spans="1:18" s="1735" customFormat="1" ht="12.75" customHeight="1">
      <c r="A1077" s="1743">
        <v>4300</v>
      </c>
      <c r="B1077" s="1977" t="s">
        <v>122</v>
      </c>
      <c r="C1077" s="1689">
        <v>100000</v>
      </c>
      <c r="D1077" s="893">
        <f t="shared" si="152"/>
        <v>73000</v>
      </c>
      <c r="E1077" s="1690">
        <f t="shared" si="157"/>
        <v>38835</v>
      </c>
      <c r="F1077" s="1666">
        <f t="shared" si="155"/>
        <v>53.1986301369863</v>
      </c>
      <c r="G1077" s="1690"/>
      <c r="H1077" s="1745"/>
      <c r="I1077" s="1746"/>
      <c r="J1077" s="1745"/>
      <c r="K1077" s="1690"/>
      <c r="L1077" s="1746"/>
      <c r="M1077" s="1689">
        <v>73000</v>
      </c>
      <c r="N1077" s="1690">
        <v>38835</v>
      </c>
      <c r="O1077" s="1695">
        <f t="shared" si="154"/>
        <v>53.1986301369863</v>
      </c>
      <c r="P1077" s="1690"/>
      <c r="Q1077" s="1690"/>
      <c r="R1077" s="1754"/>
    </row>
    <row r="1078" spans="1:18" s="1735" customFormat="1" ht="24">
      <c r="A1078" s="1743">
        <v>4350</v>
      </c>
      <c r="B1078" s="1977" t="s">
        <v>326</v>
      </c>
      <c r="C1078" s="1689"/>
      <c r="D1078" s="893">
        <f t="shared" si="152"/>
        <v>8500</v>
      </c>
      <c r="E1078" s="1690">
        <f t="shared" si="157"/>
        <v>5859</v>
      </c>
      <c r="F1078" s="1666">
        <f t="shared" si="155"/>
        <v>68.92941176470589</v>
      </c>
      <c r="G1078" s="1690"/>
      <c r="H1078" s="1745"/>
      <c r="I1078" s="1746"/>
      <c r="J1078" s="1745"/>
      <c r="K1078" s="1690"/>
      <c r="L1078" s="1746"/>
      <c r="M1078" s="1689">
        <v>8500</v>
      </c>
      <c r="N1078" s="1690">
        <v>5859</v>
      </c>
      <c r="O1078" s="1695">
        <f t="shared" si="154"/>
        <v>68.92941176470589</v>
      </c>
      <c r="P1078" s="1690"/>
      <c r="Q1078" s="1690"/>
      <c r="R1078" s="1754"/>
    </row>
    <row r="1079" spans="1:18" s="1735" customFormat="1" ht="16.5" customHeight="1">
      <c r="A1079" s="1743">
        <v>4410</v>
      </c>
      <c r="B1079" s="1977" t="s">
        <v>96</v>
      </c>
      <c r="C1079" s="1689">
        <v>3300</v>
      </c>
      <c r="D1079" s="893">
        <f t="shared" si="152"/>
        <v>3300</v>
      </c>
      <c r="E1079" s="1690">
        <f t="shared" si="157"/>
        <v>1077</v>
      </c>
      <c r="F1079" s="1666">
        <f t="shared" si="155"/>
        <v>32.63636363636363</v>
      </c>
      <c r="G1079" s="1690"/>
      <c r="H1079" s="1745"/>
      <c r="I1079" s="1746"/>
      <c r="J1079" s="1745"/>
      <c r="K1079" s="1690"/>
      <c r="L1079" s="1746"/>
      <c r="M1079" s="1689">
        <v>3300</v>
      </c>
      <c r="N1079" s="1690">
        <v>1077</v>
      </c>
      <c r="O1079" s="1695">
        <f t="shared" si="154"/>
        <v>32.63636363636363</v>
      </c>
      <c r="P1079" s="1690"/>
      <c r="Q1079" s="1690"/>
      <c r="R1079" s="1754"/>
    </row>
    <row r="1080" spans="1:18" s="1735" customFormat="1" ht="12.75" customHeight="1" hidden="1">
      <c r="A1080" s="1743">
        <v>4430</v>
      </c>
      <c r="B1080" s="1977" t="s">
        <v>124</v>
      </c>
      <c r="C1080" s="1689"/>
      <c r="D1080" s="893">
        <f t="shared" si="152"/>
        <v>0</v>
      </c>
      <c r="E1080" s="1690">
        <f t="shared" si="157"/>
        <v>0</v>
      </c>
      <c r="F1080" s="1666" t="e">
        <f t="shared" si="155"/>
        <v>#DIV/0!</v>
      </c>
      <c r="G1080" s="1690"/>
      <c r="H1080" s="1745"/>
      <c r="I1080" s="1746"/>
      <c r="J1080" s="1745"/>
      <c r="K1080" s="1690"/>
      <c r="L1080" s="1746"/>
      <c r="M1080" s="1689"/>
      <c r="N1080" s="1690"/>
      <c r="O1080" s="1695" t="e">
        <f t="shared" si="154"/>
        <v>#DIV/0!</v>
      </c>
      <c r="P1080" s="1690"/>
      <c r="Q1080" s="1690"/>
      <c r="R1080" s="1754"/>
    </row>
    <row r="1081" spans="1:18" s="1735" customFormat="1" ht="12.75">
      <c r="A1081" s="1743">
        <v>4440</v>
      </c>
      <c r="B1081" s="1977" t="s">
        <v>126</v>
      </c>
      <c r="C1081" s="1689">
        <v>71600</v>
      </c>
      <c r="D1081" s="893">
        <f t="shared" si="152"/>
        <v>74068</v>
      </c>
      <c r="E1081" s="1690">
        <f t="shared" si="157"/>
        <v>58951</v>
      </c>
      <c r="F1081" s="1666">
        <f>E1081/D1081*100</f>
        <v>79.59037641086569</v>
      </c>
      <c r="G1081" s="1690"/>
      <c r="H1081" s="1745"/>
      <c r="I1081" s="1746"/>
      <c r="J1081" s="1745"/>
      <c r="K1081" s="1690"/>
      <c r="L1081" s="1746"/>
      <c r="M1081" s="1689">
        <f>71600+2468</f>
        <v>74068</v>
      </c>
      <c r="N1081" s="1690">
        <v>58951</v>
      </c>
      <c r="O1081" s="1891">
        <f t="shared" si="154"/>
        <v>79.59037641086569</v>
      </c>
      <c r="P1081" s="1690"/>
      <c r="Q1081" s="1690"/>
      <c r="R1081" s="1754"/>
    </row>
    <row r="1082" spans="1:18" s="1735" customFormat="1" ht="12.75" hidden="1">
      <c r="A1082" s="1798">
        <v>4480</v>
      </c>
      <c r="B1082" s="1978" t="s">
        <v>688</v>
      </c>
      <c r="C1082" s="1689"/>
      <c r="D1082" s="893">
        <f t="shared" si="152"/>
        <v>0</v>
      </c>
      <c r="E1082" s="1690">
        <f t="shared" si="157"/>
        <v>0</v>
      </c>
      <c r="F1082" s="1666"/>
      <c r="G1082" s="1791"/>
      <c r="H1082" s="1801"/>
      <c r="I1082" s="1857"/>
      <c r="J1082" s="1801"/>
      <c r="K1082" s="1791"/>
      <c r="L1082" s="1857"/>
      <c r="M1082" s="1689">
        <f>1296-1296</f>
        <v>0</v>
      </c>
      <c r="N1082" s="1690"/>
      <c r="O1082" s="1695"/>
      <c r="P1082" s="1791"/>
      <c r="Q1082" s="1791"/>
      <c r="R1082" s="1845"/>
    </row>
    <row r="1083" spans="1:18" s="1771" customFormat="1" ht="26.25" customHeight="1" hidden="1">
      <c r="A1083" s="1783">
        <v>85415</v>
      </c>
      <c r="B1083" s="2018" t="s">
        <v>432</v>
      </c>
      <c r="C1083" s="886"/>
      <c r="D1083" s="908">
        <f t="shared" si="152"/>
        <v>0</v>
      </c>
      <c r="E1083" s="1690">
        <f t="shared" si="157"/>
        <v>0</v>
      </c>
      <c r="F1083" s="1698" t="e">
        <f aca="true" t="shared" si="158" ref="F1083:F1103">E1083/D1083*100</f>
        <v>#DIV/0!</v>
      </c>
      <c r="G1083" s="908">
        <f>SUM(G1084)</f>
        <v>0</v>
      </c>
      <c r="H1083" s="908">
        <f>SUM(H1084)</f>
        <v>0</v>
      </c>
      <c r="I1083" s="1700" t="e">
        <f aca="true" t="shared" si="159" ref="I1083:I1126">H1083/G1083*100</f>
        <v>#DIV/0!</v>
      </c>
      <c r="J1083" s="1816"/>
      <c r="K1083" s="908"/>
      <c r="L1083" s="1741"/>
      <c r="M1083" s="908">
        <f>SUM(M1084)</f>
        <v>0</v>
      </c>
      <c r="N1083" s="908">
        <f>SUM(N1084)</f>
        <v>0</v>
      </c>
      <c r="O1083" s="1787" t="e">
        <f aca="true" t="shared" si="160" ref="O1083:O1088">N1083/M1083*100</f>
        <v>#DIV/0!</v>
      </c>
      <c r="P1083" s="908"/>
      <c r="Q1083" s="908"/>
      <c r="R1083" s="889"/>
    </row>
    <row r="1084" spans="1:18" s="1735" customFormat="1" ht="24" hidden="1">
      <c r="A1084" s="1743">
        <v>3240</v>
      </c>
      <c r="B1084" s="1977" t="s">
        <v>433</v>
      </c>
      <c r="C1084" s="1689"/>
      <c r="D1084" s="893">
        <f t="shared" si="152"/>
        <v>0</v>
      </c>
      <c r="E1084" s="1690">
        <f t="shared" si="157"/>
        <v>0</v>
      </c>
      <c r="F1084" s="2045" t="e">
        <f t="shared" si="158"/>
        <v>#DIV/0!</v>
      </c>
      <c r="G1084" s="1690">
        <v>0</v>
      </c>
      <c r="H1084" s="1820">
        <v>0</v>
      </c>
      <c r="I1084" s="2050" t="e">
        <f t="shared" si="159"/>
        <v>#DIV/0!</v>
      </c>
      <c r="J1084" s="1745"/>
      <c r="K1084" s="1690"/>
      <c r="L1084" s="1746"/>
      <c r="M1084" s="1690">
        <v>0</v>
      </c>
      <c r="N1084" s="1690">
        <v>0</v>
      </c>
      <c r="O1084" s="2051" t="e">
        <f t="shared" si="160"/>
        <v>#DIV/0!</v>
      </c>
      <c r="P1084" s="1690"/>
      <c r="Q1084" s="1690"/>
      <c r="R1084" s="1754"/>
    </row>
    <row r="1085" spans="1:18" s="1735" customFormat="1" ht="24">
      <c r="A1085" s="1783">
        <v>85415</v>
      </c>
      <c r="B1085" s="2018" t="s">
        <v>432</v>
      </c>
      <c r="C1085" s="886">
        <f>SUM(C1086:C1088)</f>
        <v>924900</v>
      </c>
      <c r="D1085" s="908">
        <f t="shared" si="152"/>
        <v>1233441</v>
      </c>
      <c r="E1085" s="908">
        <f t="shared" si="157"/>
        <v>1082324</v>
      </c>
      <c r="F1085" s="1698">
        <f t="shared" si="158"/>
        <v>87.7483398070925</v>
      </c>
      <c r="G1085" s="908">
        <f>SUM(G1086:G1088)</f>
        <v>442556</v>
      </c>
      <c r="H1085" s="908">
        <f>SUM(H1086:H1088)</f>
        <v>293322</v>
      </c>
      <c r="I1085" s="1700">
        <f t="shared" si="159"/>
        <v>66.27906976744185</v>
      </c>
      <c r="J1085" s="1816"/>
      <c r="K1085" s="908"/>
      <c r="L1085" s="1741"/>
      <c r="M1085" s="908">
        <f>SUM(M1086:M1088)</f>
        <v>790885</v>
      </c>
      <c r="N1085" s="908">
        <f>SUM(N1086:N1088)</f>
        <v>789002</v>
      </c>
      <c r="O1085" s="1688">
        <f t="shared" si="160"/>
        <v>99.76191228813292</v>
      </c>
      <c r="P1085" s="908"/>
      <c r="Q1085" s="908"/>
      <c r="R1085" s="889"/>
    </row>
    <row r="1086" spans="1:18" s="1735" customFormat="1" ht="24">
      <c r="A1086" s="1743">
        <v>3240</v>
      </c>
      <c r="B1086" s="1977" t="s">
        <v>433</v>
      </c>
      <c r="C1086" s="1689">
        <v>36500</v>
      </c>
      <c r="D1086" s="893">
        <f t="shared" si="152"/>
        <v>471956</v>
      </c>
      <c r="E1086" s="1690">
        <f t="shared" si="157"/>
        <v>322608</v>
      </c>
      <c r="F1086" s="1666">
        <f>E1086/D1086*100</f>
        <v>68.35552466755375</v>
      </c>
      <c r="G1086" s="1690">
        <f>6500+435806-5750+6000</f>
        <v>442556</v>
      </c>
      <c r="H1086" s="1820">
        <v>293322</v>
      </c>
      <c r="I1086" s="2050">
        <f t="shared" si="159"/>
        <v>66.27906976744185</v>
      </c>
      <c r="J1086" s="1745"/>
      <c r="K1086" s="1690"/>
      <c r="L1086" s="1746"/>
      <c r="M1086" s="1690">
        <f>30000-600</f>
        <v>29400</v>
      </c>
      <c r="N1086" s="1690">
        <v>29286</v>
      </c>
      <c r="O1086" s="1695">
        <f t="shared" si="160"/>
        <v>99.61224489795917</v>
      </c>
      <c r="P1086" s="1690"/>
      <c r="Q1086" s="1690"/>
      <c r="R1086" s="1754"/>
    </row>
    <row r="1087" spans="1:18" s="1735" customFormat="1" ht="24">
      <c r="A1087" s="1743">
        <v>3248</v>
      </c>
      <c r="B1087" s="1977" t="s">
        <v>433</v>
      </c>
      <c r="C1087" s="1689">
        <v>666300</v>
      </c>
      <c r="D1087" s="893">
        <f t="shared" si="152"/>
        <v>518187</v>
      </c>
      <c r="E1087" s="1690">
        <f t="shared" si="157"/>
        <v>516984</v>
      </c>
      <c r="F1087" s="1666">
        <f>E1087/D1087*100</f>
        <v>99.76784442681888</v>
      </c>
      <c r="G1087" s="1690"/>
      <c r="H1087" s="1820"/>
      <c r="I1087" s="2050"/>
      <c r="J1087" s="1745"/>
      <c r="K1087" s="1690"/>
      <c r="L1087" s="1746"/>
      <c r="M1087" s="1690">
        <f>666300-61748-86365</f>
        <v>518187</v>
      </c>
      <c r="N1087" s="1690">
        <v>516984</v>
      </c>
      <c r="O1087" s="1695">
        <f t="shared" si="160"/>
        <v>99.76784442681888</v>
      </c>
      <c r="P1087" s="1690"/>
      <c r="Q1087" s="1690"/>
      <c r="R1087" s="1754"/>
    </row>
    <row r="1088" spans="1:18" s="1735" customFormat="1" ht="24">
      <c r="A1088" s="1743">
        <v>3249</v>
      </c>
      <c r="B1088" s="1977" t="s">
        <v>433</v>
      </c>
      <c r="C1088" s="1689">
        <v>222100</v>
      </c>
      <c r="D1088" s="893">
        <f t="shared" si="152"/>
        <v>243298</v>
      </c>
      <c r="E1088" s="1690">
        <f t="shared" si="157"/>
        <v>242732</v>
      </c>
      <c r="F1088" s="1666">
        <f>E1088/D1088*100</f>
        <v>99.76736348017657</v>
      </c>
      <c r="G1088" s="1791"/>
      <c r="H1088" s="1822"/>
      <c r="I1088" s="2050"/>
      <c r="J1088" s="1801"/>
      <c r="K1088" s="1690"/>
      <c r="L1088" s="1746"/>
      <c r="M1088" s="1791">
        <f>222100+61748-40550</f>
        <v>243298</v>
      </c>
      <c r="N1088" s="1791">
        <v>242732</v>
      </c>
      <c r="O1088" s="1695">
        <f t="shared" si="160"/>
        <v>99.76736348017657</v>
      </c>
      <c r="P1088" s="1791"/>
      <c r="Q1088" s="1791"/>
      <c r="R1088" s="1845"/>
    </row>
    <row r="1089" spans="1:18" s="1771" customFormat="1" ht="24">
      <c r="A1089" s="1783">
        <v>85417</v>
      </c>
      <c r="B1089" s="2018" t="s">
        <v>434</v>
      </c>
      <c r="C1089" s="886">
        <f>SUM(C1090:C1101)</f>
        <v>218000</v>
      </c>
      <c r="D1089" s="908">
        <f t="shared" si="152"/>
        <v>240850</v>
      </c>
      <c r="E1089" s="908">
        <f>H1089+K1089+Q1089+N1089</f>
        <v>97500</v>
      </c>
      <c r="F1089" s="1698">
        <f t="shared" si="158"/>
        <v>40.481627569026365</v>
      </c>
      <c r="G1089" s="908">
        <f>SUM(G1090:G1101)</f>
        <v>240850</v>
      </c>
      <c r="H1089" s="908">
        <f>SUM(H1090:H1101)</f>
        <v>97500</v>
      </c>
      <c r="I1089" s="2052">
        <f t="shared" si="159"/>
        <v>40.481627569026365</v>
      </c>
      <c r="J1089" s="1816"/>
      <c r="K1089" s="908"/>
      <c r="L1089" s="1741"/>
      <c r="M1089" s="908"/>
      <c r="N1089" s="908"/>
      <c r="O1089" s="1787"/>
      <c r="P1089" s="908"/>
      <c r="Q1089" s="908"/>
      <c r="R1089" s="889"/>
    </row>
    <row r="1090" spans="1:18" s="1735" customFormat="1" ht="24">
      <c r="A1090" s="1722">
        <v>4010</v>
      </c>
      <c r="B1090" s="1997" t="s">
        <v>104</v>
      </c>
      <c r="C1090" s="1693">
        <v>106000</v>
      </c>
      <c r="D1090" s="932">
        <f t="shared" si="152"/>
        <v>118300</v>
      </c>
      <c r="E1090" s="1707">
        <f aca="true" t="shared" si="161" ref="E1090:E1103">SUM(H1090+K1090+N1090+Q1090)</f>
        <v>58263</v>
      </c>
      <c r="F1090" s="1691">
        <f t="shared" si="158"/>
        <v>49.2502113271344</v>
      </c>
      <c r="G1090" s="1693">
        <f>106000+12300</f>
        <v>118300</v>
      </c>
      <c r="H1090" s="1707">
        <v>58263</v>
      </c>
      <c r="I1090" s="1849">
        <f t="shared" si="159"/>
        <v>49.2502113271344</v>
      </c>
      <c r="J1090" s="1854"/>
      <c r="K1090" s="1707"/>
      <c r="L1090" s="1849"/>
      <c r="M1090" s="1693"/>
      <c r="N1090" s="1707"/>
      <c r="O1090" s="1674"/>
      <c r="P1090" s="1707"/>
      <c r="Q1090" s="1707"/>
      <c r="R1090" s="1855"/>
    </row>
    <row r="1091" spans="1:18" s="1735" customFormat="1" ht="36" hidden="1">
      <c r="A1091" s="1743">
        <v>3020</v>
      </c>
      <c r="B1091" s="1977" t="s">
        <v>164</v>
      </c>
      <c r="C1091" s="1689"/>
      <c r="D1091" s="893">
        <f t="shared" si="152"/>
        <v>0</v>
      </c>
      <c r="E1091" s="1690">
        <f t="shared" si="161"/>
        <v>0</v>
      </c>
      <c r="F1091" s="1666" t="e">
        <f t="shared" si="158"/>
        <v>#DIV/0!</v>
      </c>
      <c r="G1091" s="1689"/>
      <c r="H1091" s="1690"/>
      <c r="I1091" s="1746" t="e">
        <f t="shared" si="159"/>
        <v>#DIV/0!</v>
      </c>
      <c r="J1091" s="1745"/>
      <c r="K1091" s="1690"/>
      <c r="L1091" s="1746"/>
      <c r="M1091" s="1689"/>
      <c r="N1091" s="1690"/>
      <c r="O1091" s="1695"/>
      <c r="P1091" s="1690"/>
      <c r="Q1091" s="1690"/>
      <c r="R1091" s="1747"/>
    </row>
    <row r="1092" spans="1:18" s="1735" customFormat="1" ht="24">
      <c r="A1092" s="1743">
        <v>4040</v>
      </c>
      <c r="B1092" s="1977" t="s">
        <v>108</v>
      </c>
      <c r="C1092" s="1689">
        <v>8300</v>
      </c>
      <c r="D1092" s="893">
        <f t="shared" si="152"/>
        <v>8550</v>
      </c>
      <c r="E1092" s="1690">
        <f t="shared" si="161"/>
        <v>8512</v>
      </c>
      <c r="F1092" s="1666">
        <f t="shared" si="158"/>
        <v>99.55555555555556</v>
      </c>
      <c r="G1092" s="1689">
        <f>8300+250</f>
        <v>8550</v>
      </c>
      <c r="H1092" s="1690">
        <v>8512</v>
      </c>
      <c r="I1092" s="1746">
        <f t="shared" si="159"/>
        <v>99.55555555555556</v>
      </c>
      <c r="J1092" s="1745"/>
      <c r="K1092" s="1690"/>
      <c r="L1092" s="1746"/>
      <c r="M1092" s="1689"/>
      <c r="N1092" s="1690"/>
      <c r="O1092" s="1695"/>
      <c r="P1092" s="1690"/>
      <c r="Q1092" s="1690"/>
      <c r="R1092" s="1747"/>
    </row>
    <row r="1093" spans="1:18" s="1735" customFormat="1" ht="24">
      <c r="A1093" s="1743">
        <v>4110</v>
      </c>
      <c r="B1093" s="1977" t="s">
        <v>110</v>
      </c>
      <c r="C1093" s="1689">
        <v>20800</v>
      </c>
      <c r="D1093" s="893">
        <f t="shared" si="152"/>
        <v>20800</v>
      </c>
      <c r="E1093" s="1690">
        <f t="shared" si="161"/>
        <v>11035</v>
      </c>
      <c r="F1093" s="1666">
        <f t="shared" si="158"/>
        <v>53.05288461538461</v>
      </c>
      <c r="G1093" s="1689">
        <f>20800-250+250</f>
        <v>20800</v>
      </c>
      <c r="H1093" s="1690">
        <v>11035</v>
      </c>
      <c r="I1093" s="1746">
        <f t="shared" si="159"/>
        <v>53.05288461538461</v>
      </c>
      <c r="J1093" s="1745"/>
      <c r="K1093" s="1690"/>
      <c r="L1093" s="1746"/>
      <c r="M1093" s="1689"/>
      <c r="N1093" s="1690"/>
      <c r="O1093" s="1695"/>
      <c r="P1093" s="1690"/>
      <c r="Q1093" s="1690"/>
      <c r="R1093" s="1747"/>
    </row>
    <row r="1094" spans="1:18" s="1735" customFormat="1" ht="13.5" customHeight="1">
      <c r="A1094" s="1743">
        <v>4120</v>
      </c>
      <c r="B1094" s="1977" t="s">
        <v>208</v>
      </c>
      <c r="C1094" s="1689">
        <v>2800</v>
      </c>
      <c r="D1094" s="893">
        <f t="shared" si="152"/>
        <v>2800</v>
      </c>
      <c r="E1094" s="1690">
        <f t="shared" si="161"/>
        <v>1486</v>
      </c>
      <c r="F1094" s="1666">
        <f t="shared" si="158"/>
        <v>53.07142857142857</v>
      </c>
      <c r="G1094" s="1689">
        <v>2800</v>
      </c>
      <c r="H1094" s="1690">
        <v>1486</v>
      </c>
      <c r="I1094" s="1746">
        <f t="shared" si="159"/>
        <v>53.07142857142857</v>
      </c>
      <c r="J1094" s="1745"/>
      <c r="K1094" s="1690"/>
      <c r="L1094" s="1746"/>
      <c r="M1094" s="1689"/>
      <c r="N1094" s="1690"/>
      <c r="O1094" s="1695"/>
      <c r="P1094" s="1690"/>
      <c r="Q1094" s="1690"/>
      <c r="R1094" s="1747"/>
    </row>
    <row r="1095" spans="1:18" s="1735" customFormat="1" ht="24">
      <c r="A1095" s="1743">
        <v>4170</v>
      </c>
      <c r="B1095" s="1977" t="s">
        <v>169</v>
      </c>
      <c r="C1095" s="1689"/>
      <c r="D1095" s="893">
        <f t="shared" si="152"/>
        <v>9000</v>
      </c>
      <c r="E1095" s="1690">
        <f t="shared" si="161"/>
        <v>900</v>
      </c>
      <c r="F1095" s="1666">
        <f t="shared" si="158"/>
        <v>10</v>
      </c>
      <c r="G1095" s="1689">
        <v>9000</v>
      </c>
      <c r="H1095" s="1690">
        <v>900</v>
      </c>
      <c r="I1095" s="1746">
        <f t="shared" si="159"/>
        <v>10</v>
      </c>
      <c r="J1095" s="1745"/>
      <c r="K1095" s="1690"/>
      <c r="L1095" s="1746"/>
      <c r="M1095" s="1689"/>
      <c r="N1095" s="1690"/>
      <c r="O1095" s="1695"/>
      <c r="P1095" s="1690"/>
      <c r="Q1095" s="1690"/>
      <c r="R1095" s="1747"/>
    </row>
    <row r="1096" spans="1:18" s="1735" customFormat="1" ht="24">
      <c r="A1096" s="1743">
        <v>4210</v>
      </c>
      <c r="B1096" s="1977" t="s">
        <v>114</v>
      </c>
      <c r="C1096" s="1689">
        <v>25200</v>
      </c>
      <c r="D1096" s="893">
        <f t="shared" si="152"/>
        <v>35500</v>
      </c>
      <c r="E1096" s="1690">
        <f t="shared" si="161"/>
        <v>5204</v>
      </c>
      <c r="F1096" s="1666">
        <f t="shared" si="158"/>
        <v>14.659154929577465</v>
      </c>
      <c r="G1096" s="1689">
        <f>25200+10300</f>
        <v>35500</v>
      </c>
      <c r="H1096" s="1690">
        <v>5204</v>
      </c>
      <c r="I1096" s="1746">
        <f t="shared" si="159"/>
        <v>14.659154929577465</v>
      </c>
      <c r="J1096" s="1745"/>
      <c r="K1096" s="1690"/>
      <c r="L1096" s="1746"/>
      <c r="M1096" s="1689"/>
      <c r="N1096" s="1690"/>
      <c r="O1096" s="1695"/>
      <c r="P1096" s="1690"/>
      <c r="Q1096" s="1690"/>
      <c r="R1096" s="1747"/>
    </row>
    <row r="1097" spans="1:18" s="1735" customFormat="1" ht="12.75">
      <c r="A1097" s="1743">
        <v>4260</v>
      </c>
      <c r="B1097" s="1977" t="s">
        <v>118</v>
      </c>
      <c r="C1097" s="1689">
        <v>21000</v>
      </c>
      <c r="D1097" s="893">
        <f t="shared" si="152"/>
        <v>21000</v>
      </c>
      <c r="E1097" s="1690">
        <f t="shared" si="161"/>
        <v>5489</v>
      </c>
      <c r="F1097" s="1666">
        <f t="shared" si="158"/>
        <v>26.13809523809524</v>
      </c>
      <c r="G1097" s="1689">
        <v>21000</v>
      </c>
      <c r="H1097" s="1690">
        <v>5489</v>
      </c>
      <c r="I1097" s="1746">
        <f t="shared" si="159"/>
        <v>26.13809523809524</v>
      </c>
      <c r="J1097" s="1745"/>
      <c r="K1097" s="1690"/>
      <c r="L1097" s="1746"/>
      <c r="M1097" s="1689"/>
      <c r="N1097" s="1690"/>
      <c r="O1097" s="1695"/>
      <c r="P1097" s="1690"/>
      <c r="Q1097" s="1690"/>
      <c r="R1097" s="1747"/>
    </row>
    <row r="1098" spans="1:18" s="1735" customFormat="1" ht="12.75">
      <c r="A1098" s="1743">
        <v>4300</v>
      </c>
      <c r="B1098" s="1977" t="s">
        <v>122</v>
      </c>
      <c r="C1098" s="1689">
        <v>26200</v>
      </c>
      <c r="D1098" s="893">
        <f t="shared" si="152"/>
        <v>15200</v>
      </c>
      <c r="E1098" s="1690">
        <f t="shared" si="161"/>
        <v>2960</v>
      </c>
      <c r="F1098" s="1666">
        <f t="shared" si="158"/>
        <v>19.473684210526315</v>
      </c>
      <c r="G1098" s="1689">
        <f>26200-11000</f>
        <v>15200</v>
      </c>
      <c r="H1098" s="1690">
        <v>2960</v>
      </c>
      <c r="I1098" s="1746">
        <f t="shared" si="159"/>
        <v>19.473684210526315</v>
      </c>
      <c r="J1098" s="1745"/>
      <c r="K1098" s="1690"/>
      <c r="L1098" s="1746"/>
      <c r="M1098" s="1689"/>
      <c r="N1098" s="1690"/>
      <c r="O1098" s="1695"/>
      <c r="P1098" s="1690"/>
      <c r="Q1098" s="1690"/>
      <c r="R1098" s="1747"/>
    </row>
    <row r="1099" spans="1:18" s="1735" customFormat="1" ht="24">
      <c r="A1099" s="1743">
        <v>4350</v>
      </c>
      <c r="B1099" s="1977" t="s">
        <v>326</v>
      </c>
      <c r="C1099" s="1689"/>
      <c r="D1099" s="893">
        <f t="shared" si="152"/>
        <v>2000</v>
      </c>
      <c r="E1099" s="1690">
        <f t="shared" si="161"/>
        <v>866</v>
      </c>
      <c r="F1099" s="1666">
        <f t="shared" si="158"/>
        <v>43.3</v>
      </c>
      <c r="G1099" s="1689">
        <v>2000</v>
      </c>
      <c r="H1099" s="1690">
        <v>866</v>
      </c>
      <c r="I1099" s="1746">
        <f t="shared" si="159"/>
        <v>43.3</v>
      </c>
      <c r="J1099" s="1745"/>
      <c r="K1099" s="1690"/>
      <c r="L1099" s="1746"/>
      <c r="M1099" s="1689"/>
      <c r="N1099" s="1690"/>
      <c r="O1099" s="1695"/>
      <c r="P1099" s="1690"/>
      <c r="Q1099" s="1690"/>
      <c r="R1099" s="1747"/>
    </row>
    <row r="1100" spans="1:18" s="1735" customFormat="1" ht="12.75">
      <c r="A1100" s="1743">
        <v>4410</v>
      </c>
      <c r="B1100" s="1977" t="s">
        <v>96</v>
      </c>
      <c r="C1100" s="1689">
        <v>2600</v>
      </c>
      <c r="D1100" s="893">
        <f t="shared" si="152"/>
        <v>2600</v>
      </c>
      <c r="E1100" s="1690">
        <f t="shared" si="161"/>
        <v>235</v>
      </c>
      <c r="F1100" s="1666">
        <f t="shared" si="158"/>
        <v>9.038461538461538</v>
      </c>
      <c r="G1100" s="1689">
        <v>2600</v>
      </c>
      <c r="H1100" s="1690">
        <v>235</v>
      </c>
      <c r="I1100" s="1746">
        <f t="shared" si="159"/>
        <v>9.038461538461538</v>
      </c>
      <c r="J1100" s="1745"/>
      <c r="K1100" s="1690"/>
      <c r="L1100" s="1746"/>
      <c r="M1100" s="1689"/>
      <c r="N1100" s="1690"/>
      <c r="O1100" s="1695"/>
      <c r="P1100" s="1690"/>
      <c r="Q1100" s="1690"/>
      <c r="R1100" s="1747"/>
    </row>
    <row r="1101" spans="1:18" s="1735" customFormat="1" ht="12.75">
      <c r="A1101" s="1798">
        <v>4440</v>
      </c>
      <c r="B1101" s="1978" t="s">
        <v>126</v>
      </c>
      <c r="C1101" s="1800">
        <v>5100</v>
      </c>
      <c r="D1101" s="925">
        <f t="shared" si="152"/>
        <v>5100</v>
      </c>
      <c r="E1101" s="1791">
        <f t="shared" si="161"/>
        <v>2550</v>
      </c>
      <c r="F1101" s="1666">
        <f t="shared" si="158"/>
        <v>50</v>
      </c>
      <c r="G1101" s="1800">
        <v>5100</v>
      </c>
      <c r="H1101" s="1791">
        <v>2550</v>
      </c>
      <c r="I1101" s="1857">
        <f t="shared" si="159"/>
        <v>50</v>
      </c>
      <c r="J1101" s="1801"/>
      <c r="K1101" s="1791"/>
      <c r="L1101" s="1857"/>
      <c r="M1101" s="1689"/>
      <c r="N1101" s="1690"/>
      <c r="O1101" s="1695"/>
      <c r="P1101" s="1791"/>
      <c r="Q1101" s="1791"/>
      <c r="R1101" s="1804"/>
    </row>
    <row r="1102" spans="1:18" s="1771" customFormat="1" ht="36">
      <c r="A1102" s="1858">
        <v>85446</v>
      </c>
      <c r="B1102" s="1859" t="s">
        <v>842</v>
      </c>
      <c r="C1102" s="883">
        <f>C1103</f>
        <v>22300</v>
      </c>
      <c r="D1102" s="884">
        <f t="shared" si="152"/>
        <v>22300</v>
      </c>
      <c r="E1102" s="884">
        <f t="shared" si="161"/>
        <v>5721</v>
      </c>
      <c r="F1102" s="1776">
        <f t="shared" si="158"/>
        <v>25.65470852017937</v>
      </c>
      <c r="G1102" s="1860"/>
      <c r="H1102" s="884"/>
      <c r="I1102" s="1844"/>
      <c r="J1102" s="2053"/>
      <c r="K1102" s="884"/>
      <c r="L1102" s="1844"/>
      <c r="M1102" s="886">
        <f>M1103</f>
        <v>22300</v>
      </c>
      <c r="N1102" s="908">
        <f>N1103</f>
        <v>5721</v>
      </c>
      <c r="O1102" s="1914">
        <f>N1102/M1102*100</f>
        <v>25.65470852017937</v>
      </c>
      <c r="P1102" s="884"/>
      <c r="Q1102" s="884"/>
      <c r="R1102" s="1861"/>
    </row>
    <row r="1103" spans="1:18" s="1735" customFormat="1" ht="12.75">
      <c r="A1103" s="1798">
        <v>4300</v>
      </c>
      <c r="B1103" s="1799" t="s">
        <v>122</v>
      </c>
      <c r="C1103" s="1800">
        <v>22300</v>
      </c>
      <c r="D1103" s="925">
        <f t="shared" si="152"/>
        <v>22300</v>
      </c>
      <c r="E1103" s="1791">
        <f t="shared" si="161"/>
        <v>5721</v>
      </c>
      <c r="F1103" s="1666">
        <f t="shared" si="158"/>
        <v>25.65470852017937</v>
      </c>
      <c r="G1103" s="1801"/>
      <c r="H1103" s="1791"/>
      <c r="I1103" s="1857"/>
      <c r="J1103" s="1918"/>
      <c r="K1103" s="1791"/>
      <c r="L1103" s="1857"/>
      <c r="M1103" s="1745">
        <v>22300</v>
      </c>
      <c r="N1103" s="1791">
        <v>5721</v>
      </c>
      <c r="O1103" s="1914">
        <f>N1103/M1103*100</f>
        <v>25.65470852017937</v>
      </c>
      <c r="P1103" s="1791"/>
      <c r="Q1103" s="1791"/>
      <c r="R1103" s="1804"/>
    </row>
    <row r="1104" spans="1:18" s="1735" customFormat="1" ht="12.75">
      <c r="A1104" s="1736">
        <v>85495</v>
      </c>
      <c r="B1104" s="1835" t="s">
        <v>829</v>
      </c>
      <c r="C1104" s="1738">
        <f>SUM(C1105+C1118+C1126)</f>
        <v>279960</v>
      </c>
      <c r="D1104" s="908">
        <f t="shared" si="152"/>
        <v>243610</v>
      </c>
      <c r="E1104" s="908">
        <f t="shared" si="152"/>
        <v>115273</v>
      </c>
      <c r="F1104" s="1681">
        <f>E1104/D1104*100</f>
        <v>47.31866507943024</v>
      </c>
      <c r="G1104" s="1680">
        <f>SUM(G1105+G1118+G1126)</f>
        <v>130460</v>
      </c>
      <c r="H1104" s="1680">
        <f>SUM(H1105+H1118+H1126)</f>
        <v>87389</v>
      </c>
      <c r="I1104" s="1776">
        <f t="shared" si="159"/>
        <v>66.98528284531658</v>
      </c>
      <c r="J1104" s="2054"/>
      <c r="K1104" s="1680"/>
      <c r="L1104" s="1741"/>
      <c r="M1104" s="1680">
        <f>SUM(M1105+M1118+M1126)</f>
        <v>113150</v>
      </c>
      <c r="N1104" s="1680">
        <f>SUM(N1105+N1118+N1126)</f>
        <v>27884</v>
      </c>
      <c r="O1104" s="1914">
        <f>N1104/M1104*100</f>
        <v>24.643393725143614</v>
      </c>
      <c r="P1104" s="1680"/>
      <c r="Q1104" s="1680"/>
      <c r="R1104" s="1742"/>
    </row>
    <row r="1105" spans="1:18" s="1735" customFormat="1" ht="12.75" hidden="1">
      <c r="A1105" s="1736"/>
      <c r="B1105" s="1882"/>
      <c r="C1105" s="1738"/>
      <c r="D1105" s="908"/>
      <c r="E1105" s="908"/>
      <c r="F1105" s="1681"/>
      <c r="G1105" s="1738"/>
      <c r="H1105" s="1680"/>
      <c r="I1105" s="1776"/>
      <c r="J1105" s="1987"/>
      <c r="K1105" s="1680"/>
      <c r="L1105" s="1741"/>
      <c r="M1105" s="1680"/>
      <c r="N1105" s="1680"/>
      <c r="O1105" s="1742"/>
      <c r="P1105" s="1680"/>
      <c r="Q1105" s="1680"/>
      <c r="R1105" s="1742"/>
    </row>
    <row r="1106" spans="1:18" s="1735" customFormat="1" ht="12.75" hidden="1">
      <c r="A1106" s="1743"/>
      <c r="B1106" s="1751"/>
      <c r="C1106" s="895"/>
      <c r="D1106" s="893"/>
      <c r="E1106" s="1690"/>
      <c r="F1106" s="1666"/>
      <c r="G1106" s="895"/>
      <c r="H1106" s="893"/>
      <c r="I1106" s="1669"/>
      <c r="J1106" s="1988"/>
      <c r="K1106" s="1830"/>
      <c r="L1106" s="1832"/>
      <c r="M1106" s="1830"/>
      <c r="N1106" s="1830"/>
      <c r="O1106" s="1747"/>
      <c r="P1106" s="1830"/>
      <c r="Q1106" s="1830"/>
      <c r="R1106" s="1747"/>
    </row>
    <row r="1107" spans="1:18" s="1735" customFormat="1" ht="12.75" hidden="1">
      <c r="A1107" s="1743"/>
      <c r="B1107" s="1751"/>
      <c r="C1107" s="895"/>
      <c r="D1107" s="893"/>
      <c r="E1107" s="1690"/>
      <c r="F1107" s="1666"/>
      <c r="G1107" s="895"/>
      <c r="H1107" s="893"/>
      <c r="I1107" s="1669"/>
      <c r="J1107" s="1745"/>
      <c r="K1107" s="1690"/>
      <c r="L1107" s="1746"/>
      <c r="M1107" s="1690"/>
      <c r="N1107" s="1690"/>
      <c r="O1107" s="1695"/>
      <c r="P1107" s="1690"/>
      <c r="Q1107" s="1690"/>
      <c r="R1107" s="1747"/>
    </row>
    <row r="1108" spans="1:18" s="1735" customFormat="1" ht="12.75" hidden="1">
      <c r="A1108" s="1743"/>
      <c r="B1108" s="1751"/>
      <c r="C1108" s="895"/>
      <c r="D1108" s="893"/>
      <c r="E1108" s="1690"/>
      <c r="F1108" s="1666"/>
      <c r="G1108" s="895"/>
      <c r="H1108" s="893"/>
      <c r="I1108" s="1669"/>
      <c r="J1108" s="1988"/>
      <c r="K1108" s="1830"/>
      <c r="L1108" s="1832"/>
      <c r="M1108" s="1830"/>
      <c r="N1108" s="1830"/>
      <c r="O1108" s="1747"/>
      <c r="P1108" s="1830"/>
      <c r="Q1108" s="1830"/>
      <c r="R1108" s="1747"/>
    </row>
    <row r="1109" spans="1:18" s="1735" customFormat="1" ht="14.25" customHeight="1" hidden="1">
      <c r="A1109" s="1743"/>
      <c r="B1109" s="1751"/>
      <c r="C1109" s="895"/>
      <c r="D1109" s="893"/>
      <c r="E1109" s="1690"/>
      <c r="F1109" s="1666"/>
      <c r="G1109" s="895"/>
      <c r="H1109" s="893"/>
      <c r="I1109" s="1669"/>
      <c r="J1109" s="1988"/>
      <c r="K1109" s="1830"/>
      <c r="L1109" s="1832"/>
      <c r="M1109" s="1830"/>
      <c r="N1109" s="1830"/>
      <c r="O1109" s="1747"/>
      <c r="P1109" s="1830"/>
      <c r="Q1109" s="1830"/>
      <c r="R1109" s="1747"/>
    </row>
    <row r="1110" spans="1:18" s="1735" customFormat="1" ht="12.75" hidden="1">
      <c r="A1110" s="1743"/>
      <c r="B1110" s="1751"/>
      <c r="C1110" s="895"/>
      <c r="D1110" s="893"/>
      <c r="E1110" s="1690"/>
      <c r="F1110" s="1666"/>
      <c r="G1110" s="895"/>
      <c r="H1110" s="893"/>
      <c r="I1110" s="1669"/>
      <c r="J1110" s="1988"/>
      <c r="K1110" s="1830"/>
      <c r="L1110" s="1832"/>
      <c r="M1110" s="1830"/>
      <c r="N1110" s="1830"/>
      <c r="O1110" s="1747"/>
      <c r="P1110" s="1830"/>
      <c r="Q1110" s="1830"/>
      <c r="R1110" s="1747"/>
    </row>
    <row r="1111" spans="1:18" s="1735" customFormat="1" ht="15" customHeight="1" hidden="1">
      <c r="A1111" s="1743"/>
      <c r="B1111" s="1751"/>
      <c r="C1111" s="895"/>
      <c r="D1111" s="893"/>
      <c r="E1111" s="1690"/>
      <c r="F1111" s="1666"/>
      <c r="G1111" s="895"/>
      <c r="H1111" s="893"/>
      <c r="I1111" s="1669"/>
      <c r="J1111" s="1988"/>
      <c r="K1111" s="1830"/>
      <c r="L1111" s="1832"/>
      <c r="M1111" s="1830"/>
      <c r="N1111" s="1830"/>
      <c r="O1111" s="1747"/>
      <c r="P1111" s="1830"/>
      <c r="Q1111" s="1830"/>
      <c r="R1111" s="1747"/>
    </row>
    <row r="1112" spans="1:18" s="1735" customFormat="1" ht="14.25" customHeight="1" hidden="1">
      <c r="A1112" s="1743"/>
      <c r="B1112" s="1751"/>
      <c r="C1112" s="895"/>
      <c r="D1112" s="893"/>
      <c r="E1112" s="1690"/>
      <c r="F1112" s="1666"/>
      <c r="G1112" s="895"/>
      <c r="H1112" s="893"/>
      <c r="I1112" s="1669"/>
      <c r="J1112" s="1988"/>
      <c r="K1112" s="1830"/>
      <c r="L1112" s="1832"/>
      <c r="M1112" s="1830"/>
      <c r="N1112" s="1830"/>
      <c r="O1112" s="1747"/>
      <c r="P1112" s="1830"/>
      <c r="Q1112" s="1830"/>
      <c r="R1112" s="1747"/>
    </row>
    <row r="1113" spans="1:18" s="1735" customFormat="1" ht="14.25" customHeight="1" hidden="1">
      <c r="A1113" s="1743"/>
      <c r="B1113" s="1751"/>
      <c r="C1113" s="895"/>
      <c r="D1113" s="893"/>
      <c r="E1113" s="1690"/>
      <c r="F1113" s="1666"/>
      <c r="G1113" s="895"/>
      <c r="H1113" s="893"/>
      <c r="I1113" s="1669"/>
      <c r="J1113" s="1988"/>
      <c r="K1113" s="1830"/>
      <c r="L1113" s="1832"/>
      <c r="M1113" s="893"/>
      <c r="N1113" s="1830"/>
      <c r="O1113" s="1747"/>
      <c r="P1113" s="1830"/>
      <c r="Q1113" s="1830"/>
      <c r="R1113" s="1747"/>
    </row>
    <row r="1114" spans="1:18" s="1735" customFormat="1" ht="14.25" customHeight="1" hidden="1">
      <c r="A1114" s="1743"/>
      <c r="B1114" s="1751"/>
      <c r="C1114" s="895"/>
      <c r="D1114" s="893"/>
      <c r="E1114" s="1690"/>
      <c r="F1114" s="1666"/>
      <c r="G1114" s="895"/>
      <c r="H1114" s="893"/>
      <c r="I1114" s="1669"/>
      <c r="J1114" s="1988"/>
      <c r="K1114" s="1830"/>
      <c r="L1114" s="1832"/>
      <c r="M1114" s="1830"/>
      <c r="N1114" s="1830"/>
      <c r="O1114" s="1747"/>
      <c r="P1114" s="1830"/>
      <c r="Q1114" s="1830"/>
      <c r="R1114" s="1747"/>
    </row>
    <row r="1115" spans="1:18" s="1735" customFormat="1" ht="14.25" customHeight="1" hidden="1">
      <c r="A1115" s="1743"/>
      <c r="B1115" s="1751"/>
      <c r="C1115" s="895"/>
      <c r="D1115" s="893"/>
      <c r="E1115" s="1690"/>
      <c r="F1115" s="1666"/>
      <c r="G1115" s="895"/>
      <c r="H1115" s="893"/>
      <c r="I1115" s="1669"/>
      <c r="J1115" s="1988"/>
      <c r="K1115" s="1830"/>
      <c r="L1115" s="1832"/>
      <c r="M1115" s="1830"/>
      <c r="N1115" s="1830"/>
      <c r="O1115" s="1747"/>
      <c r="P1115" s="1830"/>
      <c r="Q1115" s="1830"/>
      <c r="R1115" s="1747"/>
    </row>
    <row r="1116" spans="1:18" s="1735" customFormat="1" ht="14.25" customHeight="1" hidden="1">
      <c r="A1116" s="1743"/>
      <c r="B1116" s="1751"/>
      <c r="C1116" s="895"/>
      <c r="D1116" s="893"/>
      <c r="E1116" s="1690"/>
      <c r="F1116" s="1666"/>
      <c r="G1116" s="895"/>
      <c r="H1116" s="893"/>
      <c r="I1116" s="1669"/>
      <c r="J1116" s="1988"/>
      <c r="K1116" s="1830"/>
      <c r="L1116" s="1832"/>
      <c r="M1116" s="893"/>
      <c r="N1116" s="893"/>
      <c r="O1116" s="1747"/>
      <c r="P1116" s="1830"/>
      <c r="Q1116" s="1830"/>
      <c r="R1116" s="1747"/>
    </row>
    <row r="1117" spans="1:18" s="1735" customFormat="1" ht="36.75" customHeight="1" hidden="1">
      <c r="A1117" s="1798"/>
      <c r="B1117" s="1978"/>
      <c r="C1117" s="924"/>
      <c r="D1117" s="925"/>
      <c r="E1117" s="1791"/>
      <c r="F1117" s="1719"/>
      <c r="G1117" s="924"/>
      <c r="H1117" s="925"/>
      <c r="I1117" s="1739"/>
      <c r="J1117" s="1989"/>
      <c r="K1117" s="1842"/>
      <c r="L1117" s="1844"/>
      <c r="M1117" s="925"/>
      <c r="N1117" s="925"/>
      <c r="O1117" s="1804"/>
      <c r="P1117" s="1842"/>
      <c r="Q1117" s="1842"/>
      <c r="R1117" s="1804"/>
    </row>
    <row r="1118" spans="1:18" s="1735" customFormat="1" ht="18.75" customHeight="1" hidden="1">
      <c r="A1118" s="1827"/>
      <c r="B1118" s="1828" t="s">
        <v>435</v>
      </c>
      <c r="C1118" s="1829">
        <f>SUM(C1119:C1125)</f>
        <v>0</v>
      </c>
      <c r="D1118" s="1765">
        <f aca="true" t="shared" si="162" ref="D1118:D1145">G1118+J1118+P1118+M1118</f>
        <v>0</v>
      </c>
      <c r="E1118" s="1765">
        <f aca="true" t="shared" si="163" ref="E1118:E1126">SUM(H1118+K1118+N1118+Q1118)</f>
        <v>0</v>
      </c>
      <c r="F1118" s="1666" t="e">
        <f aca="true" t="shared" si="164" ref="F1118:F1181">E1118/D1118*100</f>
        <v>#DIV/0!</v>
      </c>
      <c r="G1118" s="1829">
        <f>SUM(G1119:G1125)</f>
        <v>0</v>
      </c>
      <c r="H1118" s="1830">
        <f>SUM(H1119:H1125)</f>
        <v>0</v>
      </c>
      <c r="I1118" s="1669" t="e">
        <f t="shared" si="159"/>
        <v>#DIV/0!</v>
      </c>
      <c r="J1118" s="1988"/>
      <c r="K1118" s="1830"/>
      <c r="L1118" s="1832"/>
      <c r="M1118" s="1830"/>
      <c r="N1118" s="1830"/>
      <c r="O1118" s="1747"/>
      <c r="P1118" s="1830"/>
      <c r="Q1118" s="1830"/>
      <c r="R1118" s="1747"/>
    </row>
    <row r="1119" spans="1:18" s="1735" customFormat="1" ht="40.5" customHeight="1" hidden="1">
      <c r="A1119" s="1743">
        <v>3020</v>
      </c>
      <c r="B1119" s="1751" t="s">
        <v>164</v>
      </c>
      <c r="C1119" s="895"/>
      <c r="D1119" s="893">
        <f t="shared" si="162"/>
        <v>0</v>
      </c>
      <c r="E1119" s="1690">
        <f t="shared" si="163"/>
        <v>0</v>
      </c>
      <c r="F1119" s="1666" t="e">
        <f t="shared" si="164"/>
        <v>#DIV/0!</v>
      </c>
      <c r="G1119" s="895"/>
      <c r="H1119" s="893"/>
      <c r="I1119" s="1669" t="e">
        <f t="shared" si="159"/>
        <v>#DIV/0!</v>
      </c>
      <c r="J1119" s="1988"/>
      <c r="K1119" s="1830"/>
      <c r="L1119" s="1832"/>
      <c r="M1119" s="1830"/>
      <c r="N1119" s="1830"/>
      <c r="O1119" s="1747"/>
      <c r="P1119" s="1830"/>
      <c r="Q1119" s="1830"/>
      <c r="R1119" s="1747"/>
    </row>
    <row r="1120" spans="1:18" s="1735" customFormat="1" ht="27" customHeight="1" hidden="1">
      <c r="A1120" s="1743">
        <v>4010</v>
      </c>
      <c r="B1120" s="1751" t="s">
        <v>104</v>
      </c>
      <c r="C1120" s="895"/>
      <c r="D1120" s="893">
        <f t="shared" si="162"/>
        <v>0</v>
      </c>
      <c r="E1120" s="1690">
        <f t="shared" si="163"/>
        <v>0</v>
      </c>
      <c r="F1120" s="1666" t="e">
        <f t="shared" si="164"/>
        <v>#DIV/0!</v>
      </c>
      <c r="G1120" s="895"/>
      <c r="H1120" s="893"/>
      <c r="I1120" s="1669" t="e">
        <f t="shared" si="159"/>
        <v>#DIV/0!</v>
      </c>
      <c r="J1120" s="1988"/>
      <c r="K1120" s="1830"/>
      <c r="L1120" s="1832"/>
      <c r="M1120" s="1830"/>
      <c r="N1120" s="1830"/>
      <c r="O1120" s="1747"/>
      <c r="P1120" s="1830"/>
      <c r="Q1120" s="1830"/>
      <c r="R1120" s="1747"/>
    </row>
    <row r="1121" spans="1:18" s="1735" customFormat="1" ht="29.25" customHeight="1" hidden="1">
      <c r="A1121" s="1743">
        <v>4040</v>
      </c>
      <c r="B1121" s="1751" t="s">
        <v>165</v>
      </c>
      <c r="C1121" s="895"/>
      <c r="D1121" s="893">
        <f t="shared" si="162"/>
        <v>0</v>
      </c>
      <c r="E1121" s="1690">
        <f t="shared" si="163"/>
        <v>0</v>
      </c>
      <c r="F1121" s="1666" t="e">
        <f t="shared" si="164"/>
        <v>#DIV/0!</v>
      </c>
      <c r="G1121" s="895"/>
      <c r="H1121" s="893"/>
      <c r="I1121" s="1669" t="e">
        <f t="shared" si="159"/>
        <v>#DIV/0!</v>
      </c>
      <c r="J1121" s="1988"/>
      <c r="K1121" s="1830"/>
      <c r="L1121" s="1832"/>
      <c r="M1121" s="1830"/>
      <c r="N1121" s="1830"/>
      <c r="O1121" s="1747"/>
      <c r="P1121" s="1830"/>
      <c r="Q1121" s="1830"/>
      <c r="R1121" s="1747"/>
    </row>
    <row r="1122" spans="1:18" s="1735" customFormat="1" ht="24" hidden="1">
      <c r="A1122" s="1743">
        <v>4110</v>
      </c>
      <c r="B1122" s="1751" t="s">
        <v>110</v>
      </c>
      <c r="C1122" s="895"/>
      <c r="D1122" s="893">
        <f t="shared" si="162"/>
        <v>0</v>
      </c>
      <c r="E1122" s="1690">
        <f t="shared" si="163"/>
        <v>0</v>
      </c>
      <c r="F1122" s="1666" t="e">
        <f t="shared" si="164"/>
        <v>#DIV/0!</v>
      </c>
      <c r="G1122" s="895"/>
      <c r="H1122" s="893"/>
      <c r="I1122" s="1669" t="e">
        <f t="shared" si="159"/>
        <v>#DIV/0!</v>
      </c>
      <c r="J1122" s="1988"/>
      <c r="K1122" s="1830"/>
      <c r="L1122" s="1832"/>
      <c r="M1122" s="1830"/>
      <c r="N1122" s="1830"/>
      <c r="O1122" s="1747"/>
      <c r="P1122" s="1830"/>
      <c r="Q1122" s="1830"/>
      <c r="R1122" s="1747"/>
    </row>
    <row r="1123" spans="1:18" s="1735" customFormat="1" ht="15.75" customHeight="1" hidden="1">
      <c r="A1123" s="1743">
        <v>4120</v>
      </c>
      <c r="B1123" s="1751" t="s">
        <v>208</v>
      </c>
      <c r="C1123" s="895"/>
      <c r="D1123" s="893">
        <f t="shared" si="162"/>
        <v>0</v>
      </c>
      <c r="E1123" s="1690">
        <f t="shared" si="163"/>
        <v>0</v>
      </c>
      <c r="F1123" s="1666" t="e">
        <f t="shared" si="164"/>
        <v>#DIV/0!</v>
      </c>
      <c r="G1123" s="895"/>
      <c r="H1123" s="893"/>
      <c r="I1123" s="1669" t="e">
        <f t="shared" si="159"/>
        <v>#DIV/0!</v>
      </c>
      <c r="J1123" s="1988"/>
      <c r="K1123" s="1830"/>
      <c r="L1123" s="1832"/>
      <c r="M1123" s="1830"/>
      <c r="N1123" s="1830"/>
      <c r="O1123" s="1747"/>
      <c r="P1123" s="1830"/>
      <c r="Q1123" s="1830"/>
      <c r="R1123" s="1747"/>
    </row>
    <row r="1124" spans="1:18" s="1735" customFormat="1" ht="15" customHeight="1" hidden="1">
      <c r="A1124" s="1743">
        <v>4140</v>
      </c>
      <c r="B1124" s="1751" t="s">
        <v>168</v>
      </c>
      <c r="C1124" s="895"/>
      <c r="D1124" s="893">
        <f t="shared" si="162"/>
        <v>0</v>
      </c>
      <c r="E1124" s="1690">
        <f t="shared" si="163"/>
        <v>0</v>
      </c>
      <c r="F1124" s="1666" t="e">
        <f t="shared" si="164"/>
        <v>#DIV/0!</v>
      </c>
      <c r="G1124" s="895"/>
      <c r="H1124" s="893"/>
      <c r="I1124" s="1669" t="e">
        <f t="shared" si="159"/>
        <v>#DIV/0!</v>
      </c>
      <c r="J1124" s="1988"/>
      <c r="K1124" s="1830"/>
      <c r="L1124" s="1832"/>
      <c r="M1124" s="1830"/>
      <c r="N1124" s="1830"/>
      <c r="O1124" s="1747"/>
      <c r="P1124" s="1830"/>
      <c r="Q1124" s="1830"/>
      <c r="R1124" s="1747"/>
    </row>
    <row r="1125" spans="1:18" s="1735" customFormat="1" ht="18" customHeight="1" hidden="1">
      <c r="A1125" s="1798">
        <v>4440</v>
      </c>
      <c r="B1125" s="1799" t="s">
        <v>126</v>
      </c>
      <c r="C1125" s="924"/>
      <c r="D1125" s="925">
        <f t="shared" si="162"/>
        <v>0</v>
      </c>
      <c r="E1125" s="1791">
        <f t="shared" si="163"/>
        <v>0</v>
      </c>
      <c r="F1125" s="1719" t="e">
        <f t="shared" si="164"/>
        <v>#DIV/0!</v>
      </c>
      <c r="G1125" s="924"/>
      <c r="H1125" s="925"/>
      <c r="I1125" s="1739" t="e">
        <f t="shared" si="159"/>
        <v>#DIV/0!</v>
      </c>
      <c r="J1125" s="1989"/>
      <c r="K1125" s="1842"/>
      <c r="L1125" s="1844"/>
      <c r="M1125" s="1842"/>
      <c r="N1125" s="1842"/>
      <c r="O1125" s="1804"/>
      <c r="P1125" s="1842"/>
      <c r="Q1125" s="1842"/>
      <c r="R1125" s="1804"/>
    </row>
    <row r="1126" spans="1:18" s="1735" customFormat="1" ht="30.75" customHeight="1" hidden="1">
      <c r="A1126" s="1837"/>
      <c r="B1126" s="1838" t="s">
        <v>436</v>
      </c>
      <c r="C1126" s="1839">
        <f>SUM(C1127:C1134)</f>
        <v>279960</v>
      </c>
      <c r="D1126" s="884">
        <f t="shared" si="162"/>
        <v>243610</v>
      </c>
      <c r="E1126" s="884">
        <f t="shared" si="163"/>
        <v>115273</v>
      </c>
      <c r="F1126" s="1719">
        <f t="shared" si="164"/>
        <v>47.31866507943024</v>
      </c>
      <c r="G1126" s="1839">
        <f>SUM(G1127:G1134)</f>
        <v>130460</v>
      </c>
      <c r="H1126" s="1842">
        <f>SUM(H1127:H1134)</f>
        <v>87389</v>
      </c>
      <c r="I1126" s="1739">
        <f t="shared" si="159"/>
        <v>66.98528284531658</v>
      </c>
      <c r="J1126" s="1989"/>
      <c r="K1126" s="1842"/>
      <c r="L1126" s="1844"/>
      <c r="M1126" s="1842">
        <f>SUM(M1127:M1134)</f>
        <v>113150</v>
      </c>
      <c r="N1126" s="1842">
        <f>SUM(N1127:N1134)</f>
        <v>27884</v>
      </c>
      <c r="O1126" s="1720">
        <f>N1126/M1126*100</f>
        <v>24.643393725143614</v>
      </c>
      <c r="P1126" s="1842"/>
      <c r="Q1126" s="1842"/>
      <c r="R1126" s="1804"/>
    </row>
    <row r="1127" spans="1:18" s="1735" customFormat="1" ht="60">
      <c r="A1127" s="1743">
        <v>2820</v>
      </c>
      <c r="B1127" s="1751" t="s">
        <v>437</v>
      </c>
      <c r="C1127" s="1689">
        <v>29000</v>
      </c>
      <c r="D1127" s="893">
        <f t="shared" si="162"/>
        <v>29000</v>
      </c>
      <c r="E1127" s="893">
        <f>H1127+K1127+Q1127+N1127</f>
        <v>14600</v>
      </c>
      <c r="F1127" s="1666">
        <f t="shared" si="164"/>
        <v>50.3448275862069</v>
      </c>
      <c r="G1127" s="1689">
        <v>29000</v>
      </c>
      <c r="H1127" s="1690">
        <v>14600</v>
      </c>
      <c r="I1127" s="1669">
        <f>H1127/G1127*100</f>
        <v>50.3448275862069</v>
      </c>
      <c r="J1127" s="1745"/>
      <c r="K1127" s="1690"/>
      <c r="L1127" s="1746"/>
      <c r="M1127" s="1690"/>
      <c r="N1127" s="1690"/>
      <c r="O1127" s="1747"/>
      <c r="P1127" s="1690"/>
      <c r="Q1127" s="1690"/>
      <c r="R1127" s="1747"/>
    </row>
    <row r="1128" spans="1:18" s="1735" customFormat="1" ht="36">
      <c r="A1128" s="1743">
        <v>3040</v>
      </c>
      <c r="B1128" s="1751" t="s">
        <v>372</v>
      </c>
      <c r="C1128" s="1689"/>
      <c r="D1128" s="893">
        <f t="shared" si="162"/>
        <v>600</v>
      </c>
      <c r="E1128" s="893">
        <f>H1128+K1128+Q1128+N1128</f>
        <v>600</v>
      </c>
      <c r="F1128" s="1666">
        <f>E1128/D1128*100</f>
        <v>100</v>
      </c>
      <c r="G1128" s="1689"/>
      <c r="H1128" s="1690"/>
      <c r="I1128" s="1669"/>
      <c r="J1128" s="1884"/>
      <c r="K1128" s="1690"/>
      <c r="L1128" s="1746"/>
      <c r="M1128" s="1690">
        <v>600</v>
      </c>
      <c r="N1128" s="1690">
        <v>600</v>
      </c>
      <c r="O1128" s="1669">
        <f>N1128/M1128*100</f>
        <v>100</v>
      </c>
      <c r="P1128" s="1690"/>
      <c r="Q1128" s="1690"/>
      <c r="R1128" s="1747"/>
    </row>
    <row r="1129" spans="1:18" s="1735" customFormat="1" ht="36">
      <c r="A1129" s="1743">
        <v>4010</v>
      </c>
      <c r="B1129" s="1751" t="s">
        <v>438</v>
      </c>
      <c r="C1129" s="1689">
        <v>70000</v>
      </c>
      <c r="D1129" s="893">
        <f t="shared" si="162"/>
        <v>63182</v>
      </c>
      <c r="E1129" s="893">
        <f>H1129+K1129+Q1129+N1129</f>
        <v>0</v>
      </c>
      <c r="F1129" s="1666">
        <f>E1129/D1129*100</f>
        <v>0</v>
      </c>
      <c r="G1129" s="1689"/>
      <c r="H1129" s="1690"/>
      <c r="I1129" s="1669"/>
      <c r="J1129" s="1884"/>
      <c r="K1129" s="1690"/>
      <c r="L1129" s="1746"/>
      <c r="M1129" s="1690">
        <f>70000-6818</f>
        <v>63182</v>
      </c>
      <c r="N1129" s="1690"/>
      <c r="O1129" s="1695">
        <f>N1129/M1129*100</f>
        <v>0</v>
      </c>
      <c r="P1129" s="1690"/>
      <c r="Q1129" s="1690"/>
      <c r="R1129" s="1747"/>
    </row>
    <row r="1130" spans="1:18" s="1735" customFormat="1" ht="23.25" customHeight="1">
      <c r="A1130" s="1743">
        <v>4210</v>
      </c>
      <c r="B1130" s="1751" t="s">
        <v>439</v>
      </c>
      <c r="C1130" s="1689">
        <v>5510</v>
      </c>
      <c r="D1130" s="893">
        <f t="shared" si="162"/>
        <v>8010</v>
      </c>
      <c r="E1130" s="1690">
        <f>SUM(H1130+K1130+N1130+Q1130)</f>
        <v>3934</v>
      </c>
      <c r="F1130" s="1666">
        <f t="shared" si="164"/>
        <v>49.11360799001249</v>
      </c>
      <c r="G1130" s="1689">
        <f>5510+500+2000</f>
        <v>8010</v>
      </c>
      <c r="H1130" s="1690">
        <v>3934</v>
      </c>
      <c r="I1130" s="1669">
        <f>H1130/G1130*100</f>
        <v>49.11360799001249</v>
      </c>
      <c r="J1130" s="1884"/>
      <c r="K1130" s="1690"/>
      <c r="L1130" s="1746"/>
      <c r="M1130" s="1690"/>
      <c r="N1130" s="1690"/>
      <c r="O1130" s="1747"/>
      <c r="P1130" s="1690"/>
      <c r="Q1130" s="1690"/>
      <c r="R1130" s="1747"/>
    </row>
    <row r="1131" spans="1:18" s="1735" customFormat="1" ht="12.75">
      <c r="A1131" s="1743">
        <v>4300</v>
      </c>
      <c r="B1131" s="1751" t="s">
        <v>122</v>
      </c>
      <c r="C1131" s="1689">
        <v>60000</v>
      </c>
      <c r="D1131" s="893">
        <f t="shared" si="162"/>
        <v>12990</v>
      </c>
      <c r="E1131" s="1690">
        <f>SUM(H1131+K1131+N1131+Q1131)</f>
        <v>0</v>
      </c>
      <c r="F1131" s="1666">
        <f t="shared" si="164"/>
        <v>0</v>
      </c>
      <c r="G1131" s="1689"/>
      <c r="H1131" s="1690"/>
      <c r="I1131" s="1669"/>
      <c r="J1131" s="1884"/>
      <c r="K1131" s="1690"/>
      <c r="L1131" s="1746"/>
      <c r="M1131" s="1690">
        <f>21390-8400</f>
        <v>12990</v>
      </c>
      <c r="N1131" s="1690"/>
      <c r="O1131" s="1695">
        <f>N1131/M1131*100</f>
        <v>0</v>
      </c>
      <c r="P1131" s="1690"/>
      <c r="Q1131" s="1690"/>
      <c r="R1131" s="1747"/>
    </row>
    <row r="1132" spans="1:18" s="1735" customFormat="1" ht="23.25" customHeight="1">
      <c r="A1132" s="1743">
        <v>4300</v>
      </c>
      <c r="B1132" s="1751" t="s">
        <v>440</v>
      </c>
      <c r="C1132" s="1689">
        <v>5450</v>
      </c>
      <c r="D1132" s="893">
        <f t="shared" si="162"/>
        <v>8350</v>
      </c>
      <c r="E1132" s="1690">
        <f>SUM(H1132+K1132+N1132+Q1132)</f>
        <v>937</v>
      </c>
      <c r="F1132" s="1666">
        <f t="shared" si="164"/>
        <v>11.221556886227544</v>
      </c>
      <c r="G1132" s="1689">
        <f>5450-600+3500</f>
        <v>8350</v>
      </c>
      <c r="H1132" s="1690">
        <v>937</v>
      </c>
      <c r="I1132" s="1669">
        <f>H1132/G1132*100</f>
        <v>11.221556886227544</v>
      </c>
      <c r="J1132" s="1884"/>
      <c r="K1132" s="1690"/>
      <c r="L1132" s="1746"/>
      <c r="M1132" s="1690"/>
      <c r="N1132" s="1690"/>
      <c r="O1132" s="1695"/>
      <c r="P1132" s="1690"/>
      <c r="Q1132" s="1690"/>
      <c r="R1132" s="1747"/>
    </row>
    <row r="1133" spans="1:18" s="1735" customFormat="1" ht="12.75">
      <c r="A1133" s="1743">
        <v>4430</v>
      </c>
      <c r="B1133" s="1751" t="s">
        <v>124</v>
      </c>
      <c r="C1133" s="1689"/>
      <c r="D1133" s="893">
        <f t="shared" si="162"/>
        <v>100</v>
      </c>
      <c r="E1133" s="1690">
        <f>SUM(H1133+K1133+N1133+Q1133)</f>
        <v>0</v>
      </c>
      <c r="F1133" s="1666">
        <f t="shared" si="164"/>
        <v>0</v>
      </c>
      <c r="G1133" s="1689">
        <v>100</v>
      </c>
      <c r="H1133" s="1690"/>
      <c r="I1133" s="1669">
        <f>H1133/G1133*100</f>
        <v>0</v>
      </c>
      <c r="J1133" s="1884"/>
      <c r="K1133" s="1690"/>
      <c r="L1133" s="1746"/>
      <c r="M1133" s="1690"/>
      <c r="N1133" s="1690"/>
      <c r="O1133" s="1695"/>
      <c r="P1133" s="1690"/>
      <c r="Q1133" s="1690"/>
      <c r="R1133" s="1747"/>
    </row>
    <row r="1134" spans="1:18" s="1735" customFormat="1" ht="13.5" thickBot="1">
      <c r="A1134" s="1743">
        <v>4440</v>
      </c>
      <c r="B1134" s="1751" t="s">
        <v>126</v>
      </c>
      <c r="C1134" s="1689">
        <v>110000</v>
      </c>
      <c r="D1134" s="893">
        <f t="shared" si="162"/>
        <v>121378</v>
      </c>
      <c r="E1134" s="893">
        <f>H1134+K1134+Q1134+N1134</f>
        <v>95202</v>
      </c>
      <c r="F1134" s="1666">
        <f t="shared" si="164"/>
        <v>78.43431264314785</v>
      </c>
      <c r="G1134" s="1689">
        <v>85000</v>
      </c>
      <c r="H1134" s="893">
        <v>67918</v>
      </c>
      <c r="I1134" s="1669">
        <f aca="true" t="shared" si="165" ref="I1134:I1197">H1134/G1134*100</f>
        <v>79.90352941176471</v>
      </c>
      <c r="J1134" s="1884"/>
      <c r="K1134" s="1690"/>
      <c r="L1134" s="1746"/>
      <c r="M1134" s="1690">
        <f>25000+11378</f>
        <v>36378</v>
      </c>
      <c r="N1134" s="1690">
        <v>27284</v>
      </c>
      <c r="O1134" s="1891">
        <f>N1134/M1134*100</f>
        <v>75.00137445708945</v>
      </c>
      <c r="P1134" s="1690"/>
      <c r="Q1134" s="1690"/>
      <c r="R1134" s="1747"/>
    </row>
    <row r="1135" spans="1:18" s="1735" customFormat="1" ht="49.5" thickBot="1" thickTop="1">
      <c r="A1135" s="1755">
        <v>900</v>
      </c>
      <c r="B1135" s="1756" t="s">
        <v>441</v>
      </c>
      <c r="C1135" s="1731">
        <f>C1149+C1151+C1158+C1164+C1153+C1136</f>
        <v>9122418</v>
      </c>
      <c r="D1135" s="876">
        <f t="shared" si="162"/>
        <v>10279018</v>
      </c>
      <c r="E1135" s="1716">
        <f>H1135+K1135+Q1135+N1135</f>
        <v>3923466</v>
      </c>
      <c r="F1135" s="1642">
        <f t="shared" si="164"/>
        <v>38.169657840856004</v>
      </c>
      <c r="G1135" s="1731">
        <f>G1149+G1151+G1158+G1164+G1153+G1136</f>
        <v>7179018</v>
      </c>
      <c r="H1135" s="1716">
        <f>H1149+H1151+H1158+H1164+H1153+H1136</f>
        <v>2444292</v>
      </c>
      <c r="I1135" s="1644">
        <f t="shared" si="165"/>
        <v>34.04772073283561</v>
      </c>
      <c r="J1135" s="1716"/>
      <c r="K1135" s="1716"/>
      <c r="L1135" s="1758"/>
      <c r="M1135" s="1716">
        <f>M1149+M1151+M1158+M1164+M1153+M1136</f>
        <v>3100000</v>
      </c>
      <c r="N1135" s="1716">
        <f>N1149+N1151+N1158+N1164+N1153+N1136</f>
        <v>1479174</v>
      </c>
      <c r="O1135" s="1649">
        <f>N1135/M1135*100</f>
        <v>47.71529032258064</v>
      </c>
      <c r="P1135" s="1716"/>
      <c r="Q1135" s="1716"/>
      <c r="R1135" s="1734"/>
    </row>
    <row r="1136" spans="1:18" s="1735" customFormat="1" ht="26.25" customHeight="1" thickTop="1">
      <c r="A1136" s="1736">
        <v>90001</v>
      </c>
      <c r="B1136" s="1835" t="s">
        <v>442</v>
      </c>
      <c r="C1136" s="1738">
        <f>SUM(C1138:C1140)</f>
        <v>1150000</v>
      </c>
      <c r="D1136" s="884">
        <f t="shared" si="162"/>
        <v>1470000</v>
      </c>
      <c r="E1136" s="1842">
        <f>H1136+K1136+Q1136+N1136</f>
        <v>128369</v>
      </c>
      <c r="F1136" s="1719">
        <f t="shared" si="164"/>
        <v>8.732585034013605</v>
      </c>
      <c r="G1136" s="1738">
        <f>SUM(G1137:G1140)</f>
        <v>1451000</v>
      </c>
      <c r="H1136" s="1680">
        <f>SUM(H1137:H1140)</f>
        <v>109369</v>
      </c>
      <c r="I1136" s="1657">
        <f t="shared" si="165"/>
        <v>7.537491385251551</v>
      </c>
      <c r="J1136" s="1740"/>
      <c r="K1136" s="1680"/>
      <c r="L1136" s="1739"/>
      <c r="M1136" s="1680">
        <f>SUM(M1138:M1140)</f>
        <v>19000</v>
      </c>
      <c r="N1136" s="1680">
        <f>SUM(N1138:N1140)</f>
        <v>19000</v>
      </c>
      <c r="O1136" s="1739">
        <f>N1136/M1136*100</f>
        <v>100</v>
      </c>
      <c r="P1136" s="1680"/>
      <c r="Q1136" s="1680"/>
      <c r="R1136" s="1742"/>
    </row>
    <row r="1137" spans="1:18" s="1586" customFormat="1" ht="12.75">
      <c r="A1137" s="1818">
        <v>4300</v>
      </c>
      <c r="B1137" s="1847" t="s">
        <v>122</v>
      </c>
      <c r="C1137" s="927"/>
      <c r="D1137" s="893">
        <f t="shared" si="162"/>
        <v>20000</v>
      </c>
      <c r="E1137" s="1690">
        <f aca="true" t="shared" si="166" ref="E1137:E1145">SUM(H1137+K1137+N1137+Q1137)</f>
        <v>0</v>
      </c>
      <c r="F1137" s="1666">
        <f t="shared" si="164"/>
        <v>0</v>
      </c>
      <c r="G1137" s="927">
        <v>20000</v>
      </c>
      <c r="H1137" s="893"/>
      <c r="I1137" s="1669">
        <f t="shared" si="165"/>
        <v>0</v>
      </c>
      <c r="J1137" s="1848"/>
      <c r="K1137" s="893"/>
      <c r="L1137" s="1669"/>
      <c r="M1137" s="893"/>
      <c r="N1137" s="893"/>
      <c r="O1137" s="1669"/>
      <c r="P1137" s="893"/>
      <c r="Q1137" s="893"/>
      <c r="R1137" s="1821"/>
    </row>
    <row r="1138" spans="1:18" s="1586" customFormat="1" ht="12.75">
      <c r="A1138" s="1818">
        <v>4430</v>
      </c>
      <c r="B1138" s="1880" t="s">
        <v>124</v>
      </c>
      <c r="C1138" s="895"/>
      <c r="D1138" s="893">
        <f t="shared" si="162"/>
        <v>69237</v>
      </c>
      <c r="E1138" s="1690">
        <f t="shared" si="166"/>
        <v>69052</v>
      </c>
      <c r="F1138" s="1666">
        <f t="shared" si="164"/>
        <v>99.73280182561346</v>
      </c>
      <c r="G1138" s="895">
        <v>50470</v>
      </c>
      <c r="H1138" s="893">
        <v>50285</v>
      </c>
      <c r="I1138" s="1669">
        <f t="shared" si="165"/>
        <v>99.63344561125422</v>
      </c>
      <c r="J1138" s="1820"/>
      <c r="K1138" s="893"/>
      <c r="L1138" s="1669"/>
      <c r="M1138" s="893">
        <v>18767</v>
      </c>
      <c r="N1138" s="893">
        <v>18767</v>
      </c>
      <c r="O1138" s="1669">
        <f>N1138/M1138*100</f>
        <v>100</v>
      </c>
      <c r="P1138" s="893"/>
      <c r="Q1138" s="893"/>
      <c r="R1138" s="1821"/>
    </row>
    <row r="1139" spans="1:18" s="1586" customFormat="1" ht="12.75">
      <c r="A1139" s="1818">
        <v>4580</v>
      </c>
      <c r="B1139" s="1880" t="s">
        <v>176</v>
      </c>
      <c r="C1139" s="895"/>
      <c r="D1139" s="893">
        <f t="shared" si="162"/>
        <v>763</v>
      </c>
      <c r="E1139" s="1690">
        <f t="shared" si="166"/>
        <v>763</v>
      </c>
      <c r="F1139" s="1666">
        <f t="shared" si="164"/>
        <v>100</v>
      </c>
      <c r="G1139" s="895">
        <v>530</v>
      </c>
      <c r="H1139" s="893">
        <v>530</v>
      </c>
      <c r="I1139" s="1669">
        <f t="shared" si="165"/>
        <v>100</v>
      </c>
      <c r="J1139" s="1820"/>
      <c r="K1139" s="893"/>
      <c r="L1139" s="1669"/>
      <c r="M1139" s="893">
        <v>233</v>
      </c>
      <c r="N1139" s="893">
        <v>233</v>
      </c>
      <c r="O1139" s="1669">
        <f>N1139/M1139*100</f>
        <v>100</v>
      </c>
      <c r="P1139" s="893"/>
      <c r="Q1139" s="893"/>
      <c r="R1139" s="1821"/>
    </row>
    <row r="1140" spans="1:18" ht="24">
      <c r="A1140" s="1972">
        <v>6050</v>
      </c>
      <c r="B1140" s="1751" t="s">
        <v>144</v>
      </c>
      <c r="C1140" s="1689">
        <v>1150000</v>
      </c>
      <c r="D1140" s="893">
        <f t="shared" si="162"/>
        <v>1380000</v>
      </c>
      <c r="E1140" s="1690">
        <f t="shared" si="166"/>
        <v>58554</v>
      </c>
      <c r="F1140" s="1666">
        <f t="shared" si="164"/>
        <v>4.243043478260869</v>
      </c>
      <c r="G1140" s="1689">
        <f>1100000+280000</f>
        <v>1380000</v>
      </c>
      <c r="H1140" s="1690">
        <v>58554</v>
      </c>
      <c r="I1140" s="1669">
        <f t="shared" si="165"/>
        <v>4.243043478260869</v>
      </c>
      <c r="J1140" s="1745"/>
      <c r="K1140" s="1690"/>
      <c r="L1140" s="1669"/>
      <c r="M1140" s="1690"/>
      <c r="N1140" s="1690"/>
      <c r="O1140" s="1695"/>
      <c r="P1140" s="1690"/>
      <c r="Q1140" s="1690"/>
      <c r="R1140" s="1747"/>
    </row>
    <row r="1141" spans="1:18" s="1870" customFormat="1" ht="25.5" customHeight="1" hidden="1">
      <c r="A1141" s="2055"/>
      <c r="B1141" s="2056" t="s">
        <v>443</v>
      </c>
      <c r="C1141" s="1689">
        <v>200000</v>
      </c>
      <c r="D1141" s="893">
        <f t="shared" si="162"/>
        <v>200000</v>
      </c>
      <c r="E1141" s="1690">
        <f t="shared" si="166"/>
        <v>0</v>
      </c>
      <c r="F1141" s="1666">
        <f t="shared" si="164"/>
        <v>0</v>
      </c>
      <c r="G1141" s="1689">
        <v>200000</v>
      </c>
      <c r="H1141" s="2057"/>
      <c r="I1141" s="1669">
        <f t="shared" si="165"/>
        <v>0</v>
      </c>
      <c r="J1141" s="1867"/>
      <c r="K1141" s="1866"/>
      <c r="L1141" s="1669"/>
      <c r="M1141" s="1866"/>
      <c r="N1141" s="1866"/>
      <c r="O1141" s="1695"/>
      <c r="P1141" s="1866"/>
      <c r="Q1141" s="1866"/>
      <c r="R1141" s="1868"/>
    </row>
    <row r="1142" spans="1:18" s="1870" customFormat="1" ht="25.5" customHeight="1" hidden="1">
      <c r="A1142" s="2055"/>
      <c r="B1142" s="2056" t="s">
        <v>444</v>
      </c>
      <c r="C1142" s="1689">
        <v>800000</v>
      </c>
      <c r="D1142" s="893">
        <f t="shared" si="162"/>
        <v>600000</v>
      </c>
      <c r="E1142" s="1690">
        <f t="shared" si="166"/>
        <v>0</v>
      </c>
      <c r="F1142" s="1666">
        <f t="shared" si="164"/>
        <v>0</v>
      </c>
      <c r="G1142" s="1689">
        <f>800000-200000</f>
        <v>600000</v>
      </c>
      <c r="H1142" s="2057"/>
      <c r="I1142" s="1669">
        <f t="shared" si="165"/>
        <v>0</v>
      </c>
      <c r="J1142" s="1867"/>
      <c r="K1142" s="1866"/>
      <c r="L1142" s="1669"/>
      <c r="M1142" s="1866"/>
      <c r="N1142" s="1866"/>
      <c r="O1142" s="1695"/>
      <c r="P1142" s="1866"/>
      <c r="Q1142" s="1866"/>
      <c r="R1142" s="1868"/>
    </row>
    <row r="1143" spans="1:18" s="1870" customFormat="1" ht="17.25" customHeight="1" hidden="1">
      <c r="A1143" s="2055"/>
      <c r="B1143" s="2056" t="s">
        <v>445</v>
      </c>
      <c r="C1143" s="1689">
        <v>100000</v>
      </c>
      <c r="D1143" s="893">
        <f t="shared" si="162"/>
        <v>100000</v>
      </c>
      <c r="E1143" s="1690">
        <f t="shared" si="166"/>
        <v>0</v>
      </c>
      <c r="F1143" s="1666">
        <f t="shared" si="164"/>
        <v>0</v>
      </c>
      <c r="G1143" s="1689">
        <v>100000</v>
      </c>
      <c r="H1143" s="2057"/>
      <c r="I1143" s="1669">
        <f t="shared" si="165"/>
        <v>0</v>
      </c>
      <c r="J1143" s="1867"/>
      <c r="K1143" s="1866"/>
      <c r="L1143" s="1669"/>
      <c r="M1143" s="1866"/>
      <c r="N1143" s="1866"/>
      <c r="O1143" s="1695"/>
      <c r="P1143" s="1866"/>
      <c r="Q1143" s="1866"/>
      <c r="R1143" s="1868"/>
    </row>
    <row r="1144" spans="1:18" s="1870" customFormat="1" ht="38.25" customHeight="1" hidden="1">
      <c r="A1144" s="2055"/>
      <c r="B1144" s="2056" t="s">
        <v>446</v>
      </c>
      <c r="C1144" s="1689">
        <v>700000</v>
      </c>
      <c r="D1144" s="893">
        <f t="shared" si="162"/>
        <v>550000</v>
      </c>
      <c r="E1144" s="1690">
        <f t="shared" si="166"/>
        <v>0</v>
      </c>
      <c r="F1144" s="1666">
        <f t="shared" si="164"/>
        <v>0</v>
      </c>
      <c r="G1144" s="1689">
        <f>700000-150000</f>
        <v>550000</v>
      </c>
      <c r="H1144" s="2057"/>
      <c r="I1144" s="1669">
        <f t="shared" si="165"/>
        <v>0</v>
      </c>
      <c r="J1144" s="1867"/>
      <c r="K1144" s="1866"/>
      <c r="L1144" s="1669"/>
      <c r="M1144" s="1866"/>
      <c r="N1144" s="1866"/>
      <c r="O1144" s="1695"/>
      <c r="P1144" s="1866"/>
      <c r="Q1144" s="1866"/>
      <c r="R1144" s="1868"/>
    </row>
    <row r="1145" spans="1:18" s="1870" customFormat="1" ht="25.5" customHeight="1" hidden="1">
      <c r="A1145" s="1863"/>
      <c r="B1145" s="2056" t="s">
        <v>447</v>
      </c>
      <c r="C1145" s="1689">
        <v>500000</v>
      </c>
      <c r="D1145" s="893">
        <f t="shared" si="162"/>
        <v>1300000</v>
      </c>
      <c r="E1145" s="1690">
        <f t="shared" si="166"/>
        <v>0</v>
      </c>
      <c r="F1145" s="1666">
        <f t="shared" si="164"/>
        <v>0</v>
      </c>
      <c r="G1145" s="1689">
        <f>500000+800000</f>
        <v>1300000</v>
      </c>
      <c r="H1145" s="1866"/>
      <c r="I1145" s="1669">
        <f t="shared" si="165"/>
        <v>0</v>
      </c>
      <c r="J1145" s="1867"/>
      <c r="K1145" s="1866"/>
      <c r="L1145" s="1669"/>
      <c r="M1145" s="1866"/>
      <c r="N1145" s="1866"/>
      <c r="O1145" s="1695"/>
      <c r="P1145" s="1866"/>
      <c r="Q1145" s="1866"/>
      <c r="R1145" s="1869"/>
    </row>
    <row r="1146" spans="1:18" s="1870" customFormat="1" ht="49.5" customHeight="1" hidden="1">
      <c r="A1146" s="1863"/>
      <c r="B1146" s="2056" t="s">
        <v>448</v>
      </c>
      <c r="C1146" s="1689">
        <v>200000</v>
      </c>
      <c r="D1146" s="893"/>
      <c r="E1146" s="1690"/>
      <c r="F1146" s="1666"/>
      <c r="G1146" s="1689">
        <v>200000</v>
      </c>
      <c r="H1146" s="1866"/>
      <c r="I1146" s="1669"/>
      <c r="J1146" s="1867"/>
      <c r="K1146" s="1866"/>
      <c r="L1146" s="1669"/>
      <c r="M1146" s="1866"/>
      <c r="N1146" s="1866"/>
      <c r="O1146" s="1695"/>
      <c r="P1146" s="1866"/>
      <c r="Q1146" s="1866"/>
      <c r="R1146" s="1869"/>
    </row>
    <row r="1147" spans="1:18" s="1870" customFormat="1" ht="59.25" customHeight="1" hidden="1">
      <c r="A1147" s="1863"/>
      <c r="B1147" s="2056" t="s">
        <v>449</v>
      </c>
      <c r="C1147" s="1689">
        <v>200000</v>
      </c>
      <c r="D1147" s="893"/>
      <c r="E1147" s="1690"/>
      <c r="F1147" s="1666"/>
      <c r="G1147" s="1689">
        <f>200000-80000</f>
        <v>120000</v>
      </c>
      <c r="H1147" s="1866"/>
      <c r="I1147" s="1669"/>
      <c r="J1147" s="1867"/>
      <c r="K1147" s="1866"/>
      <c r="L1147" s="1669"/>
      <c r="M1147" s="1866"/>
      <c r="N1147" s="1866"/>
      <c r="O1147" s="1695"/>
      <c r="P1147" s="1866"/>
      <c r="Q1147" s="1866"/>
      <c r="R1147" s="1869"/>
    </row>
    <row r="1148" spans="1:18" s="1870" customFormat="1" ht="60" customHeight="1" hidden="1">
      <c r="A1148" s="1863"/>
      <c r="B1148" s="2056" t="s">
        <v>450</v>
      </c>
      <c r="C1148" s="1689">
        <v>200000</v>
      </c>
      <c r="D1148" s="893"/>
      <c r="E1148" s="1690"/>
      <c r="F1148" s="1666"/>
      <c r="G1148" s="1800">
        <v>200000</v>
      </c>
      <c r="H1148" s="2058"/>
      <c r="I1148" s="1669"/>
      <c r="J1148" s="1867"/>
      <c r="K1148" s="1866"/>
      <c r="L1148" s="1669"/>
      <c r="M1148" s="1866"/>
      <c r="N1148" s="1866"/>
      <c r="O1148" s="1695"/>
      <c r="P1148" s="1866"/>
      <c r="Q1148" s="1866"/>
      <c r="R1148" s="1869"/>
    </row>
    <row r="1149" spans="1:18" s="1735" customFormat="1" ht="12.75">
      <c r="A1149" s="1736">
        <v>90003</v>
      </c>
      <c r="B1149" s="1835" t="s">
        <v>451</v>
      </c>
      <c r="C1149" s="1738">
        <f>SUM(C1150:C1150)</f>
        <v>2030000</v>
      </c>
      <c r="D1149" s="908">
        <f aca="true" t="shared" si="167" ref="D1149:E1174">G1149+J1149+P1149+M1149</f>
        <v>2376000</v>
      </c>
      <c r="E1149" s="1680">
        <f t="shared" si="167"/>
        <v>1410853</v>
      </c>
      <c r="F1149" s="1681">
        <f t="shared" si="164"/>
        <v>59.37933501683502</v>
      </c>
      <c r="G1149" s="1680">
        <f>SUM(G1150:G1150)</f>
        <v>1045000</v>
      </c>
      <c r="H1149" s="1740">
        <f>SUM(H1150:H1150)</f>
        <v>635482</v>
      </c>
      <c r="I1149" s="1776">
        <f t="shared" si="165"/>
        <v>60.81167464114833</v>
      </c>
      <c r="J1149" s="1740"/>
      <c r="K1149" s="1680"/>
      <c r="L1149" s="1776"/>
      <c r="M1149" s="1680">
        <f>SUM(M1150:M1150)</f>
        <v>1331000</v>
      </c>
      <c r="N1149" s="1680">
        <f>SUM(N1150:N1150)</f>
        <v>775371</v>
      </c>
      <c r="O1149" s="2059">
        <f>N1149/M1149*100</f>
        <v>58.25477084898573</v>
      </c>
      <c r="P1149" s="1680"/>
      <c r="Q1149" s="1680"/>
      <c r="R1149" s="1782"/>
    </row>
    <row r="1150" spans="1:18" ht="16.5" customHeight="1">
      <c r="A1150" s="1743">
        <v>4300</v>
      </c>
      <c r="B1150" s="1751" t="s">
        <v>122</v>
      </c>
      <c r="C1150" s="1689">
        <v>2030000</v>
      </c>
      <c r="D1150" s="893">
        <f t="shared" si="167"/>
        <v>2376000</v>
      </c>
      <c r="E1150" s="919">
        <f t="shared" si="167"/>
        <v>1410853</v>
      </c>
      <c r="F1150" s="1666">
        <f t="shared" si="164"/>
        <v>59.37933501683502</v>
      </c>
      <c r="G1150" s="1690">
        <f>729000+310000+6000</f>
        <v>1045000</v>
      </c>
      <c r="H1150" s="1745">
        <v>635482</v>
      </c>
      <c r="I1150" s="1669">
        <f t="shared" si="165"/>
        <v>60.81167464114833</v>
      </c>
      <c r="J1150" s="1745"/>
      <c r="K1150" s="1690"/>
      <c r="L1150" s="1669"/>
      <c r="M1150" s="1690">
        <f>1231000+100000</f>
        <v>1331000</v>
      </c>
      <c r="N1150" s="1690">
        <v>775371</v>
      </c>
      <c r="O1150" s="1891">
        <f>N1150/M1150*100</f>
        <v>58.25477084898573</v>
      </c>
      <c r="P1150" s="1690"/>
      <c r="Q1150" s="1690"/>
      <c r="R1150" s="1754"/>
    </row>
    <row r="1151" spans="1:18" s="1735" customFormat="1" ht="28.5" customHeight="1">
      <c r="A1151" s="1736">
        <v>90004</v>
      </c>
      <c r="B1151" s="1835" t="s">
        <v>452</v>
      </c>
      <c r="C1151" s="1738">
        <f>SUM(C1152:C1152)</f>
        <v>1606234</v>
      </c>
      <c r="D1151" s="908">
        <f t="shared" si="167"/>
        <v>1804584</v>
      </c>
      <c r="E1151" s="1680">
        <f t="shared" si="167"/>
        <v>502429</v>
      </c>
      <c r="F1151" s="1681">
        <f t="shared" si="164"/>
        <v>27.84181839138549</v>
      </c>
      <c r="G1151" s="1680">
        <f>SUM(G1152:G1152)</f>
        <v>1154584</v>
      </c>
      <c r="H1151" s="1740">
        <f>SUM(H1152)</f>
        <v>372979</v>
      </c>
      <c r="I1151" s="1776">
        <f t="shared" si="165"/>
        <v>32.30418921447032</v>
      </c>
      <c r="J1151" s="1740"/>
      <c r="K1151" s="1680"/>
      <c r="L1151" s="1776"/>
      <c r="M1151" s="1680">
        <f>SUM(M1152:M1152)</f>
        <v>650000</v>
      </c>
      <c r="N1151" s="1680">
        <f>SUM(N1152:N1152)</f>
        <v>129450</v>
      </c>
      <c r="O1151" s="1688">
        <f>N1151/M1151*100</f>
        <v>19.915384615384614</v>
      </c>
      <c r="P1151" s="1680"/>
      <c r="Q1151" s="1680"/>
      <c r="R1151" s="1782"/>
    </row>
    <row r="1152" spans="1:18" ht="24">
      <c r="A1152" s="1772">
        <v>4300</v>
      </c>
      <c r="B1152" s="1773" t="s">
        <v>453</v>
      </c>
      <c r="C1152" s="1774">
        <v>1606234</v>
      </c>
      <c r="D1152" s="919">
        <f t="shared" si="167"/>
        <v>1804584</v>
      </c>
      <c r="E1152" s="1781">
        <f>SUM(H1152+K1152+N1152+Q1152)</f>
        <v>502429</v>
      </c>
      <c r="F1152" s="1681">
        <f t="shared" si="164"/>
        <v>27.84181839138549</v>
      </c>
      <c r="G1152" s="1781">
        <f>986234+168350</f>
        <v>1154584</v>
      </c>
      <c r="H1152" s="1777">
        <v>372979</v>
      </c>
      <c r="I1152" s="1776">
        <f t="shared" si="165"/>
        <v>32.30418921447032</v>
      </c>
      <c r="J1152" s="1777"/>
      <c r="K1152" s="1781"/>
      <c r="L1152" s="1776"/>
      <c r="M1152" s="1781">
        <v>650000</v>
      </c>
      <c r="N1152" s="1781">
        <v>129450</v>
      </c>
      <c r="O1152" s="1688">
        <f>N1152/M1152*100</f>
        <v>19.915384615384614</v>
      </c>
      <c r="P1152" s="1781"/>
      <c r="Q1152" s="1781"/>
      <c r="R1152" s="1782"/>
    </row>
    <row r="1153" spans="1:18" s="1735" customFormat="1" ht="15" customHeight="1">
      <c r="A1153" s="1736">
        <v>90013</v>
      </c>
      <c r="B1153" s="1835" t="s">
        <v>454</v>
      </c>
      <c r="C1153" s="1738">
        <f>SUM(C1154:C1157)</f>
        <v>327000</v>
      </c>
      <c r="D1153" s="908">
        <f t="shared" si="167"/>
        <v>327000</v>
      </c>
      <c r="E1153" s="1680">
        <f>H1153+K1153+Q1153+N1153</f>
        <v>152521</v>
      </c>
      <c r="F1153" s="1681">
        <f t="shared" si="164"/>
        <v>46.64250764525994</v>
      </c>
      <c r="G1153" s="1680">
        <f>SUM(G1154:G1157)</f>
        <v>327000</v>
      </c>
      <c r="H1153" s="1680">
        <f>SUM(H1154:H1157)</f>
        <v>152521</v>
      </c>
      <c r="I1153" s="1776">
        <f t="shared" si="165"/>
        <v>46.64250764525994</v>
      </c>
      <c r="J1153" s="1740"/>
      <c r="K1153" s="1680"/>
      <c r="L1153" s="1700"/>
      <c r="M1153" s="1680"/>
      <c r="N1153" s="1680"/>
      <c r="O1153" s="1688"/>
      <c r="P1153" s="1680"/>
      <c r="Q1153" s="1680"/>
      <c r="R1153" s="1782"/>
    </row>
    <row r="1154" spans="1:18" s="1586" customFormat="1" ht="24">
      <c r="A1154" s="1818">
        <v>4210</v>
      </c>
      <c r="B1154" s="1880" t="s">
        <v>114</v>
      </c>
      <c r="C1154" s="895">
        <v>5000</v>
      </c>
      <c r="D1154" s="893">
        <f t="shared" si="167"/>
        <v>5000</v>
      </c>
      <c r="E1154" s="1690">
        <f>SUM(H1154+K1154+N1154+Q1154)</f>
        <v>0</v>
      </c>
      <c r="F1154" s="1666">
        <f t="shared" si="164"/>
        <v>0</v>
      </c>
      <c r="G1154" s="893">
        <v>5000</v>
      </c>
      <c r="H1154" s="1820"/>
      <c r="I1154" s="1669">
        <f t="shared" si="165"/>
        <v>0</v>
      </c>
      <c r="J1154" s="1820"/>
      <c r="K1154" s="893"/>
      <c r="L1154" s="1669"/>
      <c r="M1154" s="893"/>
      <c r="N1154" s="893"/>
      <c r="O1154" s="1879"/>
      <c r="P1154" s="893"/>
      <c r="Q1154" s="893"/>
      <c r="R1154" s="897"/>
    </row>
    <row r="1155" spans="1:18" s="1586" customFormat="1" ht="16.5" customHeight="1">
      <c r="A1155" s="1818">
        <v>4270</v>
      </c>
      <c r="B1155" s="1880" t="s">
        <v>120</v>
      </c>
      <c r="C1155" s="895">
        <v>22000</v>
      </c>
      <c r="D1155" s="893">
        <f t="shared" si="167"/>
        <v>22000</v>
      </c>
      <c r="E1155" s="1690">
        <f>SUM(H1155+K1155+N1155+Q1155)</f>
        <v>0</v>
      </c>
      <c r="F1155" s="1666">
        <f t="shared" si="164"/>
        <v>0</v>
      </c>
      <c r="G1155" s="893">
        <v>22000</v>
      </c>
      <c r="H1155" s="1820"/>
      <c r="I1155" s="1669">
        <f t="shared" si="165"/>
        <v>0</v>
      </c>
      <c r="J1155" s="1820"/>
      <c r="K1155" s="893"/>
      <c r="L1155" s="1669"/>
      <c r="M1155" s="893"/>
      <c r="N1155" s="893"/>
      <c r="O1155" s="1879"/>
      <c r="P1155" s="893"/>
      <c r="Q1155" s="893"/>
      <c r="R1155" s="897"/>
    </row>
    <row r="1156" spans="1:18" ht="24">
      <c r="A1156" s="1743">
        <v>4300</v>
      </c>
      <c r="B1156" s="1751" t="s">
        <v>455</v>
      </c>
      <c r="C1156" s="1689">
        <v>300000</v>
      </c>
      <c r="D1156" s="893">
        <f t="shared" si="167"/>
        <v>289300</v>
      </c>
      <c r="E1156" s="1690">
        <f>SUM(H1156+K1156+N1156+Q1156)</f>
        <v>152521</v>
      </c>
      <c r="F1156" s="1666">
        <f t="shared" si="164"/>
        <v>52.720705150362946</v>
      </c>
      <c r="G1156" s="1690">
        <f>300000-10700</f>
        <v>289300</v>
      </c>
      <c r="H1156" s="1745">
        <v>152521</v>
      </c>
      <c r="I1156" s="1669">
        <f t="shared" si="165"/>
        <v>52.720705150362946</v>
      </c>
      <c r="J1156" s="1745"/>
      <c r="K1156" s="1690"/>
      <c r="L1156" s="1669"/>
      <c r="M1156" s="1690"/>
      <c r="N1156" s="1690"/>
      <c r="O1156" s="1695"/>
      <c r="P1156" s="1690"/>
      <c r="Q1156" s="1690"/>
      <c r="R1156" s="1754"/>
    </row>
    <row r="1157" spans="1:18" ht="36">
      <c r="A1157" s="1743">
        <v>6060</v>
      </c>
      <c r="B1157" s="1751" t="s">
        <v>293</v>
      </c>
      <c r="C1157" s="1689"/>
      <c r="D1157" s="893">
        <f t="shared" si="167"/>
        <v>10700</v>
      </c>
      <c r="E1157" s="893">
        <f>H1157+K1157+Q1157+N1157</f>
        <v>0</v>
      </c>
      <c r="F1157" s="1666">
        <f t="shared" si="164"/>
        <v>0</v>
      </c>
      <c r="G1157" s="1689">
        <v>10700</v>
      </c>
      <c r="H1157" s="1884"/>
      <c r="I1157" s="1669">
        <f t="shared" si="165"/>
        <v>0</v>
      </c>
      <c r="J1157" s="1745"/>
      <c r="K1157" s="1690"/>
      <c r="L1157" s="1669"/>
      <c r="M1157" s="1745"/>
      <c r="N1157" s="1791"/>
      <c r="O1157" s="1695"/>
      <c r="P1157" s="1745"/>
      <c r="Q1157" s="1690"/>
      <c r="R1157" s="1754"/>
    </row>
    <row r="1158" spans="1:18" s="1735" customFormat="1" ht="27" customHeight="1">
      <c r="A1158" s="1736">
        <v>90015</v>
      </c>
      <c r="B1158" s="1835" t="s">
        <v>456</v>
      </c>
      <c r="C1158" s="1738">
        <f>SUM(C1159:C1163)</f>
        <v>2750000</v>
      </c>
      <c r="D1158" s="908">
        <f t="shared" si="167"/>
        <v>2810350</v>
      </c>
      <c r="E1158" s="1680">
        <f t="shared" si="167"/>
        <v>1385922</v>
      </c>
      <c r="F1158" s="1681">
        <f t="shared" si="164"/>
        <v>49.314925187254254</v>
      </c>
      <c r="G1158" s="1680">
        <f>SUM(G1159:G1163)</f>
        <v>1710350</v>
      </c>
      <c r="H1158" s="1740">
        <f>SUM(H1159:H1163)</f>
        <v>830569</v>
      </c>
      <c r="I1158" s="1776">
        <f t="shared" si="165"/>
        <v>48.56134709270032</v>
      </c>
      <c r="J1158" s="1740"/>
      <c r="K1158" s="1680"/>
      <c r="L1158" s="1776"/>
      <c r="M1158" s="1680">
        <f>SUM(M1159:M1163)</f>
        <v>1100000</v>
      </c>
      <c r="N1158" s="1842">
        <f>SUM(N1159:N1163)</f>
        <v>555353</v>
      </c>
      <c r="O1158" s="1688">
        <f>N1158/M1158*100</f>
        <v>50.486636363636364</v>
      </c>
      <c r="P1158" s="1680"/>
      <c r="Q1158" s="1680"/>
      <c r="R1158" s="1782"/>
    </row>
    <row r="1159" spans="1:18" ht="15" customHeight="1">
      <c r="A1159" s="1722">
        <v>4260</v>
      </c>
      <c r="B1159" s="1794" t="s">
        <v>118</v>
      </c>
      <c r="C1159" s="1693">
        <v>1450000</v>
      </c>
      <c r="D1159" s="932">
        <f t="shared" si="167"/>
        <v>1600000</v>
      </c>
      <c r="E1159" s="1707">
        <f>SUM(H1159+K1159+N1159+Q1159)</f>
        <v>737501</v>
      </c>
      <c r="F1159" s="1691">
        <f t="shared" si="164"/>
        <v>46.0938125</v>
      </c>
      <c r="G1159" s="1707">
        <v>940000</v>
      </c>
      <c r="H1159" s="1854">
        <v>417188</v>
      </c>
      <c r="I1159" s="1710">
        <f t="shared" si="165"/>
        <v>44.38170212765957</v>
      </c>
      <c r="J1159" s="1854"/>
      <c r="K1159" s="1707"/>
      <c r="L1159" s="1710"/>
      <c r="M1159" s="1707">
        <v>660000</v>
      </c>
      <c r="N1159" s="1707">
        <v>320313</v>
      </c>
      <c r="O1159" s="1695">
        <f>N1159/M1159*100</f>
        <v>48.532272727272726</v>
      </c>
      <c r="P1159" s="1707"/>
      <c r="Q1159" s="1707"/>
      <c r="R1159" s="1856"/>
    </row>
    <row r="1160" spans="1:18" ht="18" customHeight="1">
      <c r="A1160" s="1743">
        <v>4270</v>
      </c>
      <c r="B1160" s="1751" t="s">
        <v>120</v>
      </c>
      <c r="C1160" s="1689">
        <v>1300000</v>
      </c>
      <c r="D1160" s="893">
        <f t="shared" si="167"/>
        <v>1160350</v>
      </c>
      <c r="E1160" s="1690">
        <f>SUM(H1160+K1160+N1160+Q1160)</f>
        <v>648407</v>
      </c>
      <c r="F1160" s="1666">
        <f t="shared" si="164"/>
        <v>55.880294738656445</v>
      </c>
      <c r="G1160" s="1690">
        <f>710000+10350</f>
        <v>720350</v>
      </c>
      <c r="H1160" s="1745">
        <v>413367</v>
      </c>
      <c r="I1160" s="1669">
        <f t="shared" si="165"/>
        <v>57.38418824182689</v>
      </c>
      <c r="J1160" s="1745"/>
      <c r="K1160" s="1690"/>
      <c r="L1160" s="1669"/>
      <c r="M1160" s="1690">
        <v>440000</v>
      </c>
      <c r="N1160" s="1690">
        <v>235040</v>
      </c>
      <c r="O1160" s="1695">
        <f>N1160/M1160*100</f>
        <v>53.41818181818182</v>
      </c>
      <c r="P1160" s="1690"/>
      <c r="Q1160" s="1690"/>
      <c r="R1160" s="1754"/>
    </row>
    <row r="1161" spans="1:18" ht="12.75" hidden="1">
      <c r="A1161" s="1743">
        <v>4300</v>
      </c>
      <c r="B1161" s="1751" t="s">
        <v>122</v>
      </c>
      <c r="C1161" s="1689"/>
      <c r="D1161" s="893">
        <f t="shared" si="167"/>
        <v>0</v>
      </c>
      <c r="E1161" s="1690">
        <f>SUM(H1161+K1161+N1161+Q1161)</f>
        <v>0</v>
      </c>
      <c r="F1161" s="1666" t="e">
        <f t="shared" si="164"/>
        <v>#DIV/0!</v>
      </c>
      <c r="G1161" s="1690"/>
      <c r="H1161" s="1745"/>
      <c r="I1161" s="1669" t="e">
        <f t="shared" si="165"/>
        <v>#DIV/0!</v>
      </c>
      <c r="J1161" s="1745"/>
      <c r="K1161" s="1690"/>
      <c r="L1161" s="1669"/>
      <c r="M1161" s="1690"/>
      <c r="N1161" s="1690"/>
      <c r="O1161" s="1695"/>
      <c r="P1161" s="1690"/>
      <c r="Q1161" s="1690"/>
      <c r="R1161" s="1754"/>
    </row>
    <row r="1162" spans="1:18" ht="72" hidden="1">
      <c r="A1162" s="1743">
        <v>4560</v>
      </c>
      <c r="B1162" s="1751" t="s">
        <v>175</v>
      </c>
      <c r="C1162" s="1689"/>
      <c r="D1162" s="893">
        <f t="shared" si="167"/>
        <v>0</v>
      </c>
      <c r="E1162" s="893">
        <f t="shared" si="167"/>
        <v>0</v>
      </c>
      <c r="F1162" s="1666" t="e">
        <f t="shared" si="164"/>
        <v>#DIV/0!</v>
      </c>
      <c r="G1162" s="1690"/>
      <c r="H1162" s="1745"/>
      <c r="I1162" s="1669" t="e">
        <f t="shared" si="165"/>
        <v>#DIV/0!</v>
      </c>
      <c r="J1162" s="1745"/>
      <c r="K1162" s="1690"/>
      <c r="L1162" s="1669"/>
      <c r="M1162" s="1690"/>
      <c r="N1162" s="1690"/>
      <c r="O1162" s="1695"/>
      <c r="P1162" s="1690"/>
      <c r="Q1162" s="1690"/>
      <c r="R1162" s="1754"/>
    </row>
    <row r="1163" spans="1:18" ht="24">
      <c r="A1163" s="1798">
        <v>6050</v>
      </c>
      <c r="B1163" s="1799" t="s">
        <v>144</v>
      </c>
      <c r="C1163" s="1800"/>
      <c r="D1163" s="925">
        <f t="shared" si="167"/>
        <v>50000</v>
      </c>
      <c r="E1163" s="1791">
        <f>SUM(H1163+K1163+N1163+Q1163)</f>
        <v>14</v>
      </c>
      <c r="F1163" s="1719">
        <f t="shared" si="164"/>
        <v>0.027999999999999997</v>
      </c>
      <c r="G1163" s="1791">
        <v>50000</v>
      </c>
      <c r="H1163" s="1801">
        <v>14</v>
      </c>
      <c r="I1163" s="1669">
        <f t="shared" si="165"/>
        <v>0.027999999999999997</v>
      </c>
      <c r="J1163" s="1801"/>
      <c r="K1163" s="1791"/>
      <c r="L1163" s="1739"/>
      <c r="M1163" s="1791"/>
      <c r="N1163" s="1791"/>
      <c r="O1163" s="1720"/>
      <c r="P1163" s="1791"/>
      <c r="Q1163" s="1791"/>
      <c r="R1163" s="1845"/>
    </row>
    <row r="1164" spans="1:18" ht="24" customHeight="1">
      <c r="A1164" s="1736">
        <v>90095</v>
      </c>
      <c r="B1164" s="1835" t="s">
        <v>829</v>
      </c>
      <c r="C1164" s="1983">
        <f>SUM(C1165:C1187)</f>
        <v>1259184</v>
      </c>
      <c r="D1164" s="908">
        <f t="shared" si="167"/>
        <v>1491084</v>
      </c>
      <c r="E1164" s="908">
        <f aca="true" t="shared" si="168" ref="E1164:E1201">SUM(H1164+K1164+N1164+Q1164)</f>
        <v>343372</v>
      </c>
      <c r="F1164" s="1681">
        <f t="shared" si="164"/>
        <v>23.028347162198777</v>
      </c>
      <c r="G1164" s="1680">
        <f>SUM(G1165:G1187)</f>
        <v>1491084</v>
      </c>
      <c r="H1164" s="1680">
        <f>SUM(H1165:H1187)</f>
        <v>343372</v>
      </c>
      <c r="I1164" s="1776">
        <f t="shared" si="165"/>
        <v>23.028347162198777</v>
      </c>
      <c r="J1164" s="2054"/>
      <c r="K1164" s="1680"/>
      <c r="L1164" s="1776"/>
      <c r="M1164" s="1680"/>
      <c r="N1164" s="1680"/>
      <c r="O1164" s="1688"/>
      <c r="P1164" s="1680"/>
      <c r="Q1164" s="1680"/>
      <c r="R1164" s="1742"/>
    </row>
    <row r="1165" spans="1:18" s="1586" customFormat="1" ht="24">
      <c r="A1165" s="1846">
        <v>4112</v>
      </c>
      <c r="B1165" s="1847" t="s">
        <v>110</v>
      </c>
      <c r="C1165" s="927">
        <v>1000</v>
      </c>
      <c r="D1165" s="893">
        <f t="shared" si="167"/>
        <v>1000</v>
      </c>
      <c r="E1165" s="1690">
        <f t="shared" si="168"/>
        <v>0</v>
      </c>
      <c r="F1165" s="1691">
        <f t="shared" si="164"/>
        <v>0</v>
      </c>
      <c r="G1165" s="1848">
        <v>1000</v>
      </c>
      <c r="H1165" s="1820"/>
      <c r="I1165" s="1669">
        <f t="shared" si="165"/>
        <v>0</v>
      </c>
      <c r="J1165" s="1890"/>
      <c r="K1165" s="893"/>
      <c r="L1165" s="1669"/>
      <c r="M1165" s="893"/>
      <c r="N1165" s="893"/>
      <c r="O1165" s="1879"/>
      <c r="P1165" s="893"/>
      <c r="Q1165" s="893"/>
      <c r="R1165" s="897"/>
    </row>
    <row r="1166" spans="1:18" s="1586" customFormat="1" ht="12.75">
      <c r="A1166" s="1818">
        <v>4122</v>
      </c>
      <c r="B1166" s="1880" t="s">
        <v>208</v>
      </c>
      <c r="C1166" s="895">
        <v>484</v>
      </c>
      <c r="D1166" s="893">
        <f t="shared" si="167"/>
        <v>484</v>
      </c>
      <c r="E1166" s="1690">
        <f t="shared" si="168"/>
        <v>0</v>
      </c>
      <c r="F1166" s="1666">
        <f t="shared" si="164"/>
        <v>0</v>
      </c>
      <c r="G1166" s="1820">
        <v>484</v>
      </c>
      <c r="H1166" s="1820"/>
      <c r="I1166" s="1669">
        <f>H1166/G1166*100</f>
        <v>0</v>
      </c>
      <c r="J1166" s="1890"/>
      <c r="K1166" s="893"/>
      <c r="L1166" s="1669"/>
      <c r="M1166" s="893"/>
      <c r="N1166" s="893"/>
      <c r="O1166" s="1879"/>
      <c r="P1166" s="893"/>
      <c r="Q1166" s="893"/>
      <c r="R1166" s="897"/>
    </row>
    <row r="1167" spans="1:18" ht="24">
      <c r="A1167" s="1743">
        <v>4212</v>
      </c>
      <c r="B1167" s="1751" t="s">
        <v>114</v>
      </c>
      <c r="C1167" s="2060">
        <v>20000</v>
      </c>
      <c r="D1167" s="893">
        <f t="shared" si="167"/>
        <v>20000</v>
      </c>
      <c r="E1167" s="1690">
        <f t="shared" si="168"/>
        <v>15515</v>
      </c>
      <c r="F1167" s="1666">
        <f t="shared" si="164"/>
        <v>77.575</v>
      </c>
      <c r="G1167" s="2060">
        <v>20000</v>
      </c>
      <c r="H1167" s="1745">
        <v>15515</v>
      </c>
      <c r="I1167" s="1669">
        <f>H1167/G1167*100</f>
        <v>77.575</v>
      </c>
      <c r="J1167" s="1745"/>
      <c r="K1167" s="1690"/>
      <c r="L1167" s="1669"/>
      <c r="M1167" s="1690"/>
      <c r="N1167" s="1690"/>
      <c r="O1167" s="1695"/>
      <c r="P1167" s="1690"/>
      <c r="Q1167" s="1690"/>
      <c r="R1167" s="1754"/>
    </row>
    <row r="1168" spans="1:18" ht="12.75">
      <c r="A1168" s="1743">
        <v>4270</v>
      </c>
      <c r="B1168" s="1751" t="s">
        <v>457</v>
      </c>
      <c r="C1168" s="2060">
        <v>289700</v>
      </c>
      <c r="D1168" s="893">
        <f t="shared" si="167"/>
        <v>371600</v>
      </c>
      <c r="E1168" s="1690">
        <f t="shared" si="168"/>
        <v>0</v>
      </c>
      <c r="F1168" s="1666">
        <f t="shared" si="164"/>
        <v>0</v>
      </c>
      <c r="G1168" s="2060">
        <f>335720+28280-18400+32000-6000</f>
        <v>371600</v>
      </c>
      <c r="H1168" s="1745"/>
      <c r="I1168" s="1669">
        <f>H1168/G1168*100</f>
        <v>0</v>
      </c>
      <c r="J1168" s="1745"/>
      <c r="K1168" s="1690"/>
      <c r="L1168" s="1669"/>
      <c r="M1168" s="1690"/>
      <c r="N1168" s="1690"/>
      <c r="O1168" s="1695"/>
      <c r="P1168" s="1690"/>
      <c r="Q1168" s="1690"/>
      <c r="R1168" s="1754"/>
    </row>
    <row r="1169" spans="1:18" ht="12.75">
      <c r="A1169" s="1743">
        <v>4300</v>
      </c>
      <c r="B1169" s="1751" t="s">
        <v>122</v>
      </c>
      <c r="C1169" s="2061">
        <v>138000</v>
      </c>
      <c r="D1169" s="893">
        <f t="shared" si="167"/>
        <v>187990</v>
      </c>
      <c r="E1169" s="1690">
        <f t="shared" si="168"/>
        <v>88128</v>
      </c>
      <c r="F1169" s="1666">
        <f t="shared" si="164"/>
        <v>46.879089313261346</v>
      </c>
      <c r="G1169" s="2061">
        <f>137990+50000</f>
        <v>187990</v>
      </c>
      <c r="H1169" s="1820">
        <v>88128</v>
      </c>
      <c r="I1169" s="1669">
        <f t="shared" si="165"/>
        <v>46.879089313261346</v>
      </c>
      <c r="J1169" s="1745"/>
      <c r="K1169" s="1690"/>
      <c r="L1169" s="1669"/>
      <c r="M1169" s="1690"/>
      <c r="N1169" s="1690"/>
      <c r="O1169" s="1695"/>
      <c r="P1169" s="1690"/>
      <c r="Q1169" s="1690"/>
      <c r="R1169" s="1754"/>
    </row>
    <row r="1170" spans="1:18" ht="24" hidden="1">
      <c r="A1170" s="1805"/>
      <c r="B1170" s="1904" t="s">
        <v>458</v>
      </c>
      <c r="C1170" s="2062"/>
      <c r="D1170" s="893">
        <f t="shared" si="167"/>
        <v>0</v>
      </c>
      <c r="E1170" s="1690">
        <f t="shared" si="168"/>
        <v>0</v>
      </c>
      <c r="F1170" s="1666" t="e">
        <f t="shared" si="164"/>
        <v>#DIV/0!</v>
      </c>
      <c r="G1170" s="2062"/>
      <c r="H1170" s="1745"/>
      <c r="I1170" s="1669" t="e">
        <f t="shared" si="165"/>
        <v>#DIV/0!</v>
      </c>
      <c r="J1170" s="1745"/>
      <c r="K1170" s="1690"/>
      <c r="L1170" s="1669"/>
      <c r="M1170" s="1690"/>
      <c r="N1170" s="1690"/>
      <c r="O1170" s="1695"/>
      <c r="P1170" s="1690"/>
      <c r="Q1170" s="1690"/>
      <c r="R1170" s="1754"/>
    </row>
    <row r="1171" spans="1:18" s="1870" customFormat="1" ht="12.75" hidden="1">
      <c r="A1171" s="2063"/>
      <c r="B1171" s="1904" t="s">
        <v>459</v>
      </c>
      <c r="C1171" s="2062"/>
      <c r="D1171" s="893">
        <f t="shared" si="167"/>
        <v>0</v>
      </c>
      <c r="E1171" s="1690">
        <f t="shared" si="168"/>
        <v>0</v>
      </c>
      <c r="F1171" s="1666" t="e">
        <f t="shared" si="164"/>
        <v>#DIV/0!</v>
      </c>
      <c r="G1171" s="2062"/>
      <c r="H1171" s="1668"/>
      <c r="I1171" s="1669" t="e">
        <f t="shared" si="165"/>
        <v>#DIV/0!</v>
      </c>
      <c r="J1171" s="2064"/>
      <c r="K1171" s="1866"/>
      <c r="L1171" s="1669"/>
      <c r="M1171" s="2065"/>
      <c r="N1171" s="2065"/>
      <c r="O1171" s="1695"/>
      <c r="P1171" s="2065"/>
      <c r="Q1171" s="2065"/>
      <c r="R1171" s="1889"/>
    </row>
    <row r="1172" spans="1:18" s="1870" customFormat="1" ht="37.5" customHeight="1" hidden="1">
      <c r="A1172" s="2063"/>
      <c r="B1172" s="1904" t="s">
        <v>460</v>
      </c>
      <c r="C1172" s="2062"/>
      <c r="D1172" s="893">
        <f t="shared" si="167"/>
        <v>0</v>
      </c>
      <c r="E1172" s="1690">
        <f t="shared" si="168"/>
        <v>0</v>
      </c>
      <c r="F1172" s="1666" t="e">
        <f t="shared" si="164"/>
        <v>#DIV/0!</v>
      </c>
      <c r="G1172" s="2062"/>
      <c r="H1172" s="1820"/>
      <c r="I1172" s="1669" t="e">
        <f t="shared" si="165"/>
        <v>#DIV/0!</v>
      </c>
      <c r="J1172" s="1867"/>
      <c r="K1172" s="1866"/>
      <c r="L1172" s="1669"/>
      <c r="M1172" s="1866"/>
      <c r="N1172" s="1866"/>
      <c r="O1172" s="1695"/>
      <c r="P1172" s="1866"/>
      <c r="Q1172" s="1866"/>
      <c r="R1172" s="1869"/>
    </row>
    <row r="1173" spans="1:18" s="1870" customFormat="1" ht="12.75" hidden="1">
      <c r="A1173" s="1805"/>
      <c r="B1173" s="1904" t="s">
        <v>461</v>
      </c>
      <c r="C1173" s="2062"/>
      <c r="D1173" s="893">
        <f t="shared" si="167"/>
        <v>0</v>
      </c>
      <c r="E1173" s="1690">
        <f t="shared" si="168"/>
        <v>0</v>
      </c>
      <c r="F1173" s="1666" t="e">
        <f t="shared" si="164"/>
        <v>#DIV/0!</v>
      </c>
      <c r="G1173" s="2062"/>
      <c r="H1173" s="1820"/>
      <c r="I1173" s="1669" t="e">
        <f t="shared" si="165"/>
        <v>#DIV/0!</v>
      </c>
      <c r="J1173" s="1867"/>
      <c r="K1173" s="1866"/>
      <c r="L1173" s="1669"/>
      <c r="M1173" s="1866"/>
      <c r="N1173" s="1866"/>
      <c r="O1173" s="1695"/>
      <c r="P1173" s="1866"/>
      <c r="Q1173" s="1866"/>
      <c r="R1173" s="1869"/>
    </row>
    <row r="1174" spans="1:18" s="1870" customFormat="1" ht="21" customHeight="1" hidden="1">
      <c r="A1174" s="1805"/>
      <c r="B1174" s="1904" t="s">
        <v>462</v>
      </c>
      <c r="C1174" s="2062"/>
      <c r="D1174" s="893">
        <f t="shared" si="167"/>
        <v>0</v>
      </c>
      <c r="E1174" s="1690">
        <f t="shared" si="168"/>
        <v>0</v>
      </c>
      <c r="F1174" s="1666" t="e">
        <f t="shared" si="164"/>
        <v>#DIV/0!</v>
      </c>
      <c r="G1174" s="2062"/>
      <c r="H1174" s="1820"/>
      <c r="I1174" s="1669" t="e">
        <f t="shared" si="165"/>
        <v>#DIV/0!</v>
      </c>
      <c r="J1174" s="1867"/>
      <c r="K1174" s="1866"/>
      <c r="L1174" s="1669"/>
      <c r="M1174" s="1866"/>
      <c r="N1174" s="1866"/>
      <c r="O1174" s="1695"/>
      <c r="P1174" s="1866"/>
      <c r="Q1174" s="1866"/>
      <c r="R1174" s="1869"/>
    </row>
    <row r="1175" spans="1:18" s="1870" customFormat="1" ht="31.5" customHeight="1" hidden="1">
      <c r="A1175" s="1805"/>
      <c r="B1175" s="1904" t="s">
        <v>463</v>
      </c>
      <c r="C1175" s="2062"/>
      <c r="D1175" s="893">
        <f>G1175+J1175+P1175+M1175</f>
        <v>0</v>
      </c>
      <c r="E1175" s="1690">
        <f t="shared" si="168"/>
        <v>0</v>
      </c>
      <c r="F1175" s="1666" t="e">
        <f t="shared" si="164"/>
        <v>#DIV/0!</v>
      </c>
      <c r="G1175" s="2062"/>
      <c r="H1175" s="1820"/>
      <c r="I1175" s="1669" t="e">
        <f t="shared" si="165"/>
        <v>#DIV/0!</v>
      </c>
      <c r="J1175" s="1867"/>
      <c r="K1175" s="1866"/>
      <c r="L1175" s="1669"/>
      <c r="M1175" s="1866"/>
      <c r="N1175" s="1866"/>
      <c r="O1175" s="1695"/>
      <c r="P1175" s="1866"/>
      <c r="Q1175" s="1866"/>
      <c r="R1175" s="1869"/>
    </row>
    <row r="1176" spans="1:18" s="1870" customFormat="1" ht="31.5" customHeight="1" hidden="1">
      <c r="A1176" s="1805"/>
      <c r="B1176" s="1904" t="s">
        <v>464</v>
      </c>
      <c r="C1176" s="2062"/>
      <c r="D1176" s="893"/>
      <c r="E1176" s="1690"/>
      <c r="F1176" s="1666" t="e">
        <f t="shared" si="164"/>
        <v>#DIV/0!</v>
      </c>
      <c r="G1176" s="2062"/>
      <c r="H1176" s="1820"/>
      <c r="I1176" s="1669"/>
      <c r="J1176" s="1867"/>
      <c r="K1176" s="1866"/>
      <c r="L1176" s="1669"/>
      <c r="M1176" s="1866"/>
      <c r="N1176" s="1866"/>
      <c r="O1176" s="1695"/>
      <c r="P1176" s="1866"/>
      <c r="Q1176" s="1866"/>
      <c r="R1176" s="1869"/>
    </row>
    <row r="1177" spans="1:18" s="1586" customFormat="1" ht="12.75">
      <c r="A1177" s="1743">
        <v>4301</v>
      </c>
      <c r="B1177" s="1751" t="s">
        <v>122</v>
      </c>
      <c r="C1177" s="2060">
        <v>133155</v>
      </c>
      <c r="D1177" s="893">
        <f>G1177+J1177+P1177+M1177</f>
        <v>133155</v>
      </c>
      <c r="E1177" s="1690">
        <f t="shared" si="168"/>
        <v>96137</v>
      </c>
      <c r="F1177" s="1666">
        <f t="shared" si="164"/>
        <v>72.19931658593369</v>
      </c>
      <c r="G1177" s="2060">
        <v>133155</v>
      </c>
      <c r="H1177" s="1820">
        <v>96137</v>
      </c>
      <c r="I1177" s="1669">
        <f t="shared" si="165"/>
        <v>72.19931658593369</v>
      </c>
      <c r="J1177" s="1820"/>
      <c r="K1177" s="893"/>
      <c r="L1177" s="1789"/>
      <c r="M1177" s="893"/>
      <c r="N1177" s="893"/>
      <c r="O1177" s="2066"/>
      <c r="P1177" s="893"/>
      <c r="Q1177" s="893"/>
      <c r="R1177" s="897"/>
    </row>
    <row r="1178" spans="1:18" s="1586" customFormat="1" ht="12.75">
      <c r="A1178" s="1743">
        <v>4302</v>
      </c>
      <c r="B1178" s="1751" t="s">
        <v>122</v>
      </c>
      <c r="C1178" s="2060">
        <v>76845</v>
      </c>
      <c r="D1178" s="893">
        <f>G1178+J1178+P1178+M1178</f>
        <v>76845</v>
      </c>
      <c r="E1178" s="1690">
        <f t="shared" si="168"/>
        <v>42684</v>
      </c>
      <c r="F1178" s="1666">
        <f t="shared" si="164"/>
        <v>55.54557876244388</v>
      </c>
      <c r="G1178" s="2060">
        <v>76845</v>
      </c>
      <c r="H1178" s="1820">
        <v>42684</v>
      </c>
      <c r="I1178" s="1669">
        <f t="shared" si="165"/>
        <v>55.54557876244388</v>
      </c>
      <c r="J1178" s="1820"/>
      <c r="K1178" s="893"/>
      <c r="L1178" s="1789"/>
      <c r="M1178" s="893"/>
      <c r="N1178" s="893"/>
      <c r="O1178" s="2066"/>
      <c r="P1178" s="893"/>
      <c r="Q1178" s="893"/>
      <c r="R1178" s="897"/>
    </row>
    <row r="1179" spans="1:18" s="1586" customFormat="1" ht="12.75">
      <c r="A1179" s="1818">
        <v>4580</v>
      </c>
      <c r="B1179" s="1880" t="s">
        <v>176</v>
      </c>
      <c r="C1179" s="2060"/>
      <c r="D1179" s="893">
        <f>G1179+J1179+P1179+M1179</f>
        <v>10</v>
      </c>
      <c r="E1179" s="1690">
        <f t="shared" si="168"/>
        <v>7</v>
      </c>
      <c r="F1179" s="1666">
        <f t="shared" si="164"/>
        <v>70</v>
      </c>
      <c r="G1179" s="2060">
        <v>10</v>
      </c>
      <c r="H1179" s="1820">
        <v>7</v>
      </c>
      <c r="I1179" s="1669">
        <f t="shared" si="165"/>
        <v>70</v>
      </c>
      <c r="J1179" s="1820"/>
      <c r="K1179" s="893"/>
      <c r="L1179" s="1789"/>
      <c r="M1179" s="893"/>
      <c r="N1179" s="893"/>
      <c r="O1179" s="2066"/>
      <c r="P1179" s="893"/>
      <c r="Q1179" s="893"/>
      <c r="R1179" s="897"/>
    </row>
    <row r="1180" spans="1:18" ht="24">
      <c r="A1180" s="1972">
        <v>6050</v>
      </c>
      <c r="B1180" s="1751" t="s">
        <v>144</v>
      </c>
      <c r="C1180" s="2060">
        <v>400000</v>
      </c>
      <c r="D1180" s="893">
        <f aca="true" t="shared" si="169" ref="D1180:E1268">G1180+J1180+P1180+M1180</f>
        <v>700000</v>
      </c>
      <c r="E1180" s="1690">
        <f t="shared" si="168"/>
        <v>100901</v>
      </c>
      <c r="F1180" s="1666">
        <f t="shared" si="164"/>
        <v>14.414428571428573</v>
      </c>
      <c r="G1180" s="2060">
        <f>500000+200000</f>
        <v>700000</v>
      </c>
      <c r="H1180" s="1954">
        <v>100901</v>
      </c>
      <c r="I1180" s="1669">
        <f t="shared" si="165"/>
        <v>14.414428571428573</v>
      </c>
      <c r="J1180" s="1867"/>
      <c r="K1180" s="1866"/>
      <c r="L1180" s="1669"/>
      <c r="M1180" s="1690"/>
      <c r="N1180" s="1690"/>
      <c r="O1180" s="1695"/>
      <c r="P1180" s="1690"/>
      <c r="Q1180" s="1690"/>
      <c r="R1180" s="1754"/>
    </row>
    <row r="1181" spans="1:18" ht="38.25" customHeight="1" hidden="1">
      <c r="A1181" s="1972"/>
      <c r="B1181" s="2056" t="s">
        <v>465</v>
      </c>
      <c r="C1181" s="2062"/>
      <c r="D1181" s="893">
        <f t="shared" si="169"/>
        <v>0</v>
      </c>
      <c r="E1181" s="1690">
        <f t="shared" si="168"/>
        <v>0</v>
      </c>
      <c r="F1181" s="1666" t="e">
        <f t="shared" si="164"/>
        <v>#DIV/0!</v>
      </c>
      <c r="G1181" s="2062"/>
      <c r="H1181" s="2067"/>
      <c r="I1181" s="1669" t="e">
        <f t="shared" si="165"/>
        <v>#DIV/0!</v>
      </c>
      <c r="J1181" s="1867"/>
      <c r="K1181" s="1866"/>
      <c r="L1181" s="1669"/>
      <c r="M1181" s="1690"/>
      <c r="N1181" s="1690"/>
      <c r="O1181" s="1695"/>
      <c r="P1181" s="1690"/>
      <c r="Q1181" s="1690"/>
      <c r="R1181" s="1754"/>
    </row>
    <row r="1182" spans="1:18" ht="38.25" customHeight="1" hidden="1">
      <c r="A1182" s="1972"/>
      <c r="B1182" s="2056" t="s">
        <v>466</v>
      </c>
      <c r="C1182" s="2062"/>
      <c r="D1182" s="893">
        <f t="shared" si="169"/>
        <v>0</v>
      </c>
      <c r="E1182" s="1690">
        <f t="shared" si="168"/>
        <v>0</v>
      </c>
      <c r="F1182" s="1666" t="e">
        <f aca="true" t="shared" si="170" ref="F1182:F1226">E1182/D1182*100</f>
        <v>#DIV/0!</v>
      </c>
      <c r="G1182" s="2062"/>
      <c r="H1182" s="2067"/>
      <c r="I1182" s="1669" t="e">
        <f t="shared" si="165"/>
        <v>#DIV/0!</v>
      </c>
      <c r="J1182" s="1867"/>
      <c r="K1182" s="1866"/>
      <c r="L1182" s="1669"/>
      <c r="M1182" s="1690"/>
      <c r="N1182" s="1690"/>
      <c r="O1182" s="1695"/>
      <c r="P1182" s="1690"/>
      <c r="Q1182" s="1690"/>
      <c r="R1182" s="1754"/>
    </row>
    <row r="1183" spans="1:18" ht="25.5" customHeight="1" hidden="1">
      <c r="A1183" s="1972"/>
      <c r="B1183" s="2056" t="s">
        <v>467</v>
      </c>
      <c r="C1183" s="2062"/>
      <c r="D1183" s="893">
        <f t="shared" si="169"/>
        <v>0</v>
      </c>
      <c r="E1183" s="1690">
        <f t="shared" si="168"/>
        <v>0</v>
      </c>
      <c r="F1183" s="1666" t="e">
        <f t="shared" si="170"/>
        <v>#DIV/0!</v>
      </c>
      <c r="G1183" s="2062"/>
      <c r="H1183" s="2067"/>
      <c r="I1183" s="1669" t="e">
        <f t="shared" si="165"/>
        <v>#DIV/0!</v>
      </c>
      <c r="J1183" s="1867"/>
      <c r="K1183" s="1866"/>
      <c r="L1183" s="1669"/>
      <c r="M1183" s="1690"/>
      <c r="N1183" s="1690"/>
      <c r="O1183" s="1695"/>
      <c r="P1183" s="1690"/>
      <c r="Q1183" s="1690"/>
      <c r="R1183" s="1754"/>
    </row>
    <row r="1184" spans="1:18" ht="29.25" customHeight="1" hidden="1">
      <c r="A1184" s="1972"/>
      <c r="B1184" s="2056" t="s">
        <v>468</v>
      </c>
      <c r="C1184" s="2062"/>
      <c r="D1184" s="893">
        <f t="shared" si="169"/>
        <v>0</v>
      </c>
      <c r="E1184" s="1690">
        <f t="shared" si="168"/>
        <v>0</v>
      </c>
      <c r="F1184" s="1666" t="e">
        <f t="shared" si="170"/>
        <v>#DIV/0!</v>
      </c>
      <c r="G1184" s="2062"/>
      <c r="H1184" s="2067"/>
      <c r="I1184" s="1669" t="e">
        <f t="shared" si="165"/>
        <v>#DIV/0!</v>
      </c>
      <c r="J1184" s="1867"/>
      <c r="K1184" s="1866"/>
      <c r="L1184" s="1669"/>
      <c r="M1184" s="1690"/>
      <c r="N1184" s="1690"/>
      <c r="O1184" s="1695"/>
      <c r="P1184" s="1690"/>
      <c r="Q1184" s="1690"/>
      <c r="R1184" s="1754"/>
    </row>
    <row r="1185" spans="1:18" ht="30" customHeight="1" hidden="1">
      <c r="A1185" s="1972"/>
      <c r="B1185" s="2056" t="s">
        <v>469</v>
      </c>
      <c r="C1185" s="2062"/>
      <c r="D1185" s="893">
        <f t="shared" si="169"/>
        <v>0</v>
      </c>
      <c r="E1185" s="1690">
        <f t="shared" si="168"/>
        <v>0</v>
      </c>
      <c r="F1185" s="1666" t="e">
        <f t="shared" si="170"/>
        <v>#DIV/0!</v>
      </c>
      <c r="G1185" s="2062"/>
      <c r="H1185" s="1745"/>
      <c r="I1185" s="1669" t="e">
        <f t="shared" si="165"/>
        <v>#DIV/0!</v>
      </c>
      <c r="J1185" s="1745"/>
      <c r="K1185" s="1690"/>
      <c r="L1185" s="1669"/>
      <c r="M1185" s="1690"/>
      <c r="N1185" s="1690"/>
      <c r="O1185" s="1695"/>
      <c r="P1185" s="1690"/>
      <c r="Q1185" s="1690"/>
      <c r="R1185" s="1754"/>
    </row>
    <row r="1186" spans="1:18" s="1870" customFormat="1" ht="25.5" customHeight="1" hidden="1">
      <c r="A1186" s="1972"/>
      <c r="B1186" s="2056" t="s">
        <v>470</v>
      </c>
      <c r="C1186" s="2062"/>
      <c r="D1186" s="893">
        <f t="shared" si="169"/>
        <v>0</v>
      </c>
      <c r="E1186" s="1866">
        <f t="shared" si="168"/>
        <v>0</v>
      </c>
      <c r="F1186" s="1666" t="e">
        <f t="shared" si="170"/>
        <v>#DIV/0!</v>
      </c>
      <c r="G1186" s="2062"/>
      <c r="H1186" s="2067"/>
      <c r="I1186" s="1669" t="e">
        <f t="shared" si="165"/>
        <v>#DIV/0!</v>
      </c>
      <c r="J1186" s="1867"/>
      <c r="K1186" s="1866"/>
      <c r="L1186" s="1669"/>
      <c r="M1186" s="1866"/>
      <c r="N1186" s="1866"/>
      <c r="O1186" s="1695"/>
      <c r="P1186" s="1866"/>
      <c r="Q1186" s="1866"/>
      <c r="R1186" s="1869"/>
    </row>
    <row r="1187" spans="1:18" s="1870" customFormat="1" ht="84.75" thickBot="1">
      <c r="A1187" s="1743">
        <v>6230</v>
      </c>
      <c r="B1187" s="1751" t="s">
        <v>471</v>
      </c>
      <c r="C1187" s="2060">
        <v>200000</v>
      </c>
      <c r="D1187" s="893">
        <f t="shared" si="169"/>
        <v>0</v>
      </c>
      <c r="E1187" s="893">
        <f t="shared" si="168"/>
        <v>0</v>
      </c>
      <c r="F1187" s="1666"/>
      <c r="G1187" s="2060">
        <f>200000-200000</f>
        <v>0</v>
      </c>
      <c r="H1187" s="2068"/>
      <c r="I1187" s="1669"/>
      <c r="J1187" s="1867"/>
      <c r="K1187" s="1866"/>
      <c r="L1187" s="1669"/>
      <c r="M1187" s="1866"/>
      <c r="N1187" s="1866"/>
      <c r="O1187" s="1695"/>
      <c r="P1187" s="1866"/>
      <c r="Q1187" s="1866"/>
      <c r="R1187" s="1869"/>
    </row>
    <row r="1188" spans="1:18" s="1870" customFormat="1" ht="15.75" customHeight="1" hidden="1">
      <c r="A1188" s="1863"/>
      <c r="B1188" s="2069" t="s">
        <v>472</v>
      </c>
      <c r="C1188" s="2062">
        <v>10000</v>
      </c>
      <c r="D1188" s="893">
        <f t="shared" si="169"/>
        <v>10000</v>
      </c>
      <c r="E1188" s="1866">
        <f t="shared" si="168"/>
        <v>0</v>
      </c>
      <c r="F1188" s="1666">
        <f t="shared" si="170"/>
        <v>0</v>
      </c>
      <c r="G1188" s="2062">
        <v>10000</v>
      </c>
      <c r="H1188" s="2067"/>
      <c r="I1188" s="1669">
        <f t="shared" si="165"/>
        <v>0</v>
      </c>
      <c r="J1188" s="1867"/>
      <c r="K1188" s="1866"/>
      <c r="L1188" s="1669"/>
      <c r="M1188" s="1866"/>
      <c r="N1188" s="1866"/>
      <c r="O1188" s="1695"/>
      <c r="P1188" s="1866"/>
      <c r="Q1188" s="1866"/>
      <c r="R1188" s="1869"/>
    </row>
    <row r="1189" spans="1:18" s="1870" customFormat="1" ht="15.75" customHeight="1" hidden="1">
      <c r="A1189" s="1863"/>
      <c r="B1189" s="2069" t="s">
        <v>473</v>
      </c>
      <c r="C1189" s="2062">
        <v>50000</v>
      </c>
      <c r="D1189" s="893">
        <f t="shared" si="169"/>
        <v>0</v>
      </c>
      <c r="E1189" s="1866">
        <f t="shared" si="168"/>
        <v>0</v>
      </c>
      <c r="F1189" s="1666" t="e">
        <f t="shared" si="170"/>
        <v>#DIV/0!</v>
      </c>
      <c r="G1189" s="2062">
        <f>50000-50000</f>
        <v>0</v>
      </c>
      <c r="H1189" s="2067"/>
      <c r="I1189" s="1669" t="e">
        <f t="shared" si="165"/>
        <v>#DIV/0!</v>
      </c>
      <c r="J1189" s="1867"/>
      <c r="K1189" s="1866"/>
      <c r="L1189" s="1669"/>
      <c r="M1189" s="1866"/>
      <c r="N1189" s="1866"/>
      <c r="O1189" s="1695"/>
      <c r="P1189" s="1866"/>
      <c r="Q1189" s="1866"/>
      <c r="R1189" s="1869"/>
    </row>
    <row r="1190" spans="1:18" s="1870" customFormat="1" ht="15.75" customHeight="1" hidden="1">
      <c r="A1190" s="1863"/>
      <c r="B1190" s="2069" t="s">
        <v>474</v>
      </c>
      <c r="C1190" s="2062">
        <v>30000</v>
      </c>
      <c r="D1190" s="893">
        <f t="shared" si="169"/>
        <v>0</v>
      </c>
      <c r="E1190" s="1866">
        <f t="shared" si="168"/>
        <v>0</v>
      </c>
      <c r="F1190" s="1666" t="e">
        <f t="shared" si="170"/>
        <v>#DIV/0!</v>
      </c>
      <c r="G1190" s="2062">
        <f>30000-30000</f>
        <v>0</v>
      </c>
      <c r="H1190" s="2067"/>
      <c r="I1190" s="1669" t="e">
        <f t="shared" si="165"/>
        <v>#DIV/0!</v>
      </c>
      <c r="J1190" s="1867"/>
      <c r="K1190" s="1866"/>
      <c r="L1190" s="1669"/>
      <c r="M1190" s="1866"/>
      <c r="N1190" s="1866"/>
      <c r="O1190" s="1695"/>
      <c r="P1190" s="1866"/>
      <c r="Q1190" s="1866"/>
      <c r="R1190" s="1869"/>
    </row>
    <row r="1191" spans="1:18" s="1870" customFormat="1" ht="15.75" customHeight="1" hidden="1">
      <c r="A1191" s="1863"/>
      <c r="B1191" s="2069" t="s">
        <v>475</v>
      </c>
      <c r="C1191" s="2062">
        <v>30000</v>
      </c>
      <c r="D1191" s="893">
        <f t="shared" si="169"/>
        <v>30000</v>
      </c>
      <c r="E1191" s="1866">
        <f t="shared" si="168"/>
        <v>0</v>
      </c>
      <c r="F1191" s="1666">
        <f t="shared" si="170"/>
        <v>0</v>
      </c>
      <c r="G1191" s="2062">
        <v>30000</v>
      </c>
      <c r="H1191" s="2067"/>
      <c r="I1191" s="1669">
        <f t="shared" si="165"/>
        <v>0</v>
      </c>
      <c r="J1191" s="1867"/>
      <c r="K1191" s="1866"/>
      <c r="L1191" s="1669"/>
      <c r="M1191" s="1866"/>
      <c r="N1191" s="1866"/>
      <c r="O1191" s="1695"/>
      <c r="P1191" s="1866"/>
      <c r="Q1191" s="1866"/>
      <c r="R1191" s="1869"/>
    </row>
    <row r="1192" spans="1:18" s="1870" customFormat="1" ht="15.75" customHeight="1" hidden="1">
      <c r="A1192" s="1863"/>
      <c r="B1192" s="2070" t="s">
        <v>476</v>
      </c>
      <c r="C1192" s="2062">
        <v>40000</v>
      </c>
      <c r="D1192" s="893">
        <f t="shared" si="169"/>
        <v>40000</v>
      </c>
      <c r="E1192" s="1866">
        <f t="shared" si="168"/>
        <v>0</v>
      </c>
      <c r="F1192" s="1666">
        <f t="shared" si="170"/>
        <v>0</v>
      </c>
      <c r="G1192" s="2062">
        <v>40000</v>
      </c>
      <c r="H1192" s="2067"/>
      <c r="I1192" s="1669">
        <f t="shared" si="165"/>
        <v>0</v>
      </c>
      <c r="J1192" s="1867"/>
      <c r="K1192" s="1866"/>
      <c r="L1192" s="1669"/>
      <c r="M1192" s="1866"/>
      <c r="N1192" s="1866"/>
      <c r="O1192" s="1695"/>
      <c r="P1192" s="1866"/>
      <c r="Q1192" s="1866"/>
      <c r="R1192" s="1869"/>
    </row>
    <row r="1193" spans="1:18" s="1870" customFormat="1" ht="15.75" customHeight="1" hidden="1">
      <c r="A1193" s="1863"/>
      <c r="B1193" s="2069" t="s">
        <v>477</v>
      </c>
      <c r="C1193" s="2062">
        <v>150000</v>
      </c>
      <c r="D1193" s="893">
        <f t="shared" si="169"/>
        <v>270000</v>
      </c>
      <c r="E1193" s="1866">
        <f t="shared" si="168"/>
        <v>0</v>
      </c>
      <c r="F1193" s="1666">
        <f t="shared" si="170"/>
        <v>0</v>
      </c>
      <c r="G1193" s="2062">
        <f>150000+120000</f>
        <v>270000</v>
      </c>
      <c r="H1193" s="2067"/>
      <c r="I1193" s="1669">
        <f t="shared" si="165"/>
        <v>0</v>
      </c>
      <c r="J1193" s="1867"/>
      <c r="K1193" s="1866"/>
      <c r="L1193" s="1669"/>
      <c r="M1193" s="1866"/>
      <c r="N1193" s="1866"/>
      <c r="O1193" s="1695"/>
      <c r="P1193" s="1866"/>
      <c r="Q1193" s="1866"/>
      <c r="R1193" s="1869"/>
    </row>
    <row r="1194" spans="1:18" s="1870" customFormat="1" ht="15.75" customHeight="1" hidden="1">
      <c r="A1194" s="1863"/>
      <c r="B1194" s="2069" t="s">
        <v>478</v>
      </c>
      <c r="C1194" s="2062">
        <v>50000</v>
      </c>
      <c r="D1194" s="893">
        <f t="shared" si="169"/>
        <v>0</v>
      </c>
      <c r="E1194" s="1866">
        <f t="shared" si="168"/>
        <v>0</v>
      </c>
      <c r="F1194" s="1666" t="e">
        <f t="shared" si="170"/>
        <v>#DIV/0!</v>
      </c>
      <c r="G1194" s="2062">
        <f>50000-50000</f>
        <v>0</v>
      </c>
      <c r="H1194" s="2067"/>
      <c r="I1194" s="1669" t="e">
        <f t="shared" si="165"/>
        <v>#DIV/0!</v>
      </c>
      <c r="J1194" s="1867"/>
      <c r="K1194" s="1866"/>
      <c r="L1194" s="1669"/>
      <c r="M1194" s="1866"/>
      <c r="N1194" s="1866"/>
      <c r="O1194" s="1695"/>
      <c r="P1194" s="1866"/>
      <c r="Q1194" s="1866"/>
      <c r="R1194" s="1869"/>
    </row>
    <row r="1195" spans="1:18" s="1870" customFormat="1" ht="15.75" customHeight="1" hidden="1">
      <c r="A1195" s="1863"/>
      <c r="B1195" s="2069" t="s">
        <v>479</v>
      </c>
      <c r="C1195" s="2062">
        <v>70000</v>
      </c>
      <c r="D1195" s="893">
        <f t="shared" si="169"/>
        <v>70000</v>
      </c>
      <c r="E1195" s="1866">
        <f t="shared" si="168"/>
        <v>0</v>
      </c>
      <c r="F1195" s="1666">
        <f t="shared" si="170"/>
        <v>0</v>
      </c>
      <c r="G1195" s="2062">
        <v>70000</v>
      </c>
      <c r="H1195" s="2067"/>
      <c r="I1195" s="1669">
        <f t="shared" si="165"/>
        <v>0</v>
      </c>
      <c r="J1195" s="1867"/>
      <c r="K1195" s="1866"/>
      <c r="L1195" s="1669"/>
      <c r="M1195" s="1866"/>
      <c r="N1195" s="1866"/>
      <c r="O1195" s="1695"/>
      <c r="P1195" s="1866"/>
      <c r="Q1195" s="1866"/>
      <c r="R1195" s="1869"/>
    </row>
    <row r="1196" spans="1:18" s="1870" customFormat="1" ht="15.75" customHeight="1" hidden="1">
      <c r="A1196" s="1863"/>
      <c r="B1196" s="2070" t="s">
        <v>480</v>
      </c>
      <c r="C1196" s="2062">
        <v>5000</v>
      </c>
      <c r="D1196" s="893">
        <f t="shared" si="169"/>
        <v>0</v>
      </c>
      <c r="E1196" s="1866">
        <f t="shared" si="168"/>
        <v>0</v>
      </c>
      <c r="F1196" s="1666" t="e">
        <f t="shared" si="170"/>
        <v>#DIV/0!</v>
      </c>
      <c r="G1196" s="2062">
        <f>5000-5000</f>
        <v>0</v>
      </c>
      <c r="H1196" s="2067"/>
      <c r="I1196" s="1669" t="e">
        <f t="shared" si="165"/>
        <v>#DIV/0!</v>
      </c>
      <c r="J1196" s="1867"/>
      <c r="K1196" s="1866"/>
      <c r="L1196" s="1669"/>
      <c r="M1196" s="1866"/>
      <c r="N1196" s="1866"/>
      <c r="O1196" s="1695"/>
      <c r="P1196" s="1866"/>
      <c r="Q1196" s="1866"/>
      <c r="R1196" s="1869"/>
    </row>
    <row r="1197" spans="1:18" s="1870" customFormat="1" ht="15.75" customHeight="1" hidden="1">
      <c r="A1197" s="1863"/>
      <c r="B1197" s="2070" t="s">
        <v>481</v>
      </c>
      <c r="C1197" s="2062">
        <v>10000</v>
      </c>
      <c r="D1197" s="893">
        <f t="shared" si="169"/>
        <v>0</v>
      </c>
      <c r="E1197" s="1866">
        <f t="shared" si="168"/>
        <v>0</v>
      </c>
      <c r="F1197" s="1666" t="e">
        <f t="shared" si="170"/>
        <v>#DIV/0!</v>
      </c>
      <c r="G1197" s="2062">
        <f>10000-10000</f>
        <v>0</v>
      </c>
      <c r="H1197" s="2067"/>
      <c r="I1197" s="1669" t="e">
        <f t="shared" si="165"/>
        <v>#DIV/0!</v>
      </c>
      <c r="J1197" s="1867"/>
      <c r="K1197" s="1866"/>
      <c r="L1197" s="1669"/>
      <c r="M1197" s="1866"/>
      <c r="N1197" s="1866"/>
      <c r="O1197" s="1695"/>
      <c r="P1197" s="1866"/>
      <c r="Q1197" s="1866"/>
      <c r="R1197" s="1869"/>
    </row>
    <row r="1198" spans="1:18" s="1870" customFormat="1" ht="15.75" customHeight="1" hidden="1">
      <c r="A1198" s="1863"/>
      <c r="B1198" s="2069" t="s">
        <v>482</v>
      </c>
      <c r="C1198" s="2062">
        <v>10000</v>
      </c>
      <c r="D1198" s="893">
        <f t="shared" si="169"/>
        <v>10000</v>
      </c>
      <c r="E1198" s="1866">
        <f t="shared" si="168"/>
        <v>0</v>
      </c>
      <c r="F1198" s="1666">
        <f t="shared" si="170"/>
        <v>0</v>
      </c>
      <c r="G1198" s="2062">
        <v>10000</v>
      </c>
      <c r="H1198" s="2067"/>
      <c r="I1198" s="1669">
        <f aca="true" t="shared" si="171" ref="I1198:I1205">H1198/G1198*100</f>
        <v>0</v>
      </c>
      <c r="J1198" s="1867"/>
      <c r="K1198" s="1866"/>
      <c r="L1198" s="1669"/>
      <c r="M1198" s="1866"/>
      <c r="N1198" s="1866"/>
      <c r="O1198" s="1695"/>
      <c r="P1198" s="1866"/>
      <c r="Q1198" s="1866"/>
      <c r="R1198" s="1869"/>
    </row>
    <row r="1199" spans="1:18" s="1870" customFormat="1" ht="15.75" customHeight="1" hidden="1">
      <c r="A1199" s="1863"/>
      <c r="B1199" s="2071" t="s">
        <v>483</v>
      </c>
      <c r="C1199" s="2062">
        <v>5000</v>
      </c>
      <c r="D1199" s="893">
        <f t="shared" si="169"/>
        <v>5000</v>
      </c>
      <c r="E1199" s="1866">
        <f t="shared" si="168"/>
        <v>0</v>
      </c>
      <c r="F1199" s="1666">
        <f t="shared" si="170"/>
        <v>0</v>
      </c>
      <c r="G1199" s="2062">
        <v>5000</v>
      </c>
      <c r="H1199" s="2067"/>
      <c r="I1199" s="1669">
        <f t="shared" si="171"/>
        <v>0</v>
      </c>
      <c r="J1199" s="1867"/>
      <c r="K1199" s="1866"/>
      <c r="L1199" s="1669"/>
      <c r="M1199" s="1866"/>
      <c r="N1199" s="1866"/>
      <c r="O1199" s="1695"/>
      <c r="P1199" s="1866"/>
      <c r="Q1199" s="1866"/>
      <c r="R1199" s="1869"/>
    </row>
    <row r="1200" spans="1:18" s="1870" customFormat="1" ht="15.75" customHeight="1" hidden="1">
      <c r="A1200" s="1863"/>
      <c r="B1200" s="2069" t="s">
        <v>484</v>
      </c>
      <c r="C1200" s="2062">
        <v>40000</v>
      </c>
      <c r="D1200" s="893">
        <f t="shared" si="169"/>
        <v>65000</v>
      </c>
      <c r="E1200" s="1866">
        <f t="shared" si="168"/>
        <v>0</v>
      </c>
      <c r="F1200" s="1666">
        <f t="shared" si="170"/>
        <v>0</v>
      </c>
      <c r="G1200" s="2062">
        <f>40000+25000</f>
        <v>65000</v>
      </c>
      <c r="H1200" s="2067"/>
      <c r="I1200" s="1669">
        <f t="shared" si="171"/>
        <v>0</v>
      </c>
      <c r="J1200" s="1867"/>
      <c r="K1200" s="1866"/>
      <c r="L1200" s="1669"/>
      <c r="M1200" s="1866"/>
      <c r="N1200" s="1866"/>
      <c r="O1200" s="1695"/>
      <c r="P1200" s="1866"/>
      <c r="Q1200" s="1866"/>
      <c r="R1200" s="1869"/>
    </row>
    <row r="1201" spans="1:18" ht="48.75" hidden="1" thickBot="1">
      <c r="A1201" s="1743">
        <v>6010</v>
      </c>
      <c r="B1201" s="1751" t="s">
        <v>485</v>
      </c>
      <c r="C1201" s="1689">
        <v>0</v>
      </c>
      <c r="D1201" s="893">
        <f t="shared" si="169"/>
        <v>0</v>
      </c>
      <c r="E1201" s="1690">
        <f t="shared" si="168"/>
        <v>0</v>
      </c>
      <c r="F1201" s="1666" t="e">
        <f t="shared" si="170"/>
        <v>#DIV/0!</v>
      </c>
      <c r="G1201" s="1690">
        <v>0</v>
      </c>
      <c r="H1201" s="1745">
        <v>0</v>
      </c>
      <c r="I1201" s="1669" t="e">
        <f t="shared" si="171"/>
        <v>#DIV/0!</v>
      </c>
      <c r="J1201" s="1745"/>
      <c r="K1201" s="1690"/>
      <c r="L1201" s="1669"/>
      <c r="M1201" s="1690"/>
      <c r="N1201" s="1690"/>
      <c r="O1201" s="1695"/>
      <c r="P1201" s="1690"/>
      <c r="Q1201" s="1690"/>
      <c r="R1201" s="1754"/>
    </row>
    <row r="1202" spans="1:18" s="1735" customFormat="1" ht="46.5" customHeight="1" thickBot="1" thickTop="1">
      <c r="A1202" s="1755">
        <v>921</v>
      </c>
      <c r="B1202" s="1756" t="s">
        <v>641</v>
      </c>
      <c r="C1202" s="1731">
        <f>C1225+C1205+C1213+C1219+C1251+C1260+C1269+C1273+C1203</f>
        <v>11993840</v>
      </c>
      <c r="D1202" s="1716">
        <f>D1225+D1205+D1213+D1219+D1251+D1260+D1269+D1273+D1203</f>
        <v>12801780</v>
      </c>
      <c r="E1202" s="1716">
        <f>E1225+E1205+E1213+E1219+E1251+E1260+E1269+E1273+E1203</f>
        <v>6679045</v>
      </c>
      <c r="F1202" s="1644">
        <f t="shared" si="170"/>
        <v>52.17278378475493</v>
      </c>
      <c r="G1202" s="1731">
        <f>G1225+G1205+G1213+G1219+G1251+G1260+G1269+G1273+G1203</f>
        <v>3997640</v>
      </c>
      <c r="H1202" s="1716">
        <f>H1225+H1205+H1213+H1219+H1251+H1260+H1269+H1273+H1203</f>
        <v>2074244</v>
      </c>
      <c r="I1202" s="1644">
        <f t="shared" si="171"/>
        <v>51.886713160764856</v>
      </c>
      <c r="J1202" s="1731">
        <f>J1219</f>
        <v>3000</v>
      </c>
      <c r="K1202" s="1716">
        <f>K1219</f>
        <v>0</v>
      </c>
      <c r="L1202" s="1733">
        <f>K1202/J1202*100</f>
        <v>0</v>
      </c>
      <c r="M1202" s="1731">
        <f>M1225+M1205+M1213+M1219+M1251+M1260+M1269+M1273</f>
        <v>8801140</v>
      </c>
      <c r="N1202" s="1732">
        <f>N1225+N1205+N1213+N1219+N1251+N1260+N1269+N1273</f>
        <v>4604801</v>
      </c>
      <c r="O1202" s="2072">
        <f>N1202/M1202*100</f>
        <v>52.320506207150444</v>
      </c>
      <c r="P1202" s="1731"/>
      <c r="Q1202" s="1716"/>
      <c r="R1202" s="1734"/>
    </row>
    <row r="1203" spans="1:18" s="1735" customFormat="1" ht="24.75" hidden="1" thickTop="1">
      <c r="A1203" s="1871">
        <v>92103</v>
      </c>
      <c r="B1203" s="1872" t="s">
        <v>486</v>
      </c>
      <c r="C1203" s="1933"/>
      <c r="D1203" s="906">
        <f t="shared" si="169"/>
        <v>0</v>
      </c>
      <c r="E1203" s="1836">
        <f>H1203+K1203+Q1203+N1203</f>
        <v>0</v>
      </c>
      <c r="F1203" s="1654" t="e">
        <f t="shared" si="170"/>
        <v>#DIV/0!</v>
      </c>
      <c r="G1203" s="1933">
        <f>G1204</f>
        <v>0</v>
      </c>
      <c r="H1203" s="2073">
        <f>H1204</f>
        <v>0</v>
      </c>
      <c r="I1203" s="1657" t="e">
        <f t="shared" si="171"/>
        <v>#DIV/0!</v>
      </c>
      <c r="J1203" s="1956"/>
      <c r="K1203" s="1836"/>
      <c r="L1203" s="1875"/>
      <c r="M1203" s="1956"/>
      <c r="N1203" s="1836"/>
      <c r="O1203" s="1996"/>
      <c r="P1203" s="1956"/>
      <c r="Q1203" s="1836"/>
      <c r="R1203" s="1958"/>
    </row>
    <row r="1204" spans="1:18" s="1586" customFormat="1" ht="36.75" hidden="1" thickTop="1">
      <c r="A1204" s="1818">
        <v>2550</v>
      </c>
      <c r="B1204" s="1773" t="s">
        <v>487</v>
      </c>
      <c r="C1204" s="895"/>
      <c r="D1204" s="925">
        <f t="shared" si="169"/>
        <v>0</v>
      </c>
      <c r="E1204" s="925">
        <f>H1204+K1204+Q1204+N1204</f>
        <v>0</v>
      </c>
      <c r="F1204" s="1719" t="e">
        <f t="shared" si="170"/>
        <v>#DIV/0!</v>
      </c>
      <c r="G1204" s="1890"/>
      <c r="H1204" s="893"/>
      <c r="I1204" s="1739" t="e">
        <f t="shared" si="171"/>
        <v>#DIV/0!</v>
      </c>
      <c r="J1204" s="1820"/>
      <c r="K1204" s="893"/>
      <c r="L1204" s="1746"/>
      <c r="M1204" s="1820"/>
      <c r="N1204" s="893"/>
      <c r="O1204" s="894"/>
      <c r="P1204" s="1820"/>
      <c r="Q1204" s="893"/>
      <c r="R1204" s="897"/>
    </row>
    <row r="1205" spans="1:18" ht="24" customHeight="1" thickTop="1">
      <c r="A1205" s="1736">
        <v>92105</v>
      </c>
      <c r="B1205" s="1835" t="s">
        <v>860</v>
      </c>
      <c r="C1205" s="1738">
        <f>SUM(C1206:C1212)</f>
        <v>201000</v>
      </c>
      <c r="D1205" s="908">
        <f t="shared" si="169"/>
        <v>319000</v>
      </c>
      <c r="E1205" s="1680">
        <f>H1205+K1205+Q1205+N1205</f>
        <v>93420</v>
      </c>
      <c r="F1205" s="1681">
        <f t="shared" si="170"/>
        <v>29.285266457680255</v>
      </c>
      <c r="G1205" s="1680">
        <f>SUM(G1206:G1212)</f>
        <v>319000</v>
      </c>
      <c r="H1205" s="1680">
        <f>SUM(H1206:H1212)</f>
        <v>93420</v>
      </c>
      <c r="I1205" s="1776">
        <f t="shared" si="171"/>
        <v>29.285266457680255</v>
      </c>
      <c r="J1205" s="1740"/>
      <c r="K1205" s="1680"/>
      <c r="L1205" s="1741"/>
      <c r="M1205" s="1680"/>
      <c r="N1205" s="1680"/>
      <c r="O1205" s="1742"/>
      <c r="P1205" s="1680"/>
      <c r="Q1205" s="1680"/>
      <c r="R1205" s="1782"/>
    </row>
    <row r="1206" spans="1:18" ht="24">
      <c r="A1206" s="1722">
        <v>3020</v>
      </c>
      <c r="B1206" s="1853" t="s">
        <v>332</v>
      </c>
      <c r="C1206" s="1693">
        <v>50000</v>
      </c>
      <c r="D1206" s="932">
        <f t="shared" si="169"/>
        <v>0</v>
      </c>
      <c r="E1206" s="1707">
        <f aca="true" t="shared" si="172" ref="E1206:E1212">SUM(H1206+K1206+N1206+Q1206)</f>
        <v>0</v>
      </c>
      <c r="F1206" s="1691"/>
      <c r="G1206" s="1693"/>
      <c r="H1206" s="1707"/>
      <c r="I1206" s="1710"/>
      <c r="J1206" s="1854"/>
      <c r="K1206" s="1707"/>
      <c r="L1206" s="1849"/>
      <c r="M1206" s="1707"/>
      <c r="N1206" s="1707"/>
      <c r="O1206" s="1855"/>
      <c r="P1206" s="1707"/>
      <c r="Q1206" s="1707"/>
      <c r="R1206" s="1856"/>
    </row>
    <row r="1207" spans="1:18" ht="36">
      <c r="A1207" s="1743">
        <v>3040</v>
      </c>
      <c r="B1207" s="1751" t="s">
        <v>372</v>
      </c>
      <c r="C1207" s="1689"/>
      <c r="D1207" s="893">
        <f t="shared" si="169"/>
        <v>50000</v>
      </c>
      <c r="E1207" s="1690">
        <f t="shared" si="172"/>
        <v>20150</v>
      </c>
      <c r="F1207" s="1666">
        <f t="shared" si="170"/>
        <v>40.300000000000004</v>
      </c>
      <c r="G1207" s="1689">
        <v>50000</v>
      </c>
      <c r="H1207" s="1690">
        <v>20150</v>
      </c>
      <c r="I1207" s="1669">
        <f aca="true" t="shared" si="173" ref="I1207:I1212">H1207/G1207*100</f>
        <v>40.300000000000004</v>
      </c>
      <c r="J1207" s="1745"/>
      <c r="K1207" s="1690"/>
      <c r="L1207" s="1746"/>
      <c r="M1207" s="1690"/>
      <c r="N1207" s="1690"/>
      <c r="O1207" s="1747"/>
      <c r="P1207" s="1690"/>
      <c r="Q1207" s="1690"/>
      <c r="R1207" s="1754"/>
    </row>
    <row r="1208" spans="1:18" ht="26.25" customHeight="1">
      <c r="A1208" s="1743">
        <v>4210</v>
      </c>
      <c r="B1208" s="1751" t="s">
        <v>114</v>
      </c>
      <c r="C1208" s="1689">
        <v>16000</v>
      </c>
      <c r="D1208" s="893">
        <f t="shared" si="169"/>
        <v>20500</v>
      </c>
      <c r="E1208" s="1690">
        <f t="shared" si="172"/>
        <v>11070</v>
      </c>
      <c r="F1208" s="1666">
        <f t="shared" si="170"/>
        <v>54</v>
      </c>
      <c r="G1208" s="1689">
        <f>16000+5000-500</f>
        <v>20500</v>
      </c>
      <c r="H1208" s="1690">
        <v>11070</v>
      </c>
      <c r="I1208" s="1669">
        <f t="shared" si="173"/>
        <v>54</v>
      </c>
      <c r="J1208" s="1745"/>
      <c r="K1208" s="1690"/>
      <c r="L1208" s="1746"/>
      <c r="M1208" s="1690"/>
      <c r="N1208" s="1690"/>
      <c r="O1208" s="1747"/>
      <c r="P1208" s="1690"/>
      <c r="Q1208" s="1690"/>
      <c r="R1208" s="1754"/>
    </row>
    <row r="1209" spans="1:18" ht="27" customHeight="1" hidden="1">
      <c r="A1209" s="1743">
        <v>4300</v>
      </c>
      <c r="B1209" s="1751" t="s">
        <v>488</v>
      </c>
      <c r="C1209" s="1689"/>
      <c r="D1209" s="893">
        <f t="shared" si="169"/>
        <v>0</v>
      </c>
      <c r="E1209" s="1690">
        <f t="shared" si="172"/>
        <v>0</v>
      </c>
      <c r="F1209" s="1666" t="e">
        <f t="shared" si="170"/>
        <v>#DIV/0!</v>
      </c>
      <c r="G1209" s="1689"/>
      <c r="H1209" s="1690"/>
      <c r="I1209" s="1669" t="e">
        <f t="shared" si="173"/>
        <v>#DIV/0!</v>
      </c>
      <c r="J1209" s="1745"/>
      <c r="K1209" s="1690"/>
      <c r="L1209" s="1746"/>
      <c r="M1209" s="1690"/>
      <c r="N1209" s="1690"/>
      <c r="O1209" s="1747"/>
      <c r="P1209" s="1690"/>
      <c r="Q1209" s="1690"/>
      <c r="R1209" s="1754"/>
    </row>
    <row r="1210" spans="1:18" ht="12.75" hidden="1">
      <c r="A1210" s="1743">
        <v>4300</v>
      </c>
      <c r="B1210" s="1751" t="s">
        <v>122</v>
      </c>
      <c r="C1210" s="1689"/>
      <c r="D1210" s="893">
        <f t="shared" si="169"/>
        <v>0</v>
      </c>
      <c r="E1210" s="1690">
        <f t="shared" si="172"/>
        <v>0</v>
      </c>
      <c r="F1210" s="1666" t="e">
        <f t="shared" si="170"/>
        <v>#DIV/0!</v>
      </c>
      <c r="G1210" s="1689"/>
      <c r="H1210" s="1690"/>
      <c r="I1210" s="1669" t="e">
        <f t="shared" si="173"/>
        <v>#DIV/0!</v>
      </c>
      <c r="J1210" s="1745"/>
      <c r="K1210" s="1690"/>
      <c r="L1210" s="1746"/>
      <c r="M1210" s="1690"/>
      <c r="N1210" s="1690"/>
      <c r="O1210" s="1747"/>
      <c r="P1210" s="1690"/>
      <c r="Q1210" s="1690"/>
      <c r="R1210" s="1754"/>
    </row>
    <row r="1211" spans="1:18" ht="12.75">
      <c r="A1211" s="1743">
        <v>4300</v>
      </c>
      <c r="B1211" s="1751" t="s">
        <v>122</v>
      </c>
      <c r="C1211" s="1689">
        <v>30000</v>
      </c>
      <c r="D1211" s="893">
        <f t="shared" si="169"/>
        <v>128500</v>
      </c>
      <c r="E1211" s="1690">
        <f t="shared" si="172"/>
        <v>8200</v>
      </c>
      <c r="F1211" s="1666">
        <f t="shared" si="170"/>
        <v>6.381322957198443</v>
      </c>
      <c r="G1211" s="1689">
        <f>30000+90000+10000-1500</f>
        <v>128500</v>
      </c>
      <c r="H1211" s="1690">
        <v>8200</v>
      </c>
      <c r="I1211" s="1669">
        <f t="shared" si="173"/>
        <v>6.381322957198443</v>
      </c>
      <c r="J1211" s="1745"/>
      <c r="K1211" s="1690"/>
      <c r="L1211" s="1746"/>
      <c r="M1211" s="1690"/>
      <c r="N1211" s="1690"/>
      <c r="O1211" s="1747"/>
      <c r="P1211" s="1690"/>
      <c r="Q1211" s="1690"/>
      <c r="R1211" s="1754"/>
    </row>
    <row r="1212" spans="1:18" ht="60">
      <c r="A1212" s="1743">
        <v>2820</v>
      </c>
      <c r="B1212" s="1751" t="s">
        <v>489</v>
      </c>
      <c r="C1212" s="1689">
        <v>105000</v>
      </c>
      <c r="D1212" s="893">
        <f t="shared" si="169"/>
        <v>120000</v>
      </c>
      <c r="E1212" s="1690">
        <f t="shared" si="172"/>
        <v>54000</v>
      </c>
      <c r="F1212" s="1666">
        <f t="shared" si="170"/>
        <v>45</v>
      </c>
      <c r="G1212" s="1800">
        <f>105000+15000</f>
        <v>120000</v>
      </c>
      <c r="H1212" s="1791">
        <v>54000</v>
      </c>
      <c r="I1212" s="1669">
        <f t="shared" si="173"/>
        <v>45</v>
      </c>
      <c r="J1212" s="1745"/>
      <c r="K1212" s="1690"/>
      <c r="L1212" s="1746"/>
      <c r="M1212" s="1690"/>
      <c r="N1212" s="1690"/>
      <c r="O1212" s="1747"/>
      <c r="P1212" s="1690"/>
      <c r="Q1212" s="1690"/>
      <c r="R1212" s="1754"/>
    </row>
    <row r="1213" spans="1:18" s="1771" customFormat="1" ht="24" customHeight="1">
      <c r="A1213" s="1783">
        <v>92106</v>
      </c>
      <c r="B1213" s="1882" t="s">
        <v>861</v>
      </c>
      <c r="C1213" s="886">
        <f>C1214+C1218</f>
        <v>2350000</v>
      </c>
      <c r="D1213" s="908">
        <f>G1213+J1213+P1213+M1213</f>
        <v>2440250</v>
      </c>
      <c r="E1213" s="908">
        <f>H1213+K1213+Q1213+N1213</f>
        <v>1474913</v>
      </c>
      <c r="F1213" s="1698">
        <f t="shared" si="170"/>
        <v>60.44106136666325</v>
      </c>
      <c r="G1213" s="908"/>
      <c r="H1213" s="908"/>
      <c r="I1213" s="1700"/>
      <c r="J1213" s="1816"/>
      <c r="K1213" s="908"/>
      <c r="L1213" s="1741"/>
      <c r="M1213" s="908">
        <f>SUM(M1214)+M1218</f>
        <v>2440250</v>
      </c>
      <c r="N1213" s="908">
        <f>SUM(N1214)+N1218</f>
        <v>1474913</v>
      </c>
      <c r="O1213" s="1787">
        <f aca="true" t="shared" si="174" ref="O1213:O1223">N1213/M1213*100</f>
        <v>60.44106136666325</v>
      </c>
      <c r="P1213" s="908"/>
      <c r="Q1213" s="908"/>
      <c r="R1213" s="889"/>
    </row>
    <row r="1214" spans="1:18" ht="36">
      <c r="A1214" s="1722">
        <v>2480</v>
      </c>
      <c r="B1214" s="1853" t="s">
        <v>490</v>
      </c>
      <c r="C1214" s="1693">
        <f>C1215</f>
        <v>2300000</v>
      </c>
      <c r="D1214" s="932">
        <f>G1214+J1214+P1214+M1214</f>
        <v>2338250</v>
      </c>
      <c r="E1214" s="1707">
        <f>SUM(H1214+K1214+N1214+Q1214)</f>
        <v>1429913</v>
      </c>
      <c r="F1214" s="1691">
        <f t="shared" si="170"/>
        <v>61.15312733882177</v>
      </c>
      <c r="G1214" s="1707"/>
      <c r="H1214" s="1854"/>
      <c r="I1214" s="1710"/>
      <c r="J1214" s="1854"/>
      <c r="K1214" s="1707"/>
      <c r="L1214" s="1849"/>
      <c r="M1214" s="1693">
        <f>SUM(M1215:M1217)</f>
        <v>2338250</v>
      </c>
      <c r="N1214" s="1707">
        <f>SUM(N1215:N1217)</f>
        <v>1429913</v>
      </c>
      <c r="O1214" s="1674">
        <f t="shared" si="174"/>
        <v>61.15312733882177</v>
      </c>
      <c r="P1214" s="1707"/>
      <c r="Q1214" s="1707"/>
      <c r="R1214" s="1856"/>
    </row>
    <row r="1215" spans="1:18" s="1585" customFormat="1" ht="12.75">
      <c r="A1215" s="1805"/>
      <c r="B1215" s="1904" t="s">
        <v>491</v>
      </c>
      <c r="C1215" s="1807">
        <v>2300000</v>
      </c>
      <c r="D1215" s="1808">
        <f t="shared" si="169"/>
        <v>2300000</v>
      </c>
      <c r="E1215" s="1808">
        <f>SUM(H1215+K1215+N1215+Q1215)</f>
        <v>1391663</v>
      </c>
      <c r="F1215" s="1666">
        <f t="shared" si="170"/>
        <v>60.50708695652174</v>
      </c>
      <c r="G1215" s="1808"/>
      <c r="H1215" s="1810"/>
      <c r="I1215" s="1669"/>
      <c r="J1215" s="1810"/>
      <c r="K1215" s="1808"/>
      <c r="L1215" s="1809"/>
      <c r="M1215" s="1810">
        <v>2300000</v>
      </c>
      <c r="N1215" s="1808">
        <v>1391663</v>
      </c>
      <c r="O1215" s="1879">
        <f t="shared" si="174"/>
        <v>60.50708695652174</v>
      </c>
      <c r="P1215" s="1808"/>
      <c r="Q1215" s="1808"/>
      <c r="R1215" s="1813"/>
    </row>
    <row r="1216" spans="1:18" s="1585" customFormat="1" ht="24">
      <c r="A1216" s="1805"/>
      <c r="B1216" s="1904" t="s">
        <v>492</v>
      </c>
      <c r="C1216" s="1807"/>
      <c r="D1216" s="1808">
        <f t="shared" si="169"/>
        <v>19650</v>
      </c>
      <c r="E1216" s="1808">
        <f>SUM(H1216+K1216+N1216+Q1216)</f>
        <v>19650</v>
      </c>
      <c r="F1216" s="1666">
        <f t="shared" si="170"/>
        <v>100</v>
      </c>
      <c r="G1216" s="1808"/>
      <c r="H1216" s="1810"/>
      <c r="I1216" s="1669"/>
      <c r="J1216" s="1810"/>
      <c r="K1216" s="1808"/>
      <c r="L1216" s="1809"/>
      <c r="M1216" s="1810">
        <v>19650</v>
      </c>
      <c r="N1216" s="1808">
        <v>19650</v>
      </c>
      <c r="O1216" s="1669">
        <f t="shared" si="174"/>
        <v>100</v>
      </c>
      <c r="P1216" s="1808"/>
      <c r="Q1216" s="1808"/>
      <c r="R1216" s="1813"/>
    </row>
    <row r="1217" spans="1:18" s="1585" customFormat="1" ht="12.75">
      <c r="A1217" s="1805"/>
      <c r="B1217" s="1904" t="s">
        <v>493</v>
      </c>
      <c r="C1217" s="1807"/>
      <c r="D1217" s="1808">
        <f t="shared" si="169"/>
        <v>18600</v>
      </c>
      <c r="E1217" s="1808">
        <f>SUM(H1217+K1217+N1217+Q1217)</f>
        <v>18600</v>
      </c>
      <c r="F1217" s="1666">
        <f t="shared" si="170"/>
        <v>100</v>
      </c>
      <c r="G1217" s="1808"/>
      <c r="H1217" s="1810"/>
      <c r="I1217" s="1669"/>
      <c r="J1217" s="1810"/>
      <c r="K1217" s="1808"/>
      <c r="L1217" s="1809"/>
      <c r="M1217" s="1810">
        <v>18600</v>
      </c>
      <c r="N1217" s="1808">
        <v>18600</v>
      </c>
      <c r="O1217" s="1669">
        <f t="shared" si="174"/>
        <v>100</v>
      </c>
      <c r="P1217" s="1808"/>
      <c r="Q1217" s="1808"/>
      <c r="R1217" s="1813"/>
    </row>
    <row r="1218" spans="1:18" ht="24">
      <c r="A1218" s="1798">
        <v>6050</v>
      </c>
      <c r="B1218" s="1751" t="s">
        <v>194</v>
      </c>
      <c r="C1218" s="1800">
        <v>50000</v>
      </c>
      <c r="D1218" s="925">
        <f t="shared" si="169"/>
        <v>102000</v>
      </c>
      <c r="E1218" s="1791">
        <f>SUM(H1218+K1218+N1218+Q1218)</f>
        <v>45000</v>
      </c>
      <c r="F1218" s="1719">
        <f t="shared" si="170"/>
        <v>44.11764705882353</v>
      </c>
      <c r="G1218" s="1791"/>
      <c r="H1218" s="1801"/>
      <c r="I1218" s="1739"/>
      <c r="J1218" s="1801"/>
      <c r="K1218" s="1791"/>
      <c r="L1218" s="1857"/>
      <c r="M1218" s="1801">
        <f>50000+52000</f>
        <v>102000</v>
      </c>
      <c r="N1218" s="1791">
        <v>45000</v>
      </c>
      <c r="O1218" s="1720">
        <f t="shared" si="174"/>
        <v>44.11764705882353</v>
      </c>
      <c r="P1218" s="1791"/>
      <c r="Q1218" s="1791"/>
      <c r="R1218" s="1845"/>
    </row>
    <row r="1219" spans="1:18" ht="22.5" customHeight="1">
      <c r="A1219" s="1736">
        <v>92108</v>
      </c>
      <c r="B1219" s="1835" t="s">
        <v>758</v>
      </c>
      <c r="C1219" s="1738">
        <f>SUM(C1220:C1220)</f>
        <v>2388000</v>
      </c>
      <c r="D1219" s="908">
        <f t="shared" si="169"/>
        <v>2391000</v>
      </c>
      <c r="E1219" s="1680">
        <f>H1219+K1219+Q1219+N1219</f>
        <v>1149930</v>
      </c>
      <c r="F1219" s="1681">
        <f t="shared" si="170"/>
        <v>48.09410288582183</v>
      </c>
      <c r="G1219" s="1781"/>
      <c r="H1219" s="1816"/>
      <c r="I1219" s="1776"/>
      <c r="J1219" s="1816">
        <f>SUM(J1220:J1224)</f>
        <v>3000</v>
      </c>
      <c r="K1219" s="908">
        <f>SUM(K1220:K1224)</f>
        <v>0</v>
      </c>
      <c r="L1219" s="1741">
        <f>K1219/J1219*100</f>
        <v>0</v>
      </c>
      <c r="M1219" s="1680">
        <f>SUM(M1220)</f>
        <v>2388000</v>
      </c>
      <c r="N1219" s="1680">
        <f>SUM(N1220)</f>
        <v>1149930</v>
      </c>
      <c r="O1219" s="1688">
        <f t="shared" si="174"/>
        <v>48.154522613065325</v>
      </c>
      <c r="P1219" s="1680"/>
      <c r="Q1219" s="1680"/>
      <c r="R1219" s="1782"/>
    </row>
    <row r="1220" spans="1:18" ht="36">
      <c r="A1220" s="1722">
        <v>2480</v>
      </c>
      <c r="B1220" s="1853" t="s">
        <v>494</v>
      </c>
      <c r="C1220" s="1693">
        <f>SUM(C1221:C1223)</f>
        <v>2388000</v>
      </c>
      <c r="D1220" s="932">
        <f t="shared" si="169"/>
        <v>2388000</v>
      </c>
      <c r="E1220" s="1707">
        <f>SUM(H1220+K1220+N1220+Q1220)</f>
        <v>1149930</v>
      </c>
      <c r="F1220" s="1691">
        <f t="shared" si="170"/>
        <v>48.154522613065325</v>
      </c>
      <c r="G1220" s="1707"/>
      <c r="H1220" s="1848"/>
      <c r="I1220" s="1710"/>
      <c r="J1220" s="1854"/>
      <c r="K1220" s="1707"/>
      <c r="L1220" s="1849"/>
      <c r="M1220" s="1693">
        <f>SUM(M1221:M1223)</f>
        <v>2388000</v>
      </c>
      <c r="N1220" s="1707">
        <f>SUM(N1221:N1223)</f>
        <v>1149930</v>
      </c>
      <c r="O1220" s="1674">
        <f t="shared" si="174"/>
        <v>48.154522613065325</v>
      </c>
      <c r="P1220" s="1707"/>
      <c r="Q1220" s="1707"/>
      <c r="R1220" s="1856"/>
    </row>
    <row r="1221" spans="1:18" s="1585" customFormat="1" ht="12.75">
      <c r="A1221" s="1805"/>
      <c r="B1221" s="1904" t="s">
        <v>491</v>
      </c>
      <c r="C1221" s="1807">
        <v>2300000</v>
      </c>
      <c r="D1221" s="1808">
        <f t="shared" si="169"/>
        <v>2300000</v>
      </c>
      <c r="E1221" s="1808">
        <f>SUM(H1221+K1221+N1221+Q1221)</f>
        <v>1149930</v>
      </c>
      <c r="F1221" s="1666">
        <f t="shared" si="170"/>
        <v>49.996956521739136</v>
      </c>
      <c r="G1221" s="1808"/>
      <c r="H1221" s="1810"/>
      <c r="I1221" s="1669"/>
      <c r="J1221" s="1810"/>
      <c r="K1221" s="1808"/>
      <c r="L1221" s="1809"/>
      <c r="M1221" s="1810">
        <v>2300000</v>
      </c>
      <c r="N1221" s="1808">
        <v>1149930</v>
      </c>
      <c r="O1221" s="1695">
        <f t="shared" si="174"/>
        <v>49.996956521739136</v>
      </c>
      <c r="P1221" s="1808"/>
      <c r="Q1221" s="1808"/>
      <c r="R1221" s="1813"/>
    </row>
    <row r="1222" spans="1:18" s="1585" customFormat="1" ht="24">
      <c r="A1222" s="1805"/>
      <c r="B1222" s="1904" t="s">
        <v>495</v>
      </c>
      <c r="C1222" s="1807">
        <v>50000</v>
      </c>
      <c r="D1222" s="1808">
        <f t="shared" si="169"/>
        <v>50000</v>
      </c>
      <c r="E1222" s="1808">
        <f>SUM(H1222+K1222+N1222+Q1222)</f>
        <v>0</v>
      </c>
      <c r="F1222" s="1666">
        <f t="shared" si="170"/>
        <v>0</v>
      </c>
      <c r="G1222" s="1808"/>
      <c r="H1222" s="1810"/>
      <c r="I1222" s="1669"/>
      <c r="J1222" s="1810"/>
      <c r="K1222" s="1808"/>
      <c r="L1222" s="1809"/>
      <c r="M1222" s="1810">
        <v>50000</v>
      </c>
      <c r="N1222" s="1808"/>
      <c r="O1222" s="1695">
        <f t="shared" si="174"/>
        <v>0</v>
      </c>
      <c r="P1222" s="1808"/>
      <c r="Q1222" s="1808"/>
      <c r="R1222" s="1813"/>
    </row>
    <row r="1223" spans="1:18" s="1585" customFormat="1" ht="24">
      <c r="A1223" s="1805"/>
      <c r="B1223" s="1904" t="s">
        <v>496</v>
      </c>
      <c r="C1223" s="1807">
        <v>38000</v>
      </c>
      <c r="D1223" s="1808">
        <f t="shared" si="169"/>
        <v>38000</v>
      </c>
      <c r="E1223" s="1808">
        <f>SUM(H1223+K1223+N1223+Q1223)</f>
        <v>0</v>
      </c>
      <c r="F1223" s="1666">
        <f t="shared" si="170"/>
        <v>0</v>
      </c>
      <c r="G1223" s="1808"/>
      <c r="H1223" s="1810"/>
      <c r="I1223" s="1669"/>
      <c r="J1223" s="1810"/>
      <c r="K1223" s="1808"/>
      <c r="L1223" s="1809"/>
      <c r="M1223" s="1810">
        <v>38000</v>
      </c>
      <c r="N1223" s="1808"/>
      <c r="O1223" s="1695">
        <f t="shared" si="174"/>
        <v>0</v>
      </c>
      <c r="P1223" s="1808"/>
      <c r="Q1223" s="1808"/>
      <c r="R1223" s="1813"/>
    </row>
    <row r="1224" spans="1:18" ht="24">
      <c r="A1224" s="1743">
        <v>4210</v>
      </c>
      <c r="B1224" s="1751" t="s">
        <v>114</v>
      </c>
      <c r="C1224" s="1800"/>
      <c r="D1224" s="925">
        <f t="shared" si="169"/>
        <v>3000</v>
      </c>
      <c r="E1224" s="1791">
        <f>SUM(H1224+K1224+N1224+Q1224)</f>
        <v>0</v>
      </c>
      <c r="F1224" s="1719">
        <f t="shared" si="170"/>
        <v>0</v>
      </c>
      <c r="G1224" s="1791"/>
      <c r="H1224" s="1822"/>
      <c r="I1224" s="1739"/>
      <c r="J1224" s="1801">
        <v>3000</v>
      </c>
      <c r="K1224" s="1791"/>
      <c r="L1224" s="1857">
        <f>K1224/J1224*100</f>
        <v>0</v>
      </c>
      <c r="M1224" s="1801"/>
      <c r="N1224" s="1791"/>
      <c r="O1224" s="1720"/>
      <c r="P1224" s="1791"/>
      <c r="Q1224" s="1791"/>
      <c r="R1224" s="1845"/>
    </row>
    <row r="1225" spans="1:18" ht="28.5" customHeight="1">
      <c r="A1225" s="1736">
        <v>92109</v>
      </c>
      <c r="B1225" s="1835" t="s">
        <v>863</v>
      </c>
      <c r="C1225" s="1738">
        <f>C1226</f>
        <v>2150000</v>
      </c>
      <c r="D1225" s="908">
        <f t="shared" si="169"/>
        <v>2384800</v>
      </c>
      <c r="E1225" s="1680">
        <f>H1225+K1225+Q1225+N1225</f>
        <v>1466046</v>
      </c>
      <c r="F1225" s="1681">
        <f t="shared" si="170"/>
        <v>61.47458906407246</v>
      </c>
      <c r="G1225" s="1680">
        <f>G1226</f>
        <v>2384800</v>
      </c>
      <c r="H1225" s="1680">
        <f>H1226</f>
        <v>1466046</v>
      </c>
      <c r="I1225" s="1776">
        <f>H1225/G1225*100</f>
        <v>61.47458906407246</v>
      </c>
      <c r="J1225" s="1740"/>
      <c r="K1225" s="1680"/>
      <c r="L1225" s="1741"/>
      <c r="M1225" s="1680"/>
      <c r="N1225" s="1680"/>
      <c r="O1225" s="1688"/>
      <c r="P1225" s="1680"/>
      <c r="Q1225" s="1680"/>
      <c r="R1225" s="1782"/>
    </row>
    <row r="1226" spans="1:18" s="1585" customFormat="1" ht="13.5">
      <c r="A1226" s="2074"/>
      <c r="B1226" s="2075" t="s">
        <v>497</v>
      </c>
      <c r="C1226" s="2076">
        <f>SUM(C1227:C1240)+C1250+C1247+C1248</f>
        <v>2150000</v>
      </c>
      <c r="D1226" s="2077">
        <f t="shared" si="169"/>
        <v>2384800</v>
      </c>
      <c r="E1226" s="2077">
        <f>H1226+K1226+Q1226+N1226</f>
        <v>1466046</v>
      </c>
      <c r="F1226" s="1681">
        <f t="shared" si="170"/>
        <v>61.47458906407246</v>
      </c>
      <c r="G1226" s="2077">
        <f>SUM(G1227:G1240)+G1247+G1248</f>
        <v>2384800</v>
      </c>
      <c r="H1226" s="2077">
        <f>SUM(H1227:H1240)+H1247+H1248</f>
        <v>1466046</v>
      </c>
      <c r="I1226" s="1776">
        <f>H1226/G1226*100</f>
        <v>61.47458906407246</v>
      </c>
      <c r="J1226" s="2078"/>
      <c r="K1226" s="2077"/>
      <c r="L1226" s="2052"/>
      <c r="M1226" s="2077"/>
      <c r="N1226" s="2077"/>
      <c r="O1226" s="2019"/>
      <c r="P1226" s="2077"/>
      <c r="Q1226" s="2077"/>
      <c r="R1226" s="2079"/>
    </row>
    <row r="1227" spans="1:18" ht="40.5" customHeight="1" hidden="1">
      <c r="A1227" s="1743">
        <v>3020</v>
      </c>
      <c r="B1227" s="1751" t="s">
        <v>164</v>
      </c>
      <c r="C1227" s="1689"/>
      <c r="D1227" s="893">
        <f t="shared" si="169"/>
        <v>0</v>
      </c>
      <c r="E1227" s="1690">
        <f>SUM(H1227+K1227+N1227+Q1227)</f>
        <v>0</v>
      </c>
      <c r="F1227" s="1666"/>
      <c r="G1227" s="1830"/>
      <c r="H1227" s="1831"/>
      <c r="I1227" s="1669"/>
      <c r="J1227" s="1831"/>
      <c r="K1227" s="1830"/>
      <c r="L1227" s="1832"/>
      <c r="M1227" s="1689"/>
      <c r="N1227" s="1690"/>
      <c r="O1227" s="1695"/>
      <c r="P1227" s="1690"/>
      <c r="Q1227" s="1690"/>
      <c r="R1227" s="1754"/>
    </row>
    <row r="1228" spans="1:18" ht="24.75" customHeight="1" hidden="1">
      <c r="A1228" s="1743">
        <v>4010</v>
      </c>
      <c r="B1228" s="1751" t="s">
        <v>104</v>
      </c>
      <c r="C1228" s="1689"/>
      <c r="D1228" s="893">
        <f t="shared" si="169"/>
        <v>0</v>
      </c>
      <c r="E1228" s="1690">
        <f aca="true" t="shared" si="175" ref="E1228:E1234">SUM(H1228+K1228+N1228+Q1228)</f>
        <v>0</v>
      </c>
      <c r="F1228" s="1666"/>
      <c r="G1228" s="1830"/>
      <c r="H1228" s="1831"/>
      <c r="I1228" s="1669"/>
      <c r="J1228" s="1831"/>
      <c r="K1228" s="1830"/>
      <c r="L1228" s="1832"/>
      <c r="M1228" s="1689"/>
      <c r="N1228" s="1690"/>
      <c r="O1228" s="1695"/>
      <c r="P1228" s="1690"/>
      <c r="Q1228" s="1690"/>
      <c r="R1228" s="1754"/>
    </row>
    <row r="1229" spans="1:18" ht="27" customHeight="1" hidden="1">
      <c r="A1229" s="1743">
        <v>4040</v>
      </c>
      <c r="B1229" s="1751" t="s">
        <v>108</v>
      </c>
      <c r="C1229" s="1689"/>
      <c r="D1229" s="893">
        <f t="shared" si="169"/>
        <v>0</v>
      </c>
      <c r="E1229" s="1690">
        <f t="shared" si="175"/>
        <v>0</v>
      </c>
      <c r="F1229" s="1666"/>
      <c r="G1229" s="1830"/>
      <c r="H1229" s="1831"/>
      <c r="I1229" s="1669"/>
      <c r="J1229" s="1831"/>
      <c r="K1229" s="1830"/>
      <c r="L1229" s="1832"/>
      <c r="M1229" s="1689"/>
      <c r="N1229" s="1690"/>
      <c r="O1229" s="1695"/>
      <c r="P1229" s="1690"/>
      <c r="Q1229" s="1690"/>
      <c r="R1229" s="1754"/>
    </row>
    <row r="1230" spans="1:18" ht="27" customHeight="1" hidden="1">
      <c r="A1230" s="1743">
        <v>4110</v>
      </c>
      <c r="B1230" s="1751" t="s">
        <v>110</v>
      </c>
      <c r="C1230" s="1689"/>
      <c r="D1230" s="893">
        <f t="shared" si="169"/>
        <v>0</v>
      </c>
      <c r="E1230" s="1690">
        <f t="shared" si="175"/>
        <v>0</v>
      </c>
      <c r="F1230" s="1666"/>
      <c r="G1230" s="1830"/>
      <c r="H1230" s="1831"/>
      <c r="I1230" s="1669"/>
      <c r="J1230" s="1831"/>
      <c r="K1230" s="1830"/>
      <c r="L1230" s="1832"/>
      <c r="M1230" s="1689"/>
      <c r="N1230" s="1690"/>
      <c r="O1230" s="1695"/>
      <c r="P1230" s="1690"/>
      <c r="Q1230" s="1690"/>
      <c r="R1230" s="1754"/>
    </row>
    <row r="1231" spans="1:18" ht="19.5" customHeight="1" hidden="1">
      <c r="A1231" s="1743">
        <v>4120</v>
      </c>
      <c r="B1231" s="1751" t="s">
        <v>208</v>
      </c>
      <c r="C1231" s="1689"/>
      <c r="D1231" s="893">
        <f t="shared" si="169"/>
        <v>0</v>
      </c>
      <c r="E1231" s="1690">
        <f t="shared" si="175"/>
        <v>0</v>
      </c>
      <c r="F1231" s="1666"/>
      <c r="G1231" s="1830"/>
      <c r="H1231" s="1831"/>
      <c r="I1231" s="1669"/>
      <c r="J1231" s="1831"/>
      <c r="K1231" s="1830"/>
      <c r="L1231" s="1832"/>
      <c r="M1231" s="1689"/>
      <c r="N1231" s="1690"/>
      <c r="O1231" s="1695"/>
      <c r="P1231" s="1690"/>
      <c r="Q1231" s="1690"/>
      <c r="R1231" s="1754"/>
    </row>
    <row r="1232" spans="1:18" ht="25.5" customHeight="1" hidden="1">
      <c r="A1232" s="1743">
        <v>4210</v>
      </c>
      <c r="B1232" s="1751" t="s">
        <v>114</v>
      </c>
      <c r="C1232" s="1689"/>
      <c r="D1232" s="893">
        <f t="shared" si="169"/>
        <v>0</v>
      </c>
      <c r="E1232" s="1690">
        <f t="shared" si="175"/>
        <v>0</v>
      </c>
      <c r="F1232" s="1666"/>
      <c r="G1232" s="1830"/>
      <c r="H1232" s="1831"/>
      <c r="I1232" s="1669"/>
      <c r="J1232" s="1831"/>
      <c r="K1232" s="1830"/>
      <c r="L1232" s="1832"/>
      <c r="M1232" s="1689"/>
      <c r="N1232" s="1690"/>
      <c r="O1232" s="1695"/>
      <c r="P1232" s="1690"/>
      <c r="Q1232" s="1690"/>
      <c r="R1232" s="1754"/>
    </row>
    <row r="1233" spans="1:18" ht="38.25" customHeight="1" hidden="1">
      <c r="A1233" s="1743">
        <v>4240</v>
      </c>
      <c r="B1233" s="1751" t="s">
        <v>185</v>
      </c>
      <c r="C1233" s="1689"/>
      <c r="D1233" s="893">
        <f t="shared" si="169"/>
        <v>0</v>
      </c>
      <c r="E1233" s="1690">
        <f t="shared" si="175"/>
        <v>0</v>
      </c>
      <c r="F1233" s="1666"/>
      <c r="G1233" s="1830"/>
      <c r="H1233" s="1831"/>
      <c r="I1233" s="1669"/>
      <c r="J1233" s="1831"/>
      <c r="K1233" s="1830"/>
      <c r="L1233" s="1832"/>
      <c r="M1233" s="1689"/>
      <c r="N1233" s="1690"/>
      <c r="O1233" s="1695"/>
      <c r="P1233" s="1690"/>
      <c r="Q1233" s="1690"/>
      <c r="R1233" s="1754"/>
    </row>
    <row r="1234" spans="1:18" ht="15" customHeight="1" hidden="1">
      <c r="A1234" s="1743">
        <v>4260</v>
      </c>
      <c r="B1234" s="1751" t="s">
        <v>118</v>
      </c>
      <c r="C1234" s="1689"/>
      <c r="D1234" s="893">
        <f t="shared" si="169"/>
        <v>0</v>
      </c>
      <c r="E1234" s="1690">
        <f t="shared" si="175"/>
        <v>0</v>
      </c>
      <c r="F1234" s="1666"/>
      <c r="G1234" s="1830"/>
      <c r="H1234" s="1831"/>
      <c r="I1234" s="1669"/>
      <c r="J1234" s="1831"/>
      <c r="K1234" s="1830"/>
      <c r="L1234" s="1832"/>
      <c r="M1234" s="1689"/>
      <c r="N1234" s="1690"/>
      <c r="O1234" s="1695"/>
      <c r="P1234" s="1690"/>
      <c r="Q1234" s="1690"/>
      <c r="R1234" s="1754"/>
    </row>
    <row r="1235" spans="1:18" ht="21" customHeight="1" hidden="1">
      <c r="A1235" s="1743">
        <v>4300</v>
      </c>
      <c r="B1235" s="1751" t="s">
        <v>122</v>
      </c>
      <c r="C1235" s="1689"/>
      <c r="D1235" s="893">
        <f t="shared" si="169"/>
        <v>0</v>
      </c>
      <c r="E1235" s="1690">
        <f>SUM(H1235+K1235+N1235+Q1235)</f>
        <v>0</v>
      </c>
      <c r="F1235" s="1666"/>
      <c r="G1235" s="1830"/>
      <c r="H1235" s="1831"/>
      <c r="I1235" s="1669"/>
      <c r="J1235" s="1831"/>
      <c r="K1235" s="1830"/>
      <c r="L1235" s="1832"/>
      <c r="M1235" s="1689"/>
      <c r="N1235" s="1690"/>
      <c r="O1235" s="1695"/>
      <c r="P1235" s="1690"/>
      <c r="Q1235" s="1690"/>
      <c r="R1235" s="1754"/>
    </row>
    <row r="1236" spans="1:18" ht="15.75" customHeight="1" hidden="1">
      <c r="A1236" s="1743">
        <v>4410</v>
      </c>
      <c r="B1236" s="1751" t="s">
        <v>96</v>
      </c>
      <c r="C1236" s="1689"/>
      <c r="D1236" s="893">
        <f t="shared" si="169"/>
        <v>0</v>
      </c>
      <c r="E1236" s="1690">
        <f>SUM(H1236+K1236+N1236+Q1236)</f>
        <v>0</v>
      </c>
      <c r="F1236" s="1666"/>
      <c r="G1236" s="1830"/>
      <c r="H1236" s="1831"/>
      <c r="I1236" s="1669"/>
      <c r="J1236" s="1831"/>
      <c r="K1236" s="1830"/>
      <c r="L1236" s="1832"/>
      <c r="M1236" s="1689"/>
      <c r="N1236" s="1690"/>
      <c r="O1236" s="1695"/>
      <c r="P1236" s="1690"/>
      <c r="Q1236" s="1690"/>
      <c r="R1236" s="1754"/>
    </row>
    <row r="1237" spans="1:18" ht="15.75" customHeight="1" hidden="1">
      <c r="A1237" s="1743">
        <v>4430</v>
      </c>
      <c r="B1237" s="1751" t="s">
        <v>124</v>
      </c>
      <c r="C1237" s="1689"/>
      <c r="D1237" s="893">
        <f t="shared" si="169"/>
        <v>0</v>
      </c>
      <c r="E1237" s="1690">
        <f>SUM(H1237+K1237+N1237+Q1237)</f>
        <v>0</v>
      </c>
      <c r="F1237" s="1666"/>
      <c r="G1237" s="1830"/>
      <c r="H1237" s="1831"/>
      <c r="I1237" s="1669"/>
      <c r="J1237" s="1831"/>
      <c r="K1237" s="1830"/>
      <c r="L1237" s="1832"/>
      <c r="M1237" s="1689"/>
      <c r="N1237" s="1690"/>
      <c r="O1237" s="1695"/>
      <c r="P1237" s="1690"/>
      <c r="Q1237" s="1690"/>
      <c r="R1237" s="1754"/>
    </row>
    <row r="1238" spans="1:18" ht="18" customHeight="1" hidden="1">
      <c r="A1238" s="1743">
        <v>4440</v>
      </c>
      <c r="B1238" s="1751" t="s">
        <v>126</v>
      </c>
      <c r="C1238" s="1689"/>
      <c r="D1238" s="893">
        <f t="shared" si="169"/>
        <v>0</v>
      </c>
      <c r="E1238" s="1690">
        <f>SUM(H1238+K1238+N1238+Q1238)</f>
        <v>0</v>
      </c>
      <c r="F1238" s="1666"/>
      <c r="G1238" s="1830"/>
      <c r="H1238" s="1831"/>
      <c r="I1238" s="1669"/>
      <c r="J1238" s="1831"/>
      <c r="K1238" s="1830"/>
      <c r="L1238" s="1832"/>
      <c r="M1238" s="1689"/>
      <c r="N1238" s="1690"/>
      <c r="O1238" s="1695"/>
      <c r="P1238" s="1690"/>
      <c r="Q1238" s="1690"/>
      <c r="R1238" s="1754"/>
    </row>
    <row r="1239" spans="1:18" ht="19.5" customHeight="1" hidden="1">
      <c r="A1239" s="1743">
        <v>4480</v>
      </c>
      <c r="B1239" s="1751" t="s">
        <v>688</v>
      </c>
      <c r="C1239" s="1689"/>
      <c r="D1239" s="893"/>
      <c r="E1239" s="1690"/>
      <c r="F1239" s="1666"/>
      <c r="G1239" s="1829"/>
      <c r="H1239" s="1830"/>
      <c r="I1239" s="1669"/>
      <c r="J1239" s="1831"/>
      <c r="K1239" s="1830"/>
      <c r="L1239" s="1832"/>
      <c r="M1239" s="1689"/>
      <c r="N1239" s="1690"/>
      <c r="O1239" s="1695"/>
      <c r="P1239" s="1690"/>
      <c r="Q1239" s="1690"/>
      <c r="R1239" s="1754"/>
    </row>
    <row r="1240" spans="1:18" s="1870" customFormat="1" ht="36">
      <c r="A1240" s="1722">
        <v>2480</v>
      </c>
      <c r="B1240" s="1853" t="s">
        <v>490</v>
      </c>
      <c r="C1240" s="1689">
        <f>SUM(C1241:C1242)</f>
        <v>1950000</v>
      </c>
      <c r="D1240" s="893">
        <f t="shared" si="169"/>
        <v>2072300</v>
      </c>
      <c r="E1240" s="1690">
        <f>H1240+K1240+Q1240+N1240</f>
        <v>1396998</v>
      </c>
      <c r="F1240" s="1666">
        <f>E1240/D1240*100</f>
        <v>67.41292283935724</v>
      </c>
      <c r="G1240" s="1689">
        <f>SUM(G1241:G1246)</f>
        <v>2072300</v>
      </c>
      <c r="H1240" s="1690">
        <f>SUM(H1241:H1246)</f>
        <v>1396998</v>
      </c>
      <c r="I1240" s="1669">
        <f>H1240/G1240*100</f>
        <v>67.41292283935724</v>
      </c>
      <c r="J1240" s="1745"/>
      <c r="K1240" s="1690"/>
      <c r="L1240" s="1746"/>
      <c r="M1240" s="1690"/>
      <c r="N1240" s="1690"/>
      <c r="O1240" s="1747"/>
      <c r="P1240" s="1690"/>
      <c r="Q1240" s="1690"/>
      <c r="R1240" s="1754"/>
    </row>
    <row r="1241" spans="1:18" s="1585" customFormat="1" ht="12.75">
      <c r="A1241" s="1805"/>
      <c r="B1241" s="1904" t="s">
        <v>491</v>
      </c>
      <c r="C1241" s="1807">
        <v>1450000</v>
      </c>
      <c r="D1241" s="1808">
        <f t="shared" si="169"/>
        <v>1450000</v>
      </c>
      <c r="E1241" s="1808">
        <f t="shared" si="169"/>
        <v>796198</v>
      </c>
      <c r="F1241" s="1666">
        <f aca="true" t="shared" si="176" ref="F1241:F1246">E1241/D1241*100</f>
        <v>54.91020689655173</v>
      </c>
      <c r="G1241" s="1807">
        <v>1450000</v>
      </c>
      <c r="H1241" s="1808">
        <v>796198</v>
      </c>
      <c r="I1241" s="1669">
        <f aca="true" t="shared" si="177" ref="I1241:I1246">H1241/G1241*100</f>
        <v>54.91020689655173</v>
      </c>
      <c r="J1241" s="1810"/>
      <c r="K1241" s="1808"/>
      <c r="L1241" s="1809"/>
      <c r="M1241" s="1808"/>
      <c r="N1241" s="1808"/>
      <c r="O1241" s="1812"/>
      <c r="P1241" s="1808"/>
      <c r="Q1241" s="1808"/>
      <c r="R1241" s="1813"/>
    </row>
    <row r="1242" spans="1:18" s="1585" customFormat="1" ht="12.75">
      <c r="A1242" s="1805"/>
      <c r="B1242" s="1904" t="s">
        <v>498</v>
      </c>
      <c r="C1242" s="1807">
        <v>500000</v>
      </c>
      <c r="D1242" s="1808">
        <f t="shared" si="169"/>
        <v>500000</v>
      </c>
      <c r="E1242" s="1808">
        <f t="shared" si="169"/>
        <v>500000</v>
      </c>
      <c r="F1242" s="1666">
        <f t="shared" si="176"/>
        <v>100</v>
      </c>
      <c r="G1242" s="1807">
        <v>500000</v>
      </c>
      <c r="H1242" s="1808">
        <v>500000</v>
      </c>
      <c r="I1242" s="1669">
        <f t="shared" si="177"/>
        <v>100</v>
      </c>
      <c r="J1242" s="1810"/>
      <c r="K1242" s="1808"/>
      <c r="L1242" s="1809"/>
      <c r="M1242" s="1808"/>
      <c r="N1242" s="1808"/>
      <c r="O1242" s="1812"/>
      <c r="P1242" s="1808"/>
      <c r="Q1242" s="1808"/>
      <c r="R1242" s="1813"/>
    </row>
    <row r="1243" spans="1:18" s="1585" customFormat="1" ht="24">
      <c r="A1243" s="1805"/>
      <c r="B1243" s="1904" t="s">
        <v>499</v>
      </c>
      <c r="C1243" s="1807"/>
      <c r="D1243" s="1808">
        <f t="shared" si="169"/>
        <v>48800</v>
      </c>
      <c r="E1243" s="1808">
        <f t="shared" si="169"/>
        <v>48800</v>
      </c>
      <c r="F1243" s="1666">
        <f t="shared" si="176"/>
        <v>100</v>
      </c>
      <c r="G1243" s="1807">
        <v>48800</v>
      </c>
      <c r="H1243" s="1808">
        <v>48800</v>
      </c>
      <c r="I1243" s="1669">
        <f t="shared" si="177"/>
        <v>100</v>
      </c>
      <c r="J1243" s="1810"/>
      <c r="K1243" s="1808"/>
      <c r="L1243" s="1809"/>
      <c r="M1243" s="1808"/>
      <c r="N1243" s="1808"/>
      <c r="O1243" s="1812"/>
      <c r="P1243" s="1808"/>
      <c r="Q1243" s="1808"/>
      <c r="R1243" s="1813"/>
    </row>
    <row r="1244" spans="1:18" s="1585" customFormat="1" ht="36">
      <c r="A1244" s="1805"/>
      <c r="B1244" s="1904" t="s">
        <v>500</v>
      </c>
      <c r="C1244" s="1807"/>
      <c r="D1244" s="1808">
        <f t="shared" si="169"/>
        <v>1500</v>
      </c>
      <c r="E1244" s="1808">
        <f t="shared" si="169"/>
        <v>0</v>
      </c>
      <c r="F1244" s="1666">
        <f t="shared" si="176"/>
        <v>0</v>
      </c>
      <c r="G1244" s="1807">
        <v>1500</v>
      </c>
      <c r="H1244" s="1808"/>
      <c r="I1244" s="1669">
        <f t="shared" si="177"/>
        <v>0</v>
      </c>
      <c r="J1244" s="1810"/>
      <c r="K1244" s="1808"/>
      <c r="L1244" s="1809"/>
      <c r="M1244" s="1808"/>
      <c r="N1244" s="1808"/>
      <c r="O1244" s="1812"/>
      <c r="P1244" s="1808"/>
      <c r="Q1244" s="1808"/>
      <c r="R1244" s="1813"/>
    </row>
    <row r="1245" spans="1:18" s="1585" customFormat="1" ht="12.75">
      <c r="A1245" s="1805"/>
      <c r="B1245" s="1904" t="s">
        <v>501</v>
      </c>
      <c r="C1245" s="1807"/>
      <c r="D1245" s="1808">
        <f t="shared" si="169"/>
        <v>20000</v>
      </c>
      <c r="E1245" s="1808">
        <f t="shared" si="169"/>
        <v>0</v>
      </c>
      <c r="F1245" s="1666">
        <f t="shared" si="176"/>
        <v>0</v>
      </c>
      <c r="G1245" s="1807">
        <v>20000</v>
      </c>
      <c r="H1245" s="1808"/>
      <c r="I1245" s="1669">
        <f t="shared" si="177"/>
        <v>0</v>
      </c>
      <c r="J1245" s="1810"/>
      <c r="K1245" s="1808"/>
      <c r="L1245" s="1809"/>
      <c r="M1245" s="1808"/>
      <c r="N1245" s="1808"/>
      <c r="O1245" s="1812"/>
      <c r="P1245" s="1808"/>
      <c r="Q1245" s="1808"/>
      <c r="R1245" s="1813"/>
    </row>
    <row r="1246" spans="1:18" s="1585" customFormat="1" ht="24">
      <c r="A1246" s="1805"/>
      <c r="B1246" s="1904" t="s">
        <v>502</v>
      </c>
      <c r="C1246" s="1807"/>
      <c r="D1246" s="1808">
        <f t="shared" si="169"/>
        <v>52000</v>
      </c>
      <c r="E1246" s="1808">
        <f t="shared" si="169"/>
        <v>52000</v>
      </c>
      <c r="F1246" s="1666">
        <f t="shared" si="176"/>
        <v>100</v>
      </c>
      <c r="G1246" s="1807">
        <v>52000</v>
      </c>
      <c r="H1246" s="1808">
        <v>52000</v>
      </c>
      <c r="I1246" s="1669">
        <f t="shared" si="177"/>
        <v>100</v>
      </c>
      <c r="J1246" s="1810"/>
      <c r="K1246" s="1808"/>
      <c r="L1246" s="1809"/>
      <c r="M1246" s="1808"/>
      <c r="N1246" s="1808"/>
      <c r="O1246" s="1812"/>
      <c r="P1246" s="1808"/>
      <c r="Q1246" s="1808"/>
      <c r="R1246" s="1813"/>
    </row>
    <row r="1247" spans="1:18" s="1870" customFormat="1" ht="24">
      <c r="A1247" s="1743">
        <v>6050</v>
      </c>
      <c r="B1247" s="1751" t="s">
        <v>194</v>
      </c>
      <c r="C1247" s="1689">
        <v>100000</v>
      </c>
      <c r="D1247" s="893">
        <f t="shared" si="169"/>
        <v>100000</v>
      </c>
      <c r="E1247" s="1690">
        <f>H1247+K1247+Q1247+N1247</f>
        <v>40732</v>
      </c>
      <c r="F1247" s="1666">
        <f>E1247/D1247*100</f>
        <v>40.732</v>
      </c>
      <c r="G1247" s="1689">
        <v>100000</v>
      </c>
      <c r="H1247" s="1690">
        <v>40732</v>
      </c>
      <c r="I1247" s="1669">
        <f>H1247/G1247*100</f>
        <v>40.732</v>
      </c>
      <c r="J1247" s="1745"/>
      <c r="K1247" s="1690"/>
      <c r="L1247" s="1746"/>
      <c r="M1247" s="1690"/>
      <c r="N1247" s="1690"/>
      <c r="O1247" s="1747"/>
      <c r="P1247" s="1690"/>
      <c r="Q1247" s="1690"/>
      <c r="R1247" s="1754"/>
    </row>
    <row r="1248" spans="1:18" ht="108">
      <c r="A1248" s="1743">
        <v>6220</v>
      </c>
      <c r="B1248" s="1751" t="s">
        <v>503</v>
      </c>
      <c r="C1248" s="1689">
        <v>100000</v>
      </c>
      <c r="D1248" s="893">
        <f t="shared" si="169"/>
        <v>212500</v>
      </c>
      <c r="E1248" s="1690">
        <f>SUM(H1248+K1248+N1248+Q1248)</f>
        <v>28316</v>
      </c>
      <c r="F1248" s="1666">
        <f>E1248/D1248*100</f>
        <v>13.325176470588234</v>
      </c>
      <c r="G1248" s="1689">
        <f>100000+12500+100000</f>
        <v>212500</v>
      </c>
      <c r="H1248" s="1690">
        <v>28316</v>
      </c>
      <c r="I1248" s="1669">
        <f>H1248/G1248*100</f>
        <v>13.325176470588234</v>
      </c>
      <c r="J1248" s="1745"/>
      <c r="K1248" s="1690"/>
      <c r="L1248" s="1746"/>
      <c r="M1248" s="1690"/>
      <c r="N1248" s="1690"/>
      <c r="O1248" s="1747"/>
      <c r="P1248" s="1690"/>
      <c r="Q1248" s="1690"/>
      <c r="R1248" s="1754"/>
    </row>
    <row r="1249" spans="1:18" s="1585" customFormat="1" ht="25.5" customHeight="1" hidden="1">
      <c r="A1249" s="1805"/>
      <c r="B1249" s="1904" t="s">
        <v>504</v>
      </c>
      <c r="C1249" s="1905"/>
      <c r="D1249" s="1907">
        <f t="shared" si="169"/>
        <v>0</v>
      </c>
      <c r="E1249" s="1907">
        <f>SUM(H1249+K1249+N1249+Q1249)</f>
        <v>0</v>
      </c>
      <c r="F1249" s="1666" t="e">
        <f>E1249/D1249*100</f>
        <v>#DIV/0!</v>
      </c>
      <c r="G1249" s="1905"/>
      <c r="H1249" s="1907"/>
      <c r="I1249" s="1669" t="e">
        <f>H1249/G1249*100</f>
        <v>#DIV/0!</v>
      </c>
      <c r="J1249" s="1908"/>
      <c r="K1249" s="1907"/>
      <c r="L1249" s="1809"/>
      <c r="M1249" s="1907"/>
      <c r="N1249" s="1907"/>
      <c r="O1249" s="1809"/>
      <c r="P1249" s="1907"/>
      <c r="Q1249" s="1907"/>
      <c r="R1249" s="1909"/>
    </row>
    <row r="1250" spans="1:18" s="1586" customFormat="1" ht="41.25" customHeight="1" hidden="1">
      <c r="A1250" s="1851">
        <v>6050</v>
      </c>
      <c r="B1250" s="1935" t="s">
        <v>505</v>
      </c>
      <c r="C1250" s="2080"/>
      <c r="D1250" s="2081">
        <f t="shared" si="169"/>
        <v>0</v>
      </c>
      <c r="E1250" s="2081">
        <f>SUM(H1250+K1250+N1250+Q1250)</f>
        <v>0</v>
      </c>
      <c r="F1250" s="2082"/>
      <c r="G1250" s="924"/>
      <c r="H1250" s="925"/>
      <c r="I1250" s="1803"/>
      <c r="J1250" s="1822"/>
      <c r="K1250" s="925"/>
      <c r="L1250" s="1857"/>
      <c r="M1250" s="2080"/>
      <c r="N1250" s="925"/>
      <c r="O1250" s="1720"/>
      <c r="P1250" s="925"/>
      <c r="Q1250" s="925"/>
      <c r="R1250" s="1825"/>
    </row>
    <row r="1251" spans="1:18" ht="18" customHeight="1">
      <c r="A1251" s="1736">
        <v>92116</v>
      </c>
      <c r="B1251" s="1835" t="s">
        <v>865</v>
      </c>
      <c r="C1251" s="1738">
        <f>SUM(C1252)</f>
        <v>3154000</v>
      </c>
      <c r="D1251" s="908">
        <f t="shared" si="169"/>
        <v>3238890</v>
      </c>
      <c r="E1251" s="1680">
        <f>H1251+K1251+Q1251+N1251</f>
        <v>1613690</v>
      </c>
      <c r="F1251" s="1681">
        <f aca="true" t="shared" si="178" ref="F1251:F1289">E1251/D1251*100</f>
        <v>49.822315669874556</v>
      </c>
      <c r="G1251" s="1738">
        <f>G1252+G1259</f>
        <v>1037000</v>
      </c>
      <c r="H1251" s="1680">
        <f>H1252+H1259</f>
        <v>510000</v>
      </c>
      <c r="I1251" s="1776">
        <f>H1251/G1251*100</f>
        <v>49.18032786885246</v>
      </c>
      <c r="J1251" s="1740"/>
      <c r="K1251" s="1680"/>
      <c r="L1251" s="1741"/>
      <c r="M1251" s="1680">
        <f>SUM(M1252)</f>
        <v>2201890</v>
      </c>
      <c r="N1251" s="1680">
        <f>SUM(N1252)</f>
        <v>1103690</v>
      </c>
      <c r="O1251" s="1688">
        <f aca="true" t="shared" si="179" ref="O1251:O1268">N1251/M1251*100</f>
        <v>50.1246656281649</v>
      </c>
      <c r="P1251" s="1680"/>
      <c r="Q1251" s="1680"/>
      <c r="R1251" s="1782"/>
    </row>
    <row r="1252" spans="1:18" s="1735" customFormat="1" ht="36">
      <c r="A1252" s="1722">
        <v>2480</v>
      </c>
      <c r="B1252" s="1853" t="s">
        <v>490</v>
      </c>
      <c r="C1252" s="1693">
        <f>SUM(C1253:C1258)</f>
        <v>3154000</v>
      </c>
      <c r="D1252" s="932">
        <f t="shared" si="169"/>
        <v>3238890</v>
      </c>
      <c r="E1252" s="1707">
        <f>SUM(H1252+K1252+N1252+Q1252)</f>
        <v>1613690</v>
      </c>
      <c r="F1252" s="1691">
        <f t="shared" si="178"/>
        <v>49.822315669874556</v>
      </c>
      <c r="G1252" s="1693">
        <f>SUM(G1253:G1254)</f>
        <v>1037000</v>
      </c>
      <c r="H1252" s="1707">
        <f>SUM(H1253:H1254)</f>
        <v>510000</v>
      </c>
      <c r="I1252" s="1710">
        <f>H1252/G1252*100</f>
        <v>49.18032786885246</v>
      </c>
      <c r="J1252" s="1854"/>
      <c r="K1252" s="1707"/>
      <c r="L1252" s="1849"/>
      <c r="M1252" s="1707">
        <f>SUM(M1253:M1258)</f>
        <v>2201890</v>
      </c>
      <c r="N1252" s="1707">
        <f>SUM(N1253:N1258)</f>
        <v>1103690</v>
      </c>
      <c r="O1252" s="1674">
        <f t="shared" si="179"/>
        <v>50.1246656281649</v>
      </c>
      <c r="P1252" s="1707"/>
      <c r="Q1252" s="1707"/>
      <c r="R1252" s="1856"/>
    </row>
    <row r="1253" spans="1:18" s="1980" customFormat="1" ht="12.75">
      <c r="A1253" s="1805"/>
      <c r="B1253" s="1904" t="s">
        <v>491</v>
      </c>
      <c r="C1253" s="1807">
        <f>1020000+2134000</f>
        <v>3154000</v>
      </c>
      <c r="D1253" s="1808">
        <f t="shared" si="169"/>
        <v>3166000</v>
      </c>
      <c r="E1253" s="1808">
        <f aca="true" t="shared" si="180" ref="E1253:E1258">SUM(H1253+K1253+N1253+Q1253)</f>
        <v>1582800</v>
      </c>
      <c r="F1253" s="1666">
        <f t="shared" si="178"/>
        <v>49.99368288060644</v>
      </c>
      <c r="G1253" s="2083">
        <v>1020000</v>
      </c>
      <c r="H1253" s="1808">
        <v>510000</v>
      </c>
      <c r="I1253" s="1669">
        <f>H1253/G1253*100</f>
        <v>50</v>
      </c>
      <c r="J1253" s="1810"/>
      <c r="K1253" s="1808"/>
      <c r="L1253" s="1809"/>
      <c r="M1253" s="1808">
        <f>2134000+12000</f>
        <v>2146000</v>
      </c>
      <c r="N1253" s="1808">
        <f>1066800+6000</f>
        <v>1072800</v>
      </c>
      <c r="O1253" s="1695">
        <f t="shared" si="179"/>
        <v>49.99068033550792</v>
      </c>
      <c r="P1253" s="1808"/>
      <c r="Q1253" s="1808"/>
      <c r="R1253" s="1813"/>
    </row>
    <row r="1254" spans="1:18" s="1980" customFormat="1" ht="12.75">
      <c r="A1254" s="1805"/>
      <c r="B1254" s="1904" t="s">
        <v>506</v>
      </c>
      <c r="C1254" s="1807"/>
      <c r="D1254" s="1808">
        <f t="shared" si="169"/>
        <v>17000</v>
      </c>
      <c r="E1254" s="1808">
        <f t="shared" si="180"/>
        <v>0</v>
      </c>
      <c r="F1254" s="1666">
        <f t="shared" si="178"/>
        <v>0</v>
      </c>
      <c r="G1254" s="2083">
        <v>17000</v>
      </c>
      <c r="H1254" s="1808"/>
      <c r="I1254" s="1669">
        <f>H1254/G1254*100</f>
        <v>0</v>
      </c>
      <c r="J1254" s="1810"/>
      <c r="K1254" s="1808"/>
      <c r="L1254" s="1809"/>
      <c r="M1254" s="1808"/>
      <c r="N1254" s="1808"/>
      <c r="O1254" s="1695"/>
      <c r="P1254" s="1808"/>
      <c r="Q1254" s="1808"/>
      <c r="R1254" s="1813"/>
    </row>
    <row r="1255" spans="1:18" s="1980" customFormat="1" ht="24">
      <c r="A1255" s="1805"/>
      <c r="B1255" s="1904" t="s">
        <v>507</v>
      </c>
      <c r="C1255" s="1807"/>
      <c r="D1255" s="1808">
        <f t="shared" si="169"/>
        <v>29890</v>
      </c>
      <c r="E1255" s="1808">
        <f t="shared" si="180"/>
        <v>29890</v>
      </c>
      <c r="F1255" s="1666">
        <f t="shared" si="178"/>
        <v>100</v>
      </c>
      <c r="G1255" s="2083"/>
      <c r="H1255" s="1808"/>
      <c r="I1255" s="1669"/>
      <c r="J1255" s="1810"/>
      <c r="K1255" s="1808"/>
      <c r="L1255" s="1809"/>
      <c r="M1255" s="1808">
        <v>29890</v>
      </c>
      <c r="N1255" s="1808">
        <v>29890</v>
      </c>
      <c r="O1255" s="1669">
        <f t="shared" si="179"/>
        <v>100</v>
      </c>
      <c r="P1255" s="1808"/>
      <c r="Q1255" s="1808"/>
      <c r="R1255" s="1813"/>
    </row>
    <row r="1256" spans="1:18" s="1980" customFormat="1" ht="12.75">
      <c r="A1256" s="1805"/>
      <c r="B1256" s="1904" t="s">
        <v>508</v>
      </c>
      <c r="C1256" s="1807"/>
      <c r="D1256" s="1808">
        <f t="shared" si="169"/>
        <v>1000</v>
      </c>
      <c r="E1256" s="1808">
        <f t="shared" si="180"/>
        <v>1000</v>
      </c>
      <c r="F1256" s="1666">
        <f t="shared" si="178"/>
        <v>100</v>
      </c>
      <c r="G1256" s="2083"/>
      <c r="H1256" s="1808"/>
      <c r="I1256" s="1669"/>
      <c r="J1256" s="1810"/>
      <c r="K1256" s="1808"/>
      <c r="L1256" s="1809"/>
      <c r="M1256" s="1808">
        <v>1000</v>
      </c>
      <c r="N1256" s="1808">
        <v>1000</v>
      </c>
      <c r="O1256" s="1669">
        <f t="shared" si="179"/>
        <v>100</v>
      </c>
      <c r="P1256" s="1808"/>
      <c r="Q1256" s="1808"/>
      <c r="R1256" s="1813"/>
    </row>
    <row r="1257" spans="1:18" s="1980" customFormat="1" ht="12.75">
      <c r="A1257" s="1805"/>
      <c r="B1257" s="1904" t="s">
        <v>509</v>
      </c>
      <c r="C1257" s="1807"/>
      <c r="D1257" s="1808">
        <f t="shared" si="169"/>
        <v>15000</v>
      </c>
      <c r="E1257" s="1808">
        <f t="shared" si="180"/>
        <v>0</v>
      </c>
      <c r="F1257" s="1666">
        <f t="shared" si="178"/>
        <v>0</v>
      </c>
      <c r="G1257" s="2083"/>
      <c r="H1257" s="1808"/>
      <c r="I1257" s="1669"/>
      <c r="J1257" s="1810"/>
      <c r="K1257" s="1808"/>
      <c r="L1257" s="1809"/>
      <c r="M1257" s="1808">
        <v>15000</v>
      </c>
      <c r="N1257" s="1808"/>
      <c r="O1257" s="1669">
        <f t="shared" si="179"/>
        <v>0</v>
      </c>
      <c r="P1257" s="1808"/>
      <c r="Q1257" s="1808"/>
      <c r="R1257" s="1813"/>
    </row>
    <row r="1258" spans="1:18" s="1980" customFormat="1" ht="24">
      <c r="A1258" s="1805"/>
      <c r="B1258" s="1904" t="s">
        <v>510</v>
      </c>
      <c r="C1258" s="1807"/>
      <c r="D1258" s="1808">
        <f t="shared" si="169"/>
        <v>10000</v>
      </c>
      <c r="E1258" s="1808">
        <f t="shared" si="180"/>
        <v>0</v>
      </c>
      <c r="F1258" s="1666">
        <f t="shared" si="178"/>
        <v>0</v>
      </c>
      <c r="G1258" s="2083"/>
      <c r="H1258" s="1808"/>
      <c r="I1258" s="1669"/>
      <c r="J1258" s="1810"/>
      <c r="K1258" s="1808"/>
      <c r="L1258" s="1809"/>
      <c r="M1258" s="1808">
        <v>10000</v>
      </c>
      <c r="N1258" s="1808"/>
      <c r="O1258" s="1695">
        <f t="shared" si="179"/>
        <v>0</v>
      </c>
      <c r="P1258" s="1808"/>
      <c r="Q1258" s="1808"/>
      <c r="R1258" s="1813"/>
    </row>
    <row r="1259" spans="1:18" s="1735" customFormat="1" ht="5.25" customHeight="1" hidden="1">
      <c r="A1259" s="1798">
        <v>6220</v>
      </c>
      <c r="B1259" s="1751" t="s">
        <v>511</v>
      </c>
      <c r="C1259" s="1800"/>
      <c r="D1259" s="925">
        <f t="shared" si="169"/>
        <v>0</v>
      </c>
      <c r="E1259" s="1791">
        <f>SUM(H1259+K1259+N1259+Q1259)</f>
        <v>0</v>
      </c>
      <c r="F1259" s="1719" t="e">
        <f t="shared" si="178"/>
        <v>#DIV/0!</v>
      </c>
      <c r="G1259" s="2084"/>
      <c r="H1259" s="1791"/>
      <c r="I1259" s="1669" t="e">
        <f>H1259/G1259*100</f>
        <v>#DIV/0!</v>
      </c>
      <c r="J1259" s="1801"/>
      <c r="K1259" s="1791"/>
      <c r="L1259" s="1857"/>
      <c r="M1259" s="1791"/>
      <c r="N1259" s="1791"/>
      <c r="O1259" s="1720" t="e">
        <f t="shared" si="179"/>
        <v>#DIV/0!</v>
      </c>
      <c r="P1259" s="1791"/>
      <c r="Q1259" s="1791"/>
      <c r="R1259" s="1845"/>
    </row>
    <row r="1260" spans="1:18" s="1735" customFormat="1" ht="18.75" customHeight="1">
      <c r="A1260" s="1736">
        <v>92118</v>
      </c>
      <c r="B1260" s="1835" t="s">
        <v>866</v>
      </c>
      <c r="C1260" s="1738">
        <f>SUM(C1261)+C1268</f>
        <v>1620000</v>
      </c>
      <c r="D1260" s="908">
        <f t="shared" si="169"/>
        <v>1771000</v>
      </c>
      <c r="E1260" s="1680">
        <f>H1260+K1260+Q1260+N1260</f>
        <v>876268</v>
      </c>
      <c r="F1260" s="1681">
        <f t="shared" si="178"/>
        <v>49.47871259175607</v>
      </c>
      <c r="G1260" s="1983"/>
      <c r="H1260" s="1680"/>
      <c r="I1260" s="1776"/>
      <c r="J1260" s="1740"/>
      <c r="K1260" s="1680"/>
      <c r="L1260" s="1741"/>
      <c r="M1260" s="1680">
        <f>SUM(M1261)+M1268</f>
        <v>1771000</v>
      </c>
      <c r="N1260" s="1680">
        <f>SUM(N1261)+N1268</f>
        <v>876268</v>
      </c>
      <c r="O1260" s="1688">
        <f t="shared" si="179"/>
        <v>49.47871259175607</v>
      </c>
      <c r="P1260" s="1680"/>
      <c r="Q1260" s="1680"/>
      <c r="R1260" s="1782"/>
    </row>
    <row r="1261" spans="1:18" s="1735" customFormat="1" ht="36">
      <c r="A1261" s="1722">
        <v>2480</v>
      </c>
      <c r="B1261" s="1853" t="s">
        <v>490</v>
      </c>
      <c r="C1261" s="1693">
        <f>SUM(C1262:C1263)</f>
        <v>1600000</v>
      </c>
      <c r="D1261" s="932">
        <f t="shared" si="169"/>
        <v>1751000</v>
      </c>
      <c r="E1261" s="1707">
        <f>SUM(H1261+K1261+N1261+Q1261)</f>
        <v>856796</v>
      </c>
      <c r="F1261" s="1691">
        <f t="shared" si="178"/>
        <v>48.931810394060534</v>
      </c>
      <c r="G1261" s="1689"/>
      <c r="H1261" s="893"/>
      <c r="I1261" s="1710"/>
      <c r="J1261" s="1745"/>
      <c r="K1261" s="1690"/>
      <c r="L1261" s="1746"/>
      <c r="M1261" s="1693">
        <f>SUM(M1262:M1267)</f>
        <v>1751000</v>
      </c>
      <c r="N1261" s="1690">
        <f>SUM(N1262:N1267)</f>
        <v>856796</v>
      </c>
      <c r="O1261" s="1695">
        <f t="shared" si="179"/>
        <v>48.931810394060534</v>
      </c>
      <c r="P1261" s="1690"/>
      <c r="Q1261" s="1690"/>
      <c r="R1261" s="1754"/>
    </row>
    <row r="1262" spans="1:18" s="1980" customFormat="1" ht="12.75">
      <c r="A1262" s="1805"/>
      <c r="B1262" s="1904" t="s">
        <v>491</v>
      </c>
      <c r="C1262" s="1807">
        <v>1500000</v>
      </c>
      <c r="D1262" s="1808">
        <f t="shared" si="169"/>
        <v>1500000</v>
      </c>
      <c r="E1262" s="1808">
        <f aca="true" t="shared" si="181" ref="E1262:E1267">SUM(H1262+K1262+N1262+Q1262)</f>
        <v>750000</v>
      </c>
      <c r="F1262" s="1666">
        <f t="shared" si="178"/>
        <v>50</v>
      </c>
      <c r="G1262" s="1807"/>
      <c r="H1262" s="1808"/>
      <c r="I1262" s="1669"/>
      <c r="J1262" s="1810"/>
      <c r="K1262" s="1808"/>
      <c r="L1262" s="1809"/>
      <c r="M1262" s="1810">
        <v>1500000</v>
      </c>
      <c r="N1262" s="1808">
        <v>750000</v>
      </c>
      <c r="O1262" s="1879">
        <f t="shared" si="179"/>
        <v>50</v>
      </c>
      <c r="P1262" s="1808"/>
      <c r="Q1262" s="1808"/>
      <c r="R1262" s="1813"/>
    </row>
    <row r="1263" spans="1:18" s="1980" customFormat="1" ht="24">
      <c r="A1263" s="1805"/>
      <c r="B1263" s="1904" t="s">
        <v>512</v>
      </c>
      <c r="C1263" s="1807">
        <v>100000</v>
      </c>
      <c r="D1263" s="1808">
        <f t="shared" si="169"/>
        <v>100000</v>
      </c>
      <c r="E1263" s="1808">
        <f t="shared" si="181"/>
        <v>44728</v>
      </c>
      <c r="F1263" s="1666">
        <f t="shared" si="178"/>
        <v>44.728</v>
      </c>
      <c r="G1263" s="1807"/>
      <c r="H1263" s="1808"/>
      <c r="I1263" s="1669"/>
      <c r="J1263" s="1810"/>
      <c r="K1263" s="1808"/>
      <c r="L1263" s="1809"/>
      <c r="M1263" s="1810">
        <v>100000</v>
      </c>
      <c r="N1263" s="1808">
        <v>44728</v>
      </c>
      <c r="O1263" s="1879">
        <f t="shared" si="179"/>
        <v>44.728</v>
      </c>
      <c r="P1263" s="1808"/>
      <c r="Q1263" s="1808"/>
      <c r="R1263" s="1813"/>
    </row>
    <row r="1264" spans="1:18" s="1980" customFormat="1" ht="36">
      <c r="A1264" s="1805"/>
      <c r="B1264" s="1904" t="s">
        <v>513</v>
      </c>
      <c r="C1264" s="1807"/>
      <c r="D1264" s="1808">
        <f t="shared" si="169"/>
        <v>100000</v>
      </c>
      <c r="E1264" s="1808">
        <f t="shared" si="181"/>
        <v>56068</v>
      </c>
      <c r="F1264" s="1666">
        <f t="shared" si="178"/>
        <v>56.068</v>
      </c>
      <c r="G1264" s="1807"/>
      <c r="H1264" s="1808"/>
      <c r="I1264" s="1669"/>
      <c r="J1264" s="1810"/>
      <c r="K1264" s="1808"/>
      <c r="L1264" s="1809"/>
      <c r="M1264" s="1810">
        <v>100000</v>
      </c>
      <c r="N1264" s="1808">
        <v>56068</v>
      </c>
      <c r="O1264" s="1879">
        <f t="shared" si="179"/>
        <v>56.068</v>
      </c>
      <c r="P1264" s="1808"/>
      <c r="Q1264" s="1808"/>
      <c r="R1264" s="1813"/>
    </row>
    <row r="1265" spans="1:18" s="1980" customFormat="1" ht="12.75">
      <c r="A1265" s="1805"/>
      <c r="B1265" s="1904" t="s">
        <v>514</v>
      </c>
      <c r="C1265" s="1807"/>
      <c r="D1265" s="1808">
        <f t="shared" si="169"/>
        <v>7000</v>
      </c>
      <c r="E1265" s="1808">
        <f t="shared" si="181"/>
        <v>6000</v>
      </c>
      <c r="F1265" s="1666">
        <f t="shared" si="178"/>
        <v>85.71428571428571</v>
      </c>
      <c r="G1265" s="1807"/>
      <c r="H1265" s="1808"/>
      <c r="I1265" s="1669"/>
      <c r="J1265" s="1810"/>
      <c r="K1265" s="1808"/>
      <c r="L1265" s="1809"/>
      <c r="M1265" s="1810">
        <v>7000</v>
      </c>
      <c r="N1265" s="1808">
        <v>6000</v>
      </c>
      <c r="O1265" s="1879">
        <f t="shared" si="179"/>
        <v>85.71428571428571</v>
      </c>
      <c r="P1265" s="1808"/>
      <c r="Q1265" s="1808"/>
      <c r="R1265" s="1813"/>
    </row>
    <row r="1266" spans="1:18" s="1980" customFormat="1" ht="24">
      <c r="A1266" s="1805"/>
      <c r="B1266" s="1904" t="s">
        <v>515</v>
      </c>
      <c r="C1266" s="1807"/>
      <c r="D1266" s="1808">
        <f t="shared" si="169"/>
        <v>29000</v>
      </c>
      <c r="E1266" s="1808">
        <f t="shared" si="181"/>
        <v>0</v>
      </c>
      <c r="F1266" s="1666">
        <f t="shared" si="178"/>
        <v>0</v>
      </c>
      <c r="G1266" s="1807"/>
      <c r="H1266" s="1808"/>
      <c r="I1266" s="1669"/>
      <c r="J1266" s="1810"/>
      <c r="K1266" s="1808"/>
      <c r="L1266" s="1809"/>
      <c r="M1266" s="1810">
        <v>29000</v>
      </c>
      <c r="N1266" s="1808"/>
      <c r="O1266" s="1879">
        <f t="shared" si="179"/>
        <v>0</v>
      </c>
      <c r="P1266" s="1808"/>
      <c r="Q1266" s="1808"/>
      <c r="R1266" s="1813"/>
    </row>
    <row r="1267" spans="1:18" s="1980" customFormat="1" ht="24">
      <c r="A1267" s="1805"/>
      <c r="B1267" s="1904" t="s">
        <v>516</v>
      </c>
      <c r="C1267" s="1807"/>
      <c r="D1267" s="1808">
        <f t="shared" si="169"/>
        <v>15000</v>
      </c>
      <c r="E1267" s="1808">
        <f t="shared" si="181"/>
        <v>0</v>
      </c>
      <c r="F1267" s="1666">
        <f t="shared" si="178"/>
        <v>0</v>
      </c>
      <c r="G1267" s="1807"/>
      <c r="H1267" s="1808"/>
      <c r="I1267" s="1669"/>
      <c r="J1267" s="1810"/>
      <c r="K1267" s="1808"/>
      <c r="L1267" s="1809"/>
      <c r="M1267" s="1810">
        <v>15000</v>
      </c>
      <c r="N1267" s="1808"/>
      <c r="O1267" s="1879">
        <f t="shared" si="179"/>
        <v>0</v>
      </c>
      <c r="P1267" s="1808"/>
      <c r="Q1267" s="1808"/>
      <c r="R1267" s="1813"/>
    </row>
    <row r="1268" spans="1:18" s="1735" customFormat="1" ht="84">
      <c r="A1268" s="1798">
        <v>6220</v>
      </c>
      <c r="B1268" s="1751" t="s">
        <v>517</v>
      </c>
      <c r="C1268" s="1689">
        <v>20000</v>
      </c>
      <c r="D1268" s="893">
        <f t="shared" si="169"/>
        <v>20000</v>
      </c>
      <c r="E1268" s="1690">
        <f>SUM(H1268+K1268+N1268+Q1268)</f>
        <v>19472</v>
      </c>
      <c r="F1268" s="1666">
        <f t="shared" si="178"/>
        <v>97.36</v>
      </c>
      <c r="G1268" s="1689"/>
      <c r="H1268" s="893"/>
      <c r="I1268" s="1739"/>
      <c r="J1268" s="1745"/>
      <c r="K1268" s="1690"/>
      <c r="L1268" s="1746"/>
      <c r="M1268" s="1745">
        <v>20000</v>
      </c>
      <c r="N1268" s="1690">
        <v>19472</v>
      </c>
      <c r="O1268" s="1695">
        <f t="shared" si="179"/>
        <v>97.36</v>
      </c>
      <c r="P1268" s="1690"/>
      <c r="Q1268" s="1690"/>
      <c r="R1268" s="1754"/>
    </row>
    <row r="1269" spans="1:18" ht="24.75" customHeight="1">
      <c r="A1269" s="1736">
        <v>92120</v>
      </c>
      <c r="B1269" s="1835" t="s">
        <v>867</v>
      </c>
      <c r="C1269" s="1738">
        <f>SUM(C1271:C1272)</f>
        <v>118000</v>
      </c>
      <c r="D1269" s="908">
        <f>G1269+J1269+P1269+M1269</f>
        <v>243000</v>
      </c>
      <c r="E1269" s="1680">
        <f aca="true" t="shared" si="182" ref="D1269:E1294">H1269+K1269+Q1269+N1269</f>
        <v>0</v>
      </c>
      <c r="F1269" s="1681">
        <f t="shared" si="178"/>
        <v>0</v>
      </c>
      <c r="G1269" s="1738">
        <f>SUM(G1270:G1272)</f>
        <v>243000</v>
      </c>
      <c r="H1269" s="1680">
        <f>SUM(H1270:H1272)</f>
        <v>0</v>
      </c>
      <c r="I1269" s="1776">
        <f aca="true" t="shared" si="183" ref="I1269:I1274">H1269/G1269*100</f>
        <v>0</v>
      </c>
      <c r="J1269" s="1740"/>
      <c r="K1269" s="1680"/>
      <c r="L1269" s="1741"/>
      <c r="M1269" s="1680"/>
      <c r="N1269" s="1680"/>
      <c r="O1269" s="1742"/>
      <c r="P1269" s="1680"/>
      <c r="Q1269" s="1680"/>
      <c r="R1269" s="1782"/>
    </row>
    <row r="1270" spans="1:18" s="1586" customFormat="1" ht="60">
      <c r="A1270" s="1846">
        <v>2820</v>
      </c>
      <c r="B1270" s="1847" t="s">
        <v>411</v>
      </c>
      <c r="C1270" s="927"/>
      <c r="D1270" s="893">
        <f t="shared" si="182"/>
        <v>25000</v>
      </c>
      <c r="E1270" s="1690">
        <f>SUM(H1270+K1270+N1270+Q1270)</f>
        <v>0</v>
      </c>
      <c r="F1270" s="1666">
        <f t="shared" si="178"/>
        <v>0</v>
      </c>
      <c r="G1270" s="927">
        <v>25000</v>
      </c>
      <c r="H1270" s="932"/>
      <c r="I1270" s="1669">
        <f t="shared" si="183"/>
        <v>0</v>
      </c>
      <c r="J1270" s="1848"/>
      <c r="K1270" s="932"/>
      <c r="L1270" s="1849"/>
      <c r="M1270" s="932"/>
      <c r="N1270" s="932"/>
      <c r="O1270" s="1850"/>
      <c r="P1270" s="932"/>
      <c r="Q1270" s="932"/>
      <c r="R1270" s="950"/>
    </row>
    <row r="1271" spans="1:18" s="1735" customFormat="1" ht="25.5" customHeight="1">
      <c r="A1271" s="1743">
        <v>4270</v>
      </c>
      <c r="B1271" s="1751" t="s">
        <v>518</v>
      </c>
      <c r="C1271" s="1689">
        <v>100000</v>
      </c>
      <c r="D1271" s="893">
        <f t="shared" si="182"/>
        <v>200000</v>
      </c>
      <c r="E1271" s="1690">
        <f>SUM(H1271+K1271+N1271+Q1271)</f>
        <v>0</v>
      </c>
      <c r="F1271" s="1666">
        <f t="shared" si="178"/>
        <v>0</v>
      </c>
      <c r="G1271" s="1689">
        <f>100000+100000</f>
        <v>200000</v>
      </c>
      <c r="H1271" s="1690"/>
      <c r="I1271" s="1669">
        <f t="shared" si="183"/>
        <v>0</v>
      </c>
      <c r="J1271" s="1745"/>
      <c r="K1271" s="1690"/>
      <c r="L1271" s="1746"/>
      <c r="M1271" s="1690"/>
      <c r="N1271" s="1690"/>
      <c r="O1271" s="1747"/>
      <c r="P1271" s="1690"/>
      <c r="Q1271" s="1690"/>
      <c r="R1271" s="1754"/>
    </row>
    <row r="1272" spans="1:18" s="1735" customFormat="1" ht="36">
      <c r="A1272" s="1798">
        <v>6060</v>
      </c>
      <c r="B1272" s="1799" t="s">
        <v>293</v>
      </c>
      <c r="C1272" s="1800">
        <v>18000</v>
      </c>
      <c r="D1272" s="925">
        <f t="shared" si="182"/>
        <v>18000</v>
      </c>
      <c r="E1272" s="1791">
        <f>SUM(H1272+K1272+N1272+Q1272)</f>
        <v>0</v>
      </c>
      <c r="F1272" s="1719">
        <f t="shared" si="178"/>
        <v>0</v>
      </c>
      <c r="G1272" s="1800">
        <v>18000</v>
      </c>
      <c r="H1272" s="1791"/>
      <c r="I1272" s="1739">
        <f t="shared" si="183"/>
        <v>0</v>
      </c>
      <c r="J1272" s="1918"/>
      <c r="K1272" s="1791"/>
      <c r="L1272" s="1857"/>
      <c r="M1272" s="1791"/>
      <c r="N1272" s="1791"/>
      <c r="O1272" s="1804"/>
      <c r="P1272" s="1791"/>
      <c r="Q1272" s="1791"/>
      <c r="R1272" s="1845"/>
    </row>
    <row r="1273" spans="1:18" s="1771" customFormat="1" ht="17.25" customHeight="1">
      <c r="A1273" s="1783">
        <v>92195</v>
      </c>
      <c r="B1273" s="1882" t="s">
        <v>829</v>
      </c>
      <c r="C1273" s="886">
        <f>SUM(C1274:C1279)</f>
        <v>12840</v>
      </c>
      <c r="D1273" s="908">
        <f t="shared" si="182"/>
        <v>13840</v>
      </c>
      <c r="E1273" s="908">
        <f>SUM(H1273+K1273+N1273+Q1273)</f>
        <v>4778</v>
      </c>
      <c r="F1273" s="1681">
        <f t="shared" si="178"/>
        <v>34.52312138728323</v>
      </c>
      <c r="G1273" s="886">
        <f>SUM(G1274:G1279)</f>
        <v>13840</v>
      </c>
      <c r="H1273" s="908">
        <f>SUM(H1274:H1279)</f>
        <v>4778</v>
      </c>
      <c r="I1273" s="1776">
        <f t="shared" si="183"/>
        <v>34.52312138728323</v>
      </c>
      <c r="J1273" s="1883"/>
      <c r="K1273" s="908"/>
      <c r="L1273" s="1741"/>
      <c r="M1273" s="908"/>
      <c r="N1273" s="908"/>
      <c r="O1273" s="1817"/>
      <c r="P1273" s="908"/>
      <c r="Q1273" s="908"/>
      <c r="R1273" s="889"/>
    </row>
    <row r="1274" spans="1:18" s="1586" customFormat="1" ht="61.5" customHeight="1" hidden="1">
      <c r="A1274" s="1818">
        <v>2820</v>
      </c>
      <c r="B1274" s="1880" t="s">
        <v>853</v>
      </c>
      <c r="C1274" s="895"/>
      <c r="D1274" s="893">
        <f t="shared" si="182"/>
        <v>0</v>
      </c>
      <c r="E1274" s="893">
        <f t="shared" si="182"/>
        <v>0</v>
      </c>
      <c r="F1274" s="1666" t="e">
        <f t="shared" si="178"/>
        <v>#DIV/0!</v>
      </c>
      <c r="G1274" s="895"/>
      <c r="H1274" s="893"/>
      <c r="I1274" s="1669" t="e">
        <f t="shared" si="183"/>
        <v>#DIV/0!</v>
      </c>
      <c r="J1274" s="1890"/>
      <c r="K1274" s="893"/>
      <c r="L1274" s="1746"/>
      <c r="M1274" s="893"/>
      <c r="N1274" s="893"/>
      <c r="O1274" s="1821"/>
      <c r="P1274" s="893"/>
      <c r="Q1274" s="893"/>
      <c r="R1274" s="897"/>
    </row>
    <row r="1275" spans="1:18" s="1586" customFormat="1" ht="72" hidden="1">
      <c r="A1275" s="1818">
        <v>2550</v>
      </c>
      <c r="B1275" s="1880" t="s">
        <v>519</v>
      </c>
      <c r="C1275" s="895"/>
      <c r="D1275" s="893">
        <f t="shared" si="182"/>
        <v>0</v>
      </c>
      <c r="E1275" s="1690">
        <f>SUM(H1275+K1275+N1275+Q1275)</f>
        <v>0</v>
      </c>
      <c r="F1275" s="1666"/>
      <c r="G1275" s="895"/>
      <c r="H1275" s="893"/>
      <c r="I1275" s="1669"/>
      <c r="J1275" s="1890"/>
      <c r="K1275" s="893"/>
      <c r="L1275" s="1746"/>
      <c r="M1275" s="893"/>
      <c r="N1275" s="893"/>
      <c r="O1275" s="1821"/>
      <c r="P1275" s="893"/>
      <c r="Q1275" s="893"/>
      <c r="R1275" s="897"/>
    </row>
    <row r="1276" spans="1:18" s="1735" customFormat="1" ht="24.75" customHeight="1">
      <c r="A1276" s="1743">
        <v>4210</v>
      </c>
      <c r="B1276" s="1751" t="s">
        <v>520</v>
      </c>
      <c r="C1276" s="1689">
        <v>9500</v>
      </c>
      <c r="D1276" s="893">
        <f t="shared" si="182"/>
        <v>10458</v>
      </c>
      <c r="E1276" s="1690">
        <f>SUM(H1276+K1276+N1276+Q1276)</f>
        <v>4236</v>
      </c>
      <c r="F1276" s="1666">
        <f t="shared" si="178"/>
        <v>40.504876649454964</v>
      </c>
      <c r="G1276" s="1689">
        <f>9500+500+500-500+500-42</f>
        <v>10458</v>
      </c>
      <c r="H1276" s="1690">
        <v>4236</v>
      </c>
      <c r="I1276" s="1669">
        <f aca="true" t="shared" si="184" ref="I1276:I1289">H1276/G1276*100</f>
        <v>40.504876649454964</v>
      </c>
      <c r="J1276" s="1884"/>
      <c r="K1276" s="1690"/>
      <c r="L1276" s="1746"/>
      <c r="M1276" s="1690"/>
      <c r="N1276" s="1690"/>
      <c r="O1276" s="1747"/>
      <c r="P1276" s="1690"/>
      <c r="Q1276" s="1690"/>
      <c r="R1276" s="1754"/>
    </row>
    <row r="1277" spans="1:18" s="1735" customFormat="1" ht="28.5" customHeight="1" hidden="1">
      <c r="A1277" s="1743">
        <v>4300</v>
      </c>
      <c r="B1277" s="1751" t="s">
        <v>521</v>
      </c>
      <c r="C1277" s="1689"/>
      <c r="D1277" s="893">
        <f t="shared" si="182"/>
        <v>0</v>
      </c>
      <c r="E1277" s="1690">
        <f>SUM(H1277+K1277+N1277+Q1277)</f>
        <v>0</v>
      </c>
      <c r="F1277" s="1666" t="e">
        <f t="shared" si="178"/>
        <v>#DIV/0!</v>
      </c>
      <c r="G1277" s="1689"/>
      <c r="H1277" s="1690"/>
      <c r="I1277" s="1669" t="e">
        <f t="shared" si="184"/>
        <v>#DIV/0!</v>
      </c>
      <c r="J1277" s="1884"/>
      <c r="K1277" s="1690"/>
      <c r="L1277" s="1746"/>
      <c r="M1277" s="1690"/>
      <c r="N1277" s="1690"/>
      <c r="O1277" s="1747"/>
      <c r="P1277" s="1690"/>
      <c r="Q1277" s="1690"/>
      <c r="R1277" s="1754"/>
    </row>
    <row r="1278" spans="1:18" s="1735" customFormat="1" ht="24">
      <c r="A1278" s="1743">
        <v>4430</v>
      </c>
      <c r="B1278" s="1751" t="s">
        <v>522</v>
      </c>
      <c r="C1278" s="1689"/>
      <c r="D1278" s="893">
        <f>G1278+J1278+P1278+M1278</f>
        <v>42</v>
      </c>
      <c r="E1278" s="1690">
        <f>SUM(H1278+K1278+N1278+Q1278)</f>
        <v>42</v>
      </c>
      <c r="F1278" s="1666">
        <f t="shared" si="178"/>
        <v>100</v>
      </c>
      <c r="G1278" s="1689">
        <v>42</v>
      </c>
      <c r="H1278" s="1690">
        <v>42</v>
      </c>
      <c r="I1278" s="1669">
        <f t="shared" si="184"/>
        <v>100</v>
      </c>
      <c r="J1278" s="1884"/>
      <c r="K1278" s="1690"/>
      <c r="L1278" s="1746"/>
      <c r="M1278" s="1690"/>
      <c r="N1278" s="1690"/>
      <c r="O1278" s="1747"/>
      <c r="P1278" s="1690"/>
      <c r="Q1278" s="1690"/>
      <c r="R1278" s="1754"/>
    </row>
    <row r="1279" spans="1:18" s="1735" customFormat="1" ht="27" customHeight="1" thickBot="1">
      <c r="A1279" s="1743">
        <v>4300</v>
      </c>
      <c r="B1279" s="1751" t="s">
        <v>416</v>
      </c>
      <c r="C1279" s="1689">
        <v>3340</v>
      </c>
      <c r="D1279" s="893">
        <f t="shared" si="182"/>
        <v>3340</v>
      </c>
      <c r="E1279" s="1690">
        <f>SUM(H1279+K1279+N1279+Q1279)</f>
        <v>500</v>
      </c>
      <c r="F1279" s="1666">
        <f t="shared" si="178"/>
        <v>14.97005988023952</v>
      </c>
      <c r="G1279" s="1689">
        <v>3340</v>
      </c>
      <c r="H1279" s="1690">
        <v>500</v>
      </c>
      <c r="I1279" s="1669">
        <f t="shared" si="184"/>
        <v>14.97005988023952</v>
      </c>
      <c r="J1279" s="1884"/>
      <c r="K1279" s="1690"/>
      <c r="L1279" s="1746"/>
      <c r="M1279" s="1690"/>
      <c r="N1279" s="1690"/>
      <c r="O1279" s="1747"/>
      <c r="P1279" s="1690"/>
      <c r="Q1279" s="1690"/>
      <c r="R1279" s="1754"/>
    </row>
    <row r="1280" spans="1:18" s="880" customFormat="1" ht="30" customHeight="1" thickBot="1" thickTop="1">
      <c r="A1280" s="873">
        <v>926</v>
      </c>
      <c r="B1280" s="874" t="s">
        <v>645</v>
      </c>
      <c r="C1280" s="875">
        <f>SUM(C1281+C1294+C1291)</f>
        <v>8433720</v>
      </c>
      <c r="D1280" s="876">
        <f t="shared" si="182"/>
        <v>10566560</v>
      </c>
      <c r="E1280" s="876">
        <f t="shared" si="182"/>
        <v>4415597</v>
      </c>
      <c r="F1280" s="2008">
        <f t="shared" si="178"/>
        <v>41.78840606592874</v>
      </c>
      <c r="G1280" s="875">
        <f>SUM(G1281+G1294+G1291)</f>
        <v>10566560</v>
      </c>
      <c r="H1280" s="876">
        <f>SUM(H1281+H1294+H1291)</f>
        <v>4415597</v>
      </c>
      <c r="I1280" s="2009">
        <f t="shared" si="184"/>
        <v>41.78840606592874</v>
      </c>
      <c r="J1280" s="2085"/>
      <c r="K1280" s="876"/>
      <c r="L1280" s="1927"/>
      <c r="M1280" s="876"/>
      <c r="N1280" s="876"/>
      <c r="O1280" s="1955"/>
      <c r="P1280" s="876"/>
      <c r="Q1280" s="876"/>
      <c r="R1280" s="2086"/>
    </row>
    <row r="1281" spans="1:18" ht="16.5" customHeight="1" thickTop="1">
      <c r="A1281" s="1736">
        <v>92601</v>
      </c>
      <c r="B1281" s="1835" t="s">
        <v>523</v>
      </c>
      <c r="C1281" s="1738">
        <f>SUM(C1282:C1286)</f>
        <v>4500000</v>
      </c>
      <c r="D1281" s="906">
        <f t="shared" si="182"/>
        <v>6604300</v>
      </c>
      <c r="E1281" s="1836">
        <f t="shared" si="182"/>
        <v>2180914</v>
      </c>
      <c r="F1281" s="1719">
        <f t="shared" si="178"/>
        <v>33.02263676695486</v>
      </c>
      <c r="G1281" s="1738">
        <f>SUM(G1282:G1286)+G1290</f>
        <v>6604300</v>
      </c>
      <c r="H1281" s="1680">
        <f>SUM(H1282:H1286)+H1290</f>
        <v>2180914</v>
      </c>
      <c r="I1281" s="1776">
        <f t="shared" si="184"/>
        <v>33.02263676695486</v>
      </c>
      <c r="J1281" s="1740"/>
      <c r="K1281" s="1680"/>
      <c r="L1281" s="1741"/>
      <c r="M1281" s="1680"/>
      <c r="N1281" s="1680"/>
      <c r="O1281" s="1742"/>
      <c r="P1281" s="1680"/>
      <c r="Q1281" s="1680"/>
      <c r="R1281" s="1782"/>
    </row>
    <row r="1282" spans="1:18" ht="61.5" customHeight="1" hidden="1">
      <c r="A1282" s="1722">
        <v>2820</v>
      </c>
      <c r="B1282" s="1853" t="s">
        <v>411</v>
      </c>
      <c r="C1282" s="1689"/>
      <c r="D1282" s="893">
        <f t="shared" si="182"/>
        <v>0</v>
      </c>
      <c r="E1282" s="1690">
        <f t="shared" si="182"/>
        <v>0</v>
      </c>
      <c r="F1282" s="1666" t="e">
        <f t="shared" si="178"/>
        <v>#DIV/0!</v>
      </c>
      <c r="G1282" s="1689"/>
      <c r="H1282" s="1707"/>
      <c r="I1282" s="1669" t="e">
        <f t="shared" si="184"/>
        <v>#DIV/0!</v>
      </c>
      <c r="J1282" s="1854"/>
      <c r="K1282" s="1707"/>
      <c r="L1282" s="1849"/>
      <c r="M1282" s="1707"/>
      <c r="N1282" s="1707"/>
      <c r="O1282" s="1855"/>
      <c r="P1282" s="1707"/>
      <c r="Q1282" s="1707"/>
      <c r="R1282" s="1856"/>
    </row>
    <row r="1283" spans="1:18" ht="19.5" customHeight="1">
      <c r="A1283" s="1743">
        <v>4300</v>
      </c>
      <c r="B1283" s="1751" t="s">
        <v>122</v>
      </c>
      <c r="C1283" s="1689"/>
      <c r="D1283" s="893">
        <f t="shared" si="182"/>
        <v>4300</v>
      </c>
      <c r="E1283" s="1690">
        <f t="shared" si="182"/>
        <v>4300</v>
      </c>
      <c r="F1283" s="1666">
        <f t="shared" si="178"/>
        <v>100</v>
      </c>
      <c r="G1283" s="1689">
        <v>4300</v>
      </c>
      <c r="H1283" s="1690">
        <v>4300</v>
      </c>
      <c r="I1283" s="1669">
        <f t="shared" si="184"/>
        <v>100</v>
      </c>
      <c r="J1283" s="1745"/>
      <c r="K1283" s="1690"/>
      <c r="L1283" s="1746"/>
      <c r="M1283" s="1690"/>
      <c r="N1283" s="1690"/>
      <c r="O1283" s="1747"/>
      <c r="P1283" s="1690"/>
      <c r="Q1283" s="1690"/>
      <c r="R1283" s="1754"/>
    </row>
    <row r="1284" spans="1:18" ht="48" hidden="1">
      <c r="A1284" s="1743">
        <v>4270</v>
      </c>
      <c r="B1284" s="1751" t="s">
        <v>524</v>
      </c>
      <c r="C1284" s="1689"/>
      <c r="D1284" s="893">
        <f t="shared" si="182"/>
        <v>0</v>
      </c>
      <c r="E1284" s="1690">
        <f aca="true" t="shared" si="185" ref="E1284:E1289">SUM(H1284+K1284+N1284+Q1284)</f>
        <v>0</v>
      </c>
      <c r="F1284" s="1666" t="e">
        <f t="shared" si="178"/>
        <v>#DIV/0!</v>
      </c>
      <c r="G1284" s="1689"/>
      <c r="H1284" s="893"/>
      <c r="I1284" s="1669" t="e">
        <f t="shared" si="184"/>
        <v>#DIV/0!</v>
      </c>
      <c r="J1284" s="1745"/>
      <c r="K1284" s="1690"/>
      <c r="L1284" s="1746"/>
      <c r="M1284" s="1690"/>
      <c r="N1284" s="1690"/>
      <c r="O1284" s="1747"/>
      <c r="P1284" s="1690"/>
      <c r="Q1284" s="1690"/>
      <c r="R1284" s="1754"/>
    </row>
    <row r="1285" spans="1:18" ht="48" hidden="1">
      <c r="A1285" s="1743">
        <v>6010</v>
      </c>
      <c r="B1285" s="1751" t="s">
        <v>525</v>
      </c>
      <c r="C1285" s="1689"/>
      <c r="D1285" s="893">
        <f t="shared" si="182"/>
        <v>0</v>
      </c>
      <c r="E1285" s="1690">
        <f t="shared" si="185"/>
        <v>0</v>
      </c>
      <c r="F1285" s="1666" t="e">
        <f t="shared" si="178"/>
        <v>#DIV/0!</v>
      </c>
      <c r="G1285" s="1689"/>
      <c r="H1285" s="893"/>
      <c r="I1285" s="1669" t="e">
        <f t="shared" si="184"/>
        <v>#DIV/0!</v>
      </c>
      <c r="J1285" s="1745"/>
      <c r="K1285" s="1690"/>
      <c r="L1285" s="1746"/>
      <c r="M1285" s="1690"/>
      <c r="N1285" s="1690"/>
      <c r="O1285" s="1747"/>
      <c r="P1285" s="1690"/>
      <c r="Q1285" s="1690"/>
      <c r="R1285" s="1754"/>
    </row>
    <row r="1286" spans="1:18" ht="24">
      <c r="A1286" s="1743">
        <v>6050</v>
      </c>
      <c r="B1286" s="1751" t="s">
        <v>194</v>
      </c>
      <c r="C1286" s="1689">
        <v>4500000</v>
      </c>
      <c r="D1286" s="893">
        <f t="shared" si="182"/>
        <v>6600000</v>
      </c>
      <c r="E1286" s="1690">
        <f t="shared" si="185"/>
        <v>2176614</v>
      </c>
      <c r="F1286" s="1666">
        <f t="shared" si="178"/>
        <v>32.979</v>
      </c>
      <c r="G1286" s="1689">
        <f>SUM(G1287:G1289)</f>
        <v>6600000</v>
      </c>
      <c r="H1286" s="1690">
        <f>SUM(H1287:H1289)</f>
        <v>2176614</v>
      </c>
      <c r="I1286" s="1669">
        <f t="shared" si="184"/>
        <v>32.979</v>
      </c>
      <c r="J1286" s="1745"/>
      <c r="K1286" s="1690"/>
      <c r="L1286" s="1746"/>
      <c r="M1286" s="1690"/>
      <c r="N1286" s="1690"/>
      <c r="O1286" s="1747"/>
      <c r="P1286" s="1690"/>
      <c r="Q1286" s="1690"/>
      <c r="R1286" s="1754"/>
    </row>
    <row r="1287" spans="1:18" s="1585" customFormat="1" ht="12">
      <c r="A1287" s="1805"/>
      <c r="B1287" s="1904" t="s">
        <v>526</v>
      </c>
      <c r="C1287" s="1905">
        <v>1000000</v>
      </c>
      <c r="D1287" s="1906">
        <f t="shared" si="182"/>
        <v>1000000</v>
      </c>
      <c r="E1287" s="1906">
        <f t="shared" si="185"/>
        <v>238401</v>
      </c>
      <c r="F1287" s="1666">
        <f t="shared" si="178"/>
        <v>23.8401</v>
      </c>
      <c r="G1287" s="1905">
        <v>1000000</v>
      </c>
      <c r="H1287" s="1907">
        <v>238401</v>
      </c>
      <c r="I1287" s="1669">
        <f t="shared" si="184"/>
        <v>23.8401</v>
      </c>
      <c r="J1287" s="1908"/>
      <c r="K1287" s="1907"/>
      <c r="L1287" s="1809"/>
      <c r="M1287" s="1907"/>
      <c r="N1287" s="1907"/>
      <c r="O1287" s="1809"/>
      <c r="P1287" s="1907"/>
      <c r="Q1287" s="1907"/>
      <c r="R1287" s="1909"/>
    </row>
    <row r="1288" spans="1:18" s="1585" customFormat="1" ht="12">
      <c r="A1288" s="1805"/>
      <c r="B1288" s="1904" t="s">
        <v>527</v>
      </c>
      <c r="C1288" s="1905"/>
      <c r="D1288" s="1906">
        <f t="shared" si="182"/>
        <v>100000</v>
      </c>
      <c r="E1288" s="1906">
        <f t="shared" si="185"/>
        <v>0</v>
      </c>
      <c r="F1288" s="1666">
        <f t="shared" si="178"/>
        <v>0</v>
      </c>
      <c r="G1288" s="1905">
        <v>100000</v>
      </c>
      <c r="H1288" s="1907"/>
      <c r="I1288" s="1669">
        <f t="shared" si="184"/>
        <v>0</v>
      </c>
      <c r="J1288" s="1908"/>
      <c r="K1288" s="1907"/>
      <c r="L1288" s="1809"/>
      <c r="M1288" s="1907"/>
      <c r="N1288" s="1907"/>
      <c r="O1288" s="1809"/>
      <c r="P1288" s="1907"/>
      <c r="Q1288" s="1907"/>
      <c r="R1288" s="1909"/>
    </row>
    <row r="1289" spans="1:18" s="1585" customFormat="1" ht="12">
      <c r="A1289" s="1805"/>
      <c r="B1289" s="1904" t="s">
        <v>528</v>
      </c>
      <c r="C1289" s="1905">
        <v>3500000</v>
      </c>
      <c r="D1289" s="1906">
        <f t="shared" si="182"/>
        <v>5500000</v>
      </c>
      <c r="E1289" s="1906">
        <f t="shared" si="185"/>
        <v>1938213</v>
      </c>
      <c r="F1289" s="1666">
        <f t="shared" si="178"/>
        <v>35.24023636363636</v>
      </c>
      <c r="G1289" s="1905">
        <f>3500000+2000000</f>
        <v>5500000</v>
      </c>
      <c r="H1289" s="1907">
        <v>1938213</v>
      </c>
      <c r="I1289" s="1669">
        <f t="shared" si="184"/>
        <v>35.24023636363636</v>
      </c>
      <c r="J1289" s="1908"/>
      <c r="K1289" s="1907"/>
      <c r="L1289" s="1809"/>
      <c r="M1289" s="1907"/>
      <c r="N1289" s="1907"/>
      <c r="O1289" s="1809"/>
      <c r="P1289" s="1907"/>
      <c r="Q1289" s="1907"/>
      <c r="R1289" s="1909"/>
    </row>
    <row r="1290" spans="1:18" ht="36" hidden="1">
      <c r="A1290" s="1743">
        <v>6060</v>
      </c>
      <c r="B1290" s="1751" t="s">
        <v>293</v>
      </c>
      <c r="C1290" s="1689"/>
      <c r="D1290" s="893">
        <f t="shared" si="182"/>
        <v>0</v>
      </c>
      <c r="E1290" s="893">
        <f t="shared" si="182"/>
        <v>0</v>
      </c>
      <c r="F1290" s="1666"/>
      <c r="G1290" s="1689">
        <v>0</v>
      </c>
      <c r="H1290" s="1690">
        <v>0</v>
      </c>
      <c r="I1290" s="1669"/>
      <c r="J1290" s="1745"/>
      <c r="K1290" s="1690"/>
      <c r="L1290" s="1746"/>
      <c r="M1290" s="1690"/>
      <c r="N1290" s="1690"/>
      <c r="O1290" s="1747"/>
      <c r="P1290" s="1690"/>
      <c r="Q1290" s="1690"/>
      <c r="R1290" s="1754"/>
    </row>
    <row r="1291" spans="1:18" s="1735" customFormat="1" ht="36">
      <c r="A1291" s="1736">
        <v>92605</v>
      </c>
      <c r="B1291" s="1835" t="s">
        <v>868</v>
      </c>
      <c r="C1291" s="1738">
        <f>SUM(C1292:C1292)</f>
        <v>3484000</v>
      </c>
      <c r="D1291" s="908">
        <f t="shared" si="182"/>
        <v>3484000</v>
      </c>
      <c r="E1291" s="1680">
        <f>H1291+K1291+Q1291+N1291</f>
        <v>2033709</v>
      </c>
      <c r="F1291" s="1681">
        <f>E1291/D1291*100</f>
        <v>58.37281859931114</v>
      </c>
      <c r="G1291" s="1738">
        <f>SUM(G1292:G1292)</f>
        <v>3484000</v>
      </c>
      <c r="H1291" s="1680">
        <f>SUM(H1292:H1293)</f>
        <v>2033709</v>
      </c>
      <c r="I1291" s="1776">
        <f>H1291/G1291*100</f>
        <v>58.37281859931114</v>
      </c>
      <c r="J1291" s="1740"/>
      <c r="K1291" s="1680"/>
      <c r="L1291" s="1741"/>
      <c r="M1291" s="1680"/>
      <c r="N1291" s="1680"/>
      <c r="O1291" s="1742"/>
      <c r="P1291" s="1680"/>
      <c r="Q1291" s="1680"/>
      <c r="R1291" s="1782"/>
    </row>
    <row r="1292" spans="1:18" ht="60" customHeight="1">
      <c r="A1292" s="1743">
        <v>2820</v>
      </c>
      <c r="B1292" s="1751" t="s">
        <v>853</v>
      </c>
      <c r="C1292" s="1689">
        <v>3484000</v>
      </c>
      <c r="D1292" s="893">
        <f t="shared" si="182"/>
        <v>3484000</v>
      </c>
      <c r="E1292" s="1690">
        <f aca="true" t="shared" si="186" ref="E1292:E1305">SUM(H1292+K1292+N1292+Q1292)</f>
        <v>2033709</v>
      </c>
      <c r="F1292" s="1666">
        <f>E1292/D1292*100</f>
        <v>58.37281859931114</v>
      </c>
      <c r="G1292" s="1689">
        <v>3484000</v>
      </c>
      <c r="H1292" s="1690">
        <v>2033709</v>
      </c>
      <c r="I1292" s="1710">
        <f>H1292/G1292*100</f>
        <v>58.37281859931114</v>
      </c>
      <c r="J1292" s="1745"/>
      <c r="K1292" s="1690"/>
      <c r="L1292" s="1746"/>
      <c r="M1292" s="1690"/>
      <c r="N1292" s="1690"/>
      <c r="O1292" s="1747"/>
      <c r="P1292" s="1690"/>
      <c r="Q1292" s="1690"/>
      <c r="R1292" s="1754"/>
    </row>
    <row r="1293" spans="1:18" ht="24">
      <c r="A1293" s="1743">
        <v>4210</v>
      </c>
      <c r="B1293" s="1751" t="s">
        <v>114</v>
      </c>
      <c r="C1293" s="1689"/>
      <c r="D1293" s="893"/>
      <c r="E1293" s="1690">
        <f t="shared" si="186"/>
        <v>0</v>
      </c>
      <c r="F1293" s="1666"/>
      <c r="G1293" s="1689"/>
      <c r="H1293" s="1690"/>
      <c r="I1293" s="1739"/>
      <c r="J1293" s="1745"/>
      <c r="K1293" s="1690"/>
      <c r="L1293" s="1746"/>
      <c r="M1293" s="1690"/>
      <c r="N1293" s="1690"/>
      <c r="O1293" s="1747"/>
      <c r="P1293" s="1690"/>
      <c r="Q1293" s="1690"/>
      <c r="R1293" s="1754"/>
    </row>
    <row r="1294" spans="1:18" ht="15.75" customHeight="1">
      <c r="A1294" s="1736">
        <v>92695</v>
      </c>
      <c r="B1294" s="1835" t="s">
        <v>529</v>
      </c>
      <c r="C1294" s="1738">
        <f>SUM(C1296:C1305)</f>
        <v>449720</v>
      </c>
      <c r="D1294" s="908">
        <f t="shared" si="182"/>
        <v>478260</v>
      </c>
      <c r="E1294" s="1680">
        <f>H1294+K1294+Q1294+N1294</f>
        <v>200974</v>
      </c>
      <c r="F1294" s="1681">
        <f>E1294/D1294*100</f>
        <v>42.021912767114124</v>
      </c>
      <c r="G1294" s="1738">
        <f>SUM(G1295:G1305)</f>
        <v>478260</v>
      </c>
      <c r="H1294" s="1680">
        <f>SUM(H1295:H1305)</f>
        <v>200974</v>
      </c>
      <c r="I1294" s="1776">
        <f>H1294/G1294*100</f>
        <v>42.021912767114124</v>
      </c>
      <c r="J1294" s="1740"/>
      <c r="K1294" s="1680"/>
      <c r="L1294" s="1741"/>
      <c r="M1294" s="1680"/>
      <c r="N1294" s="1680"/>
      <c r="O1294" s="1742"/>
      <c r="P1294" s="1680"/>
      <c r="Q1294" s="1680"/>
      <c r="R1294" s="1782"/>
    </row>
    <row r="1295" spans="1:18" s="1586" customFormat="1" ht="29.25" customHeight="1" hidden="1">
      <c r="A1295" s="1818">
        <v>3240</v>
      </c>
      <c r="B1295" s="1751" t="s">
        <v>530</v>
      </c>
      <c r="C1295" s="895"/>
      <c r="D1295" s="932"/>
      <c r="E1295" s="932"/>
      <c r="F1295" s="1666"/>
      <c r="G1295" s="895"/>
      <c r="H1295" s="893"/>
      <c r="I1295" s="1669"/>
      <c r="J1295" s="1820"/>
      <c r="K1295" s="893"/>
      <c r="L1295" s="1746"/>
      <c r="M1295" s="893"/>
      <c r="N1295" s="893"/>
      <c r="O1295" s="1821"/>
      <c r="P1295" s="893"/>
      <c r="Q1295" s="893"/>
      <c r="R1295" s="897"/>
    </row>
    <row r="1296" spans="1:18" ht="24">
      <c r="A1296" s="1743">
        <v>3020</v>
      </c>
      <c r="B1296" s="1751" t="s">
        <v>332</v>
      </c>
      <c r="C1296" s="1689">
        <v>35000</v>
      </c>
      <c r="D1296" s="893">
        <f aca="true" t="shared" si="187" ref="D1296:D1305">G1296+J1296+P1296+M1296</f>
        <v>0</v>
      </c>
      <c r="E1296" s="1690">
        <f t="shared" si="186"/>
        <v>0</v>
      </c>
      <c r="F1296" s="1666"/>
      <c r="G1296" s="1689"/>
      <c r="H1296" s="1690"/>
      <c r="I1296" s="1669"/>
      <c r="J1296" s="1745"/>
      <c r="K1296" s="1690"/>
      <c r="L1296" s="1746"/>
      <c r="M1296" s="1690"/>
      <c r="N1296" s="1690"/>
      <c r="O1296" s="1747"/>
      <c r="P1296" s="1690"/>
      <c r="Q1296" s="1690"/>
      <c r="R1296" s="1754"/>
    </row>
    <row r="1297" spans="1:18" ht="36">
      <c r="A1297" s="1743">
        <v>3040</v>
      </c>
      <c r="B1297" s="1751" t="s">
        <v>372</v>
      </c>
      <c r="C1297" s="1689"/>
      <c r="D1297" s="893">
        <f t="shared" si="187"/>
        <v>35000</v>
      </c>
      <c r="E1297" s="1690">
        <f t="shared" si="186"/>
        <v>0</v>
      </c>
      <c r="F1297" s="1666">
        <f aca="true" t="shared" si="188" ref="F1297:F1309">E1297/D1297*100</f>
        <v>0</v>
      </c>
      <c r="G1297" s="1689">
        <v>35000</v>
      </c>
      <c r="H1297" s="1690"/>
      <c r="I1297" s="1669">
        <f aca="true" t="shared" si="189" ref="I1297:I1304">H1297/G1297*100</f>
        <v>0</v>
      </c>
      <c r="J1297" s="1745"/>
      <c r="K1297" s="1690"/>
      <c r="L1297" s="1746"/>
      <c r="M1297" s="1690"/>
      <c r="N1297" s="1690"/>
      <c r="O1297" s="1747"/>
      <c r="P1297" s="1690"/>
      <c r="Q1297" s="1690"/>
      <c r="R1297" s="1754"/>
    </row>
    <row r="1298" spans="1:18" ht="24">
      <c r="A1298" s="1743">
        <v>4210</v>
      </c>
      <c r="B1298" s="1751" t="s">
        <v>271</v>
      </c>
      <c r="C1298" s="1689">
        <v>25000</v>
      </c>
      <c r="D1298" s="893">
        <f t="shared" si="187"/>
        <v>25000</v>
      </c>
      <c r="E1298" s="1690">
        <f t="shared" si="186"/>
        <v>8799</v>
      </c>
      <c r="F1298" s="1666">
        <f t="shared" si="188"/>
        <v>35.196</v>
      </c>
      <c r="G1298" s="1689">
        <v>25000</v>
      </c>
      <c r="H1298" s="1690">
        <v>8799</v>
      </c>
      <c r="I1298" s="1669">
        <f t="shared" si="189"/>
        <v>35.196</v>
      </c>
      <c r="J1298" s="1745"/>
      <c r="K1298" s="1690"/>
      <c r="L1298" s="1746"/>
      <c r="M1298" s="1690"/>
      <c r="N1298" s="1690"/>
      <c r="O1298" s="1747"/>
      <c r="P1298" s="1690"/>
      <c r="Q1298" s="1690"/>
      <c r="R1298" s="1754"/>
    </row>
    <row r="1299" spans="1:18" ht="24">
      <c r="A1299" s="1743">
        <v>4210</v>
      </c>
      <c r="B1299" s="1751" t="s">
        <v>531</v>
      </c>
      <c r="C1299" s="1689"/>
      <c r="D1299" s="893">
        <f t="shared" si="187"/>
        <v>6480</v>
      </c>
      <c r="E1299" s="1690">
        <f t="shared" si="186"/>
        <v>6480</v>
      </c>
      <c r="F1299" s="1666">
        <f t="shared" si="188"/>
        <v>100</v>
      </c>
      <c r="G1299" s="1689">
        <v>6480</v>
      </c>
      <c r="H1299" s="1690">
        <v>6480</v>
      </c>
      <c r="I1299" s="1669">
        <f t="shared" si="189"/>
        <v>100</v>
      </c>
      <c r="J1299" s="1745"/>
      <c r="K1299" s="1690"/>
      <c r="L1299" s="1746"/>
      <c r="M1299" s="1690"/>
      <c r="N1299" s="1690"/>
      <c r="O1299" s="1747"/>
      <c r="P1299" s="1690"/>
      <c r="Q1299" s="1690"/>
      <c r="R1299" s="1754"/>
    </row>
    <row r="1300" spans="1:18" ht="24">
      <c r="A1300" s="1743">
        <v>4210</v>
      </c>
      <c r="B1300" s="1751" t="s">
        <v>532</v>
      </c>
      <c r="C1300" s="1689">
        <v>16620</v>
      </c>
      <c r="D1300" s="893">
        <f t="shared" si="187"/>
        <v>17080</v>
      </c>
      <c r="E1300" s="1690">
        <f t="shared" si="186"/>
        <v>5070</v>
      </c>
      <c r="F1300" s="1666">
        <f t="shared" si="188"/>
        <v>29.683840749414518</v>
      </c>
      <c r="G1300" s="1689">
        <f>16620+100+20+400-60</f>
        <v>17080</v>
      </c>
      <c r="H1300" s="1690">
        <v>5070</v>
      </c>
      <c r="I1300" s="1669">
        <f t="shared" si="189"/>
        <v>29.683840749414518</v>
      </c>
      <c r="J1300" s="1745"/>
      <c r="K1300" s="1690"/>
      <c r="L1300" s="1746"/>
      <c r="M1300" s="1690"/>
      <c r="N1300" s="1690"/>
      <c r="O1300" s="1747"/>
      <c r="P1300" s="1690"/>
      <c r="Q1300" s="1690"/>
      <c r="R1300" s="1754"/>
    </row>
    <row r="1301" spans="1:18" ht="31.5" customHeight="1">
      <c r="A1301" s="1743">
        <v>4280</v>
      </c>
      <c r="B1301" s="1751" t="s">
        <v>533</v>
      </c>
      <c r="C1301" s="1689">
        <v>7000</v>
      </c>
      <c r="D1301" s="893">
        <f t="shared" si="187"/>
        <v>7000</v>
      </c>
      <c r="E1301" s="1690">
        <f t="shared" si="186"/>
        <v>1760</v>
      </c>
      <c r="F1301" s="1666">
        <f t="shared" si="188"/>
        <v>25.142857142857146</v>
      </c>
      <c r="G1301" s="1689">
        <v>7000</v>
      </c>
      <c r="H1301" s="1690">
        <v>1760</v>
      </c>
      <c r="I1301" s="1669">
        <f t="shared" si="189"/>
        <v>25.142857142857146</v>
      </c>
      <c r="J1301" s="1745"/>
      <c r="K1301" s="1690"/>
      <c r="L1301" s="1746"/>
      <c r="M1301" s="1690"/>
      <c r="N1301" s="1690"/>
      <c r="O1301" s="1747"/>
      <c r="P1301" s="1690"/>
      <c r="Q1301" s="1690"/>
      <c r="R1301" s="1754"/>
    </row>
    <row r="1302" spans="1:18" ht="24" customHeight="1">
      <c r="A1302" s="1743">
        <v>4430</v>
      </c>
      <c r="B1302" s="1751" t="s">
        <v>534</v>
      </c>
      <c r="C1302" s="1689"/>
      <c r="D1302" s="893">
        <f t="shared" si="187"/>
        <v>60</v>
      </c>
      <c r="E1302" s="1690">
        <f t="shared" si="186"/>
        <v>30</v>
      </c>
      <c r="F1302" s="1666">
        <f t="shared" si="188"/>
        <v>50</v>
      </c>
      <c r="G1302" s="1689">
        <v>60</v>
      </c>
      <c r="H1302" s="1690">
        <v>30</v>
      </c>
      <c r="I1302" s="1669">
        <f t="shared" si="189"/>
        <v>50</v>
      </c>
      <c r="J1302" s="1745"/>
      <c r="K1302" s="1690"/>
      <c r="L1302" s="1746"/>
      <c r="M1302" s="1690"/>
      <c r="N1302" s="1690"/>
      <c r="O1302" s="1747"/>
      <c r="P1302" s="1690"/>
      <c r="Q1302" s="1690"/>
      <c r="R1302" s="1754"/>
    </row>
    <row r="1303" spans="1:18" ht="12.75">
      <c r="A1303" s="1743">
        <v>4300</v>
      </c>
      <c r="B1303" s="1751" t="s">
        <v>122</v>
      </c>
      <c r="C1303" s="1689">
        <v>360500</v>
      </c>
      <c r="D1303" s="893">
        <f t="shared" si="187"/>
        <v>360500</v>
      </c>
      <c r="E1303" s="1690">
        <f t="shared" si="186"/>
        <v>155746</v>
      </c>
      <c r="F1303" s="1666">
        <f t="shared" si="188"/>
        <v>43.20277392510402</v>
      </c>
      <c r="G1303" s="1689">
        <v>360500</v>
      </c>
      <c r="H1303" s="1690">
        <v>155746</v>
      </c>
      <c r="I1303" s="1669">
        <f t="shared" si="189"/>
        <v>43.20277392510402</v>
      </c>
      <c r="J1303" s="1745"/>
      <c r="K1303" s="1690"/>
      <c r="L1303" s="1746"/>
      <c r="M1303" s="1690"/>
      <c r="N1303" s="1690"/>
      <c r="O1303" s="1747"/>
      <c r="P1303" s="1690"/>
      <c r="Q1303" s="1690"/>
      <c r="R1303" s="1754"/>
    </row>
    <row r="1304" spans="1:18" ht="24">
      <c r="A1304" s="1743">
        <v>4300</v>
      </c>
      <c r="B1304" s="1751" t="s">
        <v>535</v>
      </c>
      <c r="C1304" s="1689"/>
      <c r="D1304" s="893">
        <f t="shared" si="187"/>
        <v>21960</v>
      </c>
      <c r="E1304" s="1690">
        <f t="shared" si="186"/>
        <v>21960</v>
      </c>
      <c r="F1304" s="1666">
        <f t="shared" si="188"/>
        <v>100</v>
      </c>
      <c r="G1304" s="1689">
        <v>21960</v>
      </c>
      <c r="H1304" s="1690">
        <v>21960</v>
      </c>
      <c r="I1304" s="1669">
        <f t="shared" si="189"/>
        <v>100</v>
      </c>
      <c r="J1304" s="1745"/>
      <c r="K1304" s="1690"/>
      <c r="L1304" s="1746"/>
      <c r="M1304" s="1690"/>
      <c r="N1304" s="1690"/>
      <c r="O1304" s="1747"/>
      <c r="P1304" s="1690"/>
      <c r="Q1304" s="1690"/>
      <c r="R1304" s="1754"/>
    </row>
    <row r="1305" spans="1:18" ht="24" customHeight="1" thickBot="1">
      <c r="A1305" s="1743">
        <v>4300</v>
      </c>
      <c r="B1305" s="1751" t="s">
        <v>536</v>
      </c>
      <c r="C1305" s="1689">
        <v>5600</v>
      </c>
      <c r="D1305" s="893">
        <f t="shared" si="187"/>
        <v>5180</v>
      </c>
      <c r="E1305" s="1690">
        <f t="shared" si="186"/>
        <v>1129</v>
      </c>
      <c r="F1305" s="1666">
        <f t="shared" si="188"/>
        <v>21.795366795366792</v>
      </c>
      <c r="G1305" s="1689">
        <f>5600-20-400</f>
        <v>5180</v>
      </c>
      <c r="H1305" s="1749">
        <v>1129</v>
      </c>
      <c r="I1305" s="1669">
        <f>H1305/G1305*100</f>
        <v>21.795366795366792</v>
      </c>
      <c r="J1305" s="1788"/>
      <c r="K1305" s="1690"/>
      <c r="L1305" s="1746"/>
      <c r="M1305" s="1749"/>
      <c r="N1305" s="1749"/>
      <c r="O1305" s="1944"/>
      <c r="P1305" s="1749"/>
      <c r="Q1305" s="1749"/>
      <c r="R1305" s="1750"/>
    </row>
    <row r="1306" spans="1:18" s="898" customFormat="1" ht="15" customHeight="1" thickTop="1">
      <c r="A1306" s="2087"/>
      <c r="B1306" s="2088" t="s">
        <v>582</v>
      </c>
      <c r="C1306" s="901">
        <f>C8+C31+C40+C34+C145+C1135+C116+C426+C710+C1202+C718+C767+C1280+C111+C172+C305+C332+C417+C420+C977+C405+C961+C326</f>
        <v>272216724</v>
      </c>
      <c r="D1306" s="906">
        <f>G1306+J1306+P1306+M1306</f>
        <v>292002592</v>
      </c>
      <c r="E1306" s="906">
        <f>E8+E31+E40+E34+E145+E1135+E116+E426+E710+E1202+E718+E767+E1280+E111+E172+E305+E332+E417+E420+E977+E405+E961+E326</f>
        <v>116354632</v>
      </c>
      <c r="F1306" s="1873">
        <f t="shared" si="188"/>
        <v>39.84712300088076</v>
      </c>
      <c r="G1306" s="901">
        <f>G8+G31+G40+G34+G145+G1135+G116+G426+G710+G1202+G718+G767+G1280+G111+G172+G305+G332+G417+G420+G977+G961+G405+G326</f>
        <v>159591374</v>
      </c>
      <c r="H1306" s="906">
        <f>H8+H31+H40+H34+H145+H1135+H116+H426+H710+H1202+H718+H767+H1280+H111+H172+H305+H332+H417+H420+H977+H405+H961+H326</f>
        <v>67138717</v>
      </c>
      <c r="I1306" s="1928">
        <f>H1306/G1306*100</f>
        <v>42.069139025020235</v>
      </c>
      <c r="J1306" s="942">
        <f>J8+J31+J40+J34+J145+J1135+J116+J426+J710+J1202+J718+J767+J1280+J111+J172+J305+J332+J417+J420+J977+J961+J405+J326</f>
        <v>20907996</v>
      </c>
      <c r="K1306" s="906">
        <f>K8+K31+K40+K34+K145+K1135+K116+K426+K710+K1202+K718+K767+K1280+K111+K172+K305+K332+K417+K420+K977+K961+K405+K326</f>
        <v>10223182</v>
      </c>
      <c r="L1306" s="1928">
        <f>K1306/J1306*100</f>
        <v>48.896039582177075</v>
      </c>
      <c r="M1306" s="901">
        <f>M8+M31+M40+M34+M145+M1135+M116+M426+M710+M1202+M718+M767+M1280+M111+M172+M305+M332+M417+M420+M977+M961+M405+M326</f>
        <v>105803522</v>
      </c>
      <c r="N1306" s="2089">
        <f>N8+N31+N40+N34+N145+N1135+N116+N426+N710+N1202+N718+N767+N1280+N111+N172+N305+N332+N417+N420+N977+N405+N961+N326</f>
        <v>36165965</v>
      </c>
      <c r="O1306" s="888">
        <f>N1306/M1306*100</f>
        <v>34.182193859293264</v>
      </c>
      <c r="P1306" s="1874">
        <f>P8+P31+P40+P34+P145+P1135+P116+P426+P710+P1202+P718+P767+P1280+P111+P172+P305+P332+P417+P420+P977+P961+P405+P326</f>
        <v>5699700</v>
      </c>
      <c r="Q1306" s="906">
        <f>Q8+Q31+Q40+Q34+Q145+Q1135+Q116+Q426+Q710+Q1202+Q718+Q767+Q1280+Q111+Q172+Q305+Q332+Q417+Q420+Q977+Q961+Q405+Q326</f>
        <v>2826768</v>
      </c>
      <c r="R1306" s="1876">
        <f>Q1306/P1306*100</f>
        <v>49.59503131743776</v>
      </c>
    </row>
    <row r="1307" spans="1:18" s="935" customFormat="1" ht="18" customHeight="1">
      <c r="A1307" s="2090"/>
      <c r="B1307" s="2091" t="s">
        <v>597</v>
      </c>
      <c r="C1307" s="1894">
        <v>246845928</v>
      </c>
      <c r="D1307" s="1895">
        <f>G1307+M1307</f>
        <v>265004796</v>
      </c>
      <c r="E1307" s="1895">
        <f>H1307+N1307</f>
        <v>103274399</v>
      </c>
      <c r="F1307" s="1666">
        <f t="shared" si="188"/>
        <v>38.970766023419436</v>
      </c>
      <c r="G1307" s="1894">
        <v>159559774</v>
      </c>
      <c r="H1307" s="1895">
        <v>67121920</v>
      </c>
      <c r="I1307" s="1669">
        <f>H1307/G1307*100</f>
        <v>42.06694351422182</v>
      </c>
      <c r="J1307" s="2092"/>
      <c r="K1307" s="1895"/>
      <c r="L1307" s="2093"/>
      <c r="M1307" s="1894">
        <v>105445022</v>
      </c>
      <c r="N1307" s="1895">
        <v>36152479</v>
      </c>
      <c r="O1307" s="1669">
        <f>N1307/M1307*100</f>
        <v>34.285619476659605</v>
      </c>
      <c r="P1307" s="1896"/>
      <c r="Q1307" s="1895"/>
      <c r="R1307" s="2051"/>
    </row>
    <row r="1308" spans="1:18" s="935" customFormat="1" ht="18" customHeight="1">
      <c r="A1308" s="2090"/>
      <c r="B1308" s="2091" t="s">
        <v>598</v>
      </c>
      <c r="C1308" s="1894">
        <v>25345696</v>
      </c>
      <c r="D1308" s="1895">
        <f>J1308+P1308</f>
        <v>26607696</v>
      </c>
      <c r="E1308" s="1895">
        <f>K1308+Q1308</f>
        <v>13049950</v>
      </c>
      <c r="F1308" s="1666">
        <f t="shared" si="188"/>
        <v>49.045772320910466</v>
      </c>
      <c r="G1308" s="1894"/>
      <c r="H1308" s="1895"/>
      <c r="I1308" s="2093"/>
      <c r="J1308" s="1894">
        <v>20907996</v>
      </c>
      <c r="K1308" s="1895">
        <v>10223182</v>
      </c>
      <c r="L1308" s="1669"/>
      <c r="M1308" s="1894"/>
      <c r="N1308" s="2094"/>
      <c r="O1308" s="907"/>
      <c r="P1308" s="1896">
        <v>5699700</v>
      </c>
      <c r="Q1308" s="1895">
        <v>2826768</v>
      </c>
      <c r="R1308" s="2051"/>
    </row>
    <row r="1309" spans="1:18" s="2106" customFormat="1" ht="14.25" thickBot="1">
      <c r="A1309" s="2095"/>
      <c r="B1309" s="2096" t="s">
        <v>537</v>
      </c>
      <c r="C1309" s="2097">
        <v>25100</v>
      </c>
      <c r="D1309" s="2098">
        <f>G1309+M1309</f>
        <v>390100</v>
      </c>
      <c r="E1309" s="2099">
        <f>H1309+N1309</f>
        <v>25283</v>
      </c>
      <c r="F1309" s="2100">
        <f t="shared" si="188"/>
        <v>6.48115867726224</v>
      </c>
      <c r="G1309" s="2097">
        <f>16600+15000</f>
        <v>31600</v>
      </c>
      <c r="H1309" s="2099">
        <v>16797</v>
      </c>
      <c r="I1309" s="2101">
        <f>H1309/G1309*100</f>
        <v>53.155063291139236</v>
      </c>
      <c r="J1309" s="2097"/>
      <c r="K1309" s="2099"/>
      <c r="L1309" s="2102"/>
      <c r="M1309" s="2097">
        <v>358500</v>
      </c>
      <c r="N1309" s="2099">
        <v>8486</v>
      </c>
      <c r="O1309" s="2103">
        <f>N1309/M1309*100</f>
        <v>2.3670850767085074</v>
      </c>
      <c r="P1309" s="2104"/>
      <c r="Q1309" s="2099"/>
      <c r="R1309" s="2105"/>
    </row>
    <row r="1310" spans="13:14" ht="13.5" thickTop="1">
      <c r="M1310" s="2107"/>
      <c r="N1310" s="2107"/>
    </row>
  </sheetData>
  <printOptions horizontalCentered="1"/>
  <pageMargins left="0" right="0" top="0.7874015748031497" bottom="0.3937007874015748" header="0.5118110236220472" footer="0.5118110236220472"/>
  <pageSetup firstPageNumber="89" useFirstPageNumber="1" horizontalDpi="600" verticalDpi="600" orientation="landscape" paperSize="9" scale="85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:IV16384"/>
    </sheetView>
  </sheetViews>
  <sheetFormatPr defaultColWidth="9.00390625" defaultRowHeight="12.75"/>
  <cols>
    <col min="1" max="1" width="2.625" style="79" customWidth="1"/>
    <col min="2" max="2" width="28.875" style="79" customWidth="1"/>
    <col min="3" max="3" width="10.25390625" style="674" customWidth="1"/>
    <col min="4" max="4" width="9.25390625" style="674" customWidth="1"/>
    <col min="5" max="6" width="9.375" style="538" customWidth="1"/>
    <col min="7" max="7" width="5.00390625" style="80" customWidth="1"/>
    <col min="8" max="8" width="4.75390625" style="81" customWidth="1"/>
    <col min="9" max="9" width="9.875" style="79" customWidth="1"/>
    <col min="10" max="10" width="10.125" style="79" customWidth="1"/>
    <col min="11" max="11" width="9.25390625" style="79" customWidth="1"/>
    <col min="12" max="12" width="5.25390625" style="81" customWidth="1"/>
    <col min="13" max="13" width="8.375" style="79" customWidth="1"/>
    <col min="14" max="15" width="8.875" style="79" customWidth="1"/>
    <col min="16" max="16" width="4.75390625" style="81" customWidth="1"/>
    <col min="17" max="17" width="10.00390625" style="82" customWidth="1"/>
    <col min="18" max="16384" width="10.00390625" style="79" customWidth="1"/>
  </cols>
  <sheetData>
    <row r="1" spans="1:15" ht="18.75" customHeight="1">
      <c r="A1" s="475"/>
      <c r="B1" s="535"/>
      <c r="C1" s="536"/>
      <c r="D1" s="536"/>
      <c r="E1" s="537"/>
      <c r="I1" s="78"/>
      <c r="J1" s="78"/>
      <c r="M1" s="78"/>
      <c r="N1" s="78"/>
      <c r="O1" s="475"/>
    </row>
    <row r="2" spans="1:14" ht="11.25" customHeight="1" hidden="1">
      <c r="A2" s="78"/>
      <c r="B2" s="78"/>
      <c r="C2" s="536"/>
      <c r="D2" s="536"/>
      <c r="E2" s="537"/>
      <c r="I2" s="78"/>
      <c r="J2" s="78"/>
      <c r="M2" s="78"/>
      <c r="N2" s="78"/>
    </row>
    <row r="3" spans="1:17" s="549" customFormat="1" ht="32.25" customHeight="1">
      <c r="A3" s="539" t="s">
        <v>676</v>
      </c>
      <c r="B3" s="539"/>
      <c r="C3" s="540"/>
      <c r="D3" s="540"/>
      <c r="E3" s="541"/>
      <c r="F3" s="542"/>
      <c r="G3" s="543"/>
      <c r="H3" s="544"/>
      <c r="I3" s="539"/>
      <c r="J3" s="539"/>
      <c r="K3" s="545"/>
      <c r="L3" s="544"/>
      <c r="M3" s="539"/>
      <c r="N3" s="546" t="s">
        <v>647</v>
      </c>
      <c r="O3" s="546"/>
      <c r="P3" s="547"/>
      <c r="Q3" s="548"/>
    </row>
    <row r="4" spans="1:16" ht="17.25" customHeight="1" thickBot="1">
      <c r="A4" s="475"/>
      <c r="B4" s="92"/>
      <c r="C4" s="550"/>
      <c r="D4" s="550"/>
      <c r="E4" s="551"/>
      <c r="F4" s="551"/>
      <c r="G4" s="95"/>
      <c r="H4" s="96"/>
      <c r="I4" s="94"/>
      <c r="J4" s="94"/>
      <c r="K4" s="94"/>
      <c r="L4" s="99"/>
      <c r="M4" s="93"/>
      <c r="N4" s="93"/>
      <c r="O4" s="552" t="s">
        <v>677</v>
      </c>
      <c r="P4" s="553"/>
    </row>
    <row r="5" spans="1:16" s="82" customFormat="1" ht="25.5" customHeight="1" thickBot="1" thickTop="1">
      <c r="A5" s="554"/>
      <c r="B5" s="555"/>
      <c r="C5" s="556" t="s">
        <v>582</v>
      </c>
      <c r="D5" s="557"/>
      <c r="E5" s="558"/>
      <c r="F5" s="559"/>
      <c r="G5" s="560"/>
      <c r="H5" s="561"/>
      <c r="I5" s="562" t="s">
        <v>583</v>
      </c>
      <c r="J5" s="562"/>
      <c r="K5" s="562"/>
      <c r="L5" s="563"/>
      <c r="M5" s="564" t="s">
        <v>584</v>
      </c>
      <c r="N5" s="562"/>
      <c r="O5" s="565"/>
      <c r="P5" s="566"/>
    </row>
    <row r="6" spans="1:16" s="82" customFormat="1" ht="35.25" customHeight="1" thickBot="1" thickTop="1">
      <c r="A6" s="567" t="s">
        <v>543</v>
      </c>
      <c r="B6" s="568" t="s">
        <v>586</v>
      </c>
      <c r="C6" s="569" t="s">
        <v>678</v>
      </c>
      <c r="D6" s="570" t="s">
        <v>679</v>
      </c>
      <c r="E6" s="571" t="s">
        <v>680</v>
      </c>
      <c r="F6" s="572" t="s">
        <v>681</v>
      </c>
      <c r="G6" s="573" t="s">
        <v>682</v>
      </c>
      <c r="H6" s="574" t="s">
        <v>683</v>
      </c>
      <c r="I6" s="571" t="s">
        <v>678</v>
      </c>
      <c r="J6" s="571" t="s">
        <v>680</v>
      </c>
      <c r="K6" s="572" t="s">
        <v>681</v>
      </c>
      <c r="L6" s="575" t="s">
        <v>682</v>
      </c>
      <c r="M6" s="576" t="s">
        <v>678</v>
      </c>
      <c r="N6" s="571" t="s">
        <v>680</v>
      </c>
      <c r="O6" s="572" t="s">
        <v>681</v>
      </c>
      <c r="P6" s="577" t="s">
        <v>682</v>
      </c>
    </row>
    <row r="7" spans="1:17" s="587" customFormat="1" ht="7.5" customHeight="1" thickBot="1" thickTop="1">
      <c r="A7" s="578">
        <v>1</v>
      </c>
      <c r="B7" s="579">
        <v>2</v>
      </c>
      <c r="C7" s="580">
        <v>3</v>
      </c>
      <c r="D7" s="581">
        <v>4</v>
      </c>
      <c r="E7" s="582">
        <v>5</v>
      </c>
      <c r="F7" s="582">
        <v>6</v>
      </c>
      <c r="G7" s="583">
        <v>7</v>
      </c>
      <c r="H7" s="579">
        <v>8</v>
      </c>
      <c r="I7" s="583">
        <v>9</v>
      </c>
      <c r="J7" s="583">
        <v>10</v>
      </c>
      <c r="K7" s="583">
        <v>11</v>
      </c>
      <c r="L7" s="579">
        <v>12</v>
      </c>
      <c r="M7" s="584">
        <v>13</v>
      </c>
      <c r="N7" s="583">
        <v>14</v>
      </c>
      <c r="O7" s="583">
        <v>15</v>
      </c>
      <c r="P7" s="585">
        <v>16</v>
      </c>
      <c r="Q7" s="586"/>
    </row>
    <row r="8" spans="1:17" s="598" customFormat="1" ht="24" customHeight="1" thickBot="1" thickTop="1">
      <c r="A8" s="588" t="s">
        <v>684</v>
      </c>
      <c r="B8" s="589" t="s">
        <v>685</v>
      </c>
      <c r="C8" s="590">
        <f>C9+C18+C23+C29+C32+C33</f>
        <v>155525276</v>
      </c>
      <c r="D8" s="591">
        <f>E8-C8</f>
        <v>7215019</v>
      </c>
      <c r="E8" s="592">
        <f aca="true" t="shared" si="0" ref="E8:F36">J8+N8</f>
        <v>162740295</v>
      </c>
      <c r="F8" s="592">
        <f t="shared" si="0"/>
        <v>63604727</v>
      </c>
      <c r="G8" s="593">
        <f aca="true" t="shared" si="1" ref="G8:G43">F8/E8*100</f>
        <v>39.08357607438281</v>
      </c>
      <c r="H8" s="594">
        <f>F8/F43*100</f>
        <v>51.44891999796517</v>
      </c>
      <c r="I8" s="590">
        <f>I9+I18+I23+I29+I32+I33</f>
        <v>121706162</v>
      </c>
      <c r="J8" s="591">
        <f>J9+J18+J23+J29+J32+J33</f>
        <v>123019714</v>
      </c>
      <c r="K8" s="595">
        <f>K9+K18+K23+K29+K32+K33</f>
        <v>53671389</v>
      </c>
      <c r="L8" s="594">
        <f aca="true" t="shared" si="2" ref="L8:L34">K8/J8*100</f>
        <v>43.62828302462157</v>
      </c>
      <c r="M8" s="590">
        <f>M9+M18+M23+M29+M32+M33</f>
        <v>33819114</v>
      </c>
      <c r="N8" s="591">
        <f>N9+N18+N23+N29+N32+N33</f>
        <v>39720581</v>
      </c>
      <c r="O8" s="595">
        <f>O9+O18+O23+O29+O32+O33</f>
        <v>9933338</v>
      </c>
      <c r="P8" s="596">
        <f>O8/N8*100</f>
        <v>25.008038024418628</v>
      </c>
      <c r="Q8" s="597"/>
    </row>
    <row r="9" spans="1:16" s="597" customFormat="1" ht="25.5" customHeight="1" thickBot="1" thickTop="1">
      <c r="A9" s="588" t="s">
        <v>686</v>
      </c>
      <c r="B9" s="599" t="s">
        <v>687</v>
      </c>
      <c r="C9" s="590">
        <f aca="true" t="shared" si="3" ref="C9:C39">I9+M9</f>
        <v>35739800</v>
      </c>
      <c r="D9" s="591">
        <f>E9-C9</f>
        <v>30000</v>
      </c>
      <c r="E9" s="592">
        <f t="shared" si="0"/>
        <v>35769800</v>
      </c>
      <c r="F9" s="592">
        <f t="shared" si="0"/>
        <v>18589100</v>
      </c>
      <c r="G9" s="593">
        <f t="shared" si="1"/>
        <v>51.968699852948575</v>
      </c>
      <c r="H9" s="594">
        <f>F9/F43*100</f>
        <v>15.036447192583255</v>
      </c>
      <c r="I9" s="592">
        <f>SUM(I10:I17)</f>
        <v>35709800</v>
      </c>
      <c r="J9" s="592">
        <f>SUM(J10:J17)</f>
        <v>35739800</v>
      </c>
      <c r="K9" s="592">
        <f>SUM(K10:K17)</f>
        <v>18579625</v>
      </c>
      <c r="L9" s="600">
        <f t="shared" si="2"/>
        <v>51.985811336381296</v>
      </c>
      <c r="M9" s="601">
        <f>SUM(M10:M17)</f>
        <v>30000</v>
      </c>
      <c r="N9" s="592">
        <f>SUM(N10:N17)</f>
        <v>30000</v>
      </c>
      <c r="O9" s="592">
        <f>SUM(O10:O17)</f>
        <v>9475</v>
      </c>
      <c r="P9" s="596">
        <f>O9/N9*100</f>
        <v>31.583333333333336</v>
      </c>
    </row>
    <row r="10" spans="1:17" s="613" customFormat="1" ht="15.75" customHeight="1" thickTop="1">
      <c r="A10" s="602">
        <v>1</v>
      </c>
      <c r="B10" s="603" t="s">
        <v>688</v>
      </c>
      <c r="C10" s="604">
        <f>I10+M10</f>
        <v>30443800</v>
      </c>
      <c r="D10" s="605"/>
      <c r="E10" s="606">
        <f t="shared" si="0"/>
        <v>30443800</v>
      </c>
      <c r="F10" s="606">
        <f>K10+O10</f>
        <v>15434419</v>
      </c>
      <c r="G10" s="607">
        <f>F10/E10*100</f>
        <v>50.698069886150876</v>
      </c>
      <c r="H10" s="608"/>
      <c r="I10" s="606">
        <v>30443800</v>
      </c>
      <c r="J10" s="606">
        <v>30443800</v>
      </c>
      <c r="K10" s="606">
        <v>15434419</v>
      </c>
      <c r="L10" s="609">
        <f>K10/J10*100</f>
        <v>50.698069886150876</v>
      </c>
      <c r="M10" s="610"/>
      <c r="N10" s="606"/>
      <c r="O10" s="606"/>
      <c r="P10" s="611"/>
      <c r="Q10" s="612"/>
    </row>
    <row r="11" spans="1:17" s="613" customFormat="1" ht="12.75" customHeight="1">
      <c r="A11" s="602">
        <v>2</v>
      </c>
      <c r="B11" s="603" t="s">
        <v>689</v>
      </c>
      <c r="C11" s="604">
        <f>I11+M11</f>
        <v>359600</v>
      </c>
      <c r="D11" s="605"/>
      <c r="E11" s="606">
        <f>J11+N11</f>
        <v>359600</v>
      </c>
      <c r="F11" s="606">
        <f>K11+O11</f>
        <v>222453</v>
      </c>
      <c r="G11" s="614">
        <f>F11/E11*100</f>
        <v>61.86123470522803</v>
      </c>
      <c r="H11" s="608"/>
      <c r="I11" s="606">
        <v>359600</v>
      </c>
      <c r="J11" s="606">
        <v>359600</v>
      </c>
      <c r="K11" s="606">
        <v>222453</v>
      </c>
      <c r="L11" s="609">
        <f>K11/J11*100</f>
        <v>61.86123470522803</v>
      </c>
      <c r="M11" s="610"/>
      <c r="N11" s="606"/>
      <c r="O11" s="606"/>
      <c r="P11" s="611"/>
      <c r="Q11" s="612"/>
    </row>
    <row r="12" spans="1:17" s="613" customFormat="1" ht="12.75" customHeight="1">
      <c r="A12" s="602">
        <v>3</v>
      </c>
      <c r="B12" s="603" t="s">
        <v>690</v>
      </c>
      <c r="C12" s="604">
        <f>I12+M12</f>
        <v>31000</v>
      </c>
      <c r="D12" s="605"/>
      <c r="E12" s="606">
        <f t="shared" si="0"/>
        <v>31000</v>
      </c>
      <c r="F12" s="606">
        <f t="shared" si="0"/>
        <v>17118</v>
      </c>
      <c r="G12" s="614">
        <f t="shared" si="1"/>
        <v>55.21935483870968</v>
      </c>
      <c r="H12" s="608"/>
      <c r="I12" s="606">
        <v>31000</v>
      </c>
      <c r="J12" s="606">
        <v>31000</v>
      </c>
      <c r="K12" s="606">
        <v>17118</v>
      </c>
      <c r="L12" s="609">
        <f t="shared" si="2"/>
        <v>55.21935483870968</v>
      </c>
      <c r="M12" s="610"/>
      <c r="N12" s="606"/>
      <c r="O12" s="606"/>
      <c r="P12" s="611"/>
      <c r="Q12" s="612"/>
    </row>
    <row r="13" spans="1:17" s="613" customFormat="1" ht="12.75" customHeight="1">
      <c r="A13" s="602">
        <v>4</v>
      </c>
      <c r="B13" s="603" t="s">
        <v>691</v>
      </c>
      <c r="C13" s="604">
        <f t="shared" si="3"/>
        <v>1511900</v>
      </c>
      <c r="D13" s="605"/>
      <c r="E13" s="606">
        <f t="shared" si="0"/>
        <v>1511900</v>
      </c>
      <c r="F13" s="606">
        <f t="shared" si="0"/>
        <v>822120</v>
      </c>
      <c r="G13" s="614">
        <f t="shared" si="1"/>
        <v>54.37661220980223</v>
      </c>
      <c r="H13" s="608"/>
      <c r="I13" s="606">
        <v>1511900</v>
      </c>
      <c r="J13" s="606">
        <v>1511900</v>
      </c>
      <c r="K13" s="606">
        <v>822120</v>
      </c>
      <c r="L13" s="609">
        <f t="shared" si="2"/>
        <v>54.37661220980223</v>
      </c>
      <c r="M13" s="610"/>
      <c r="N13" s="606"/>
      <c r="O13" s="606"/>
      <c r="P13" s="611"/>
      <c r="Q13" s="612"/>
    </row>
    <row r="14" spans="1:17" s="613" customFormat="1" ht="12.75" customHeight="1">
      <c r="A14" s="602">
        <v>5</v>
      </c>
      <c r="B14" s="603" t="s">
        <v>692</v>
      </c>
      <c r="C14" s="604">
        <f t="shared" si="3"/>
        <v>550000</v>
      </c>
      <c r="D14" s="605">
        <f>E14-C14</f>
        <v>-30000</v>
      </c>
      <c r="E14" s="606">
        <f t="shared" si="0"/>
        <v>520000</v>
      </c>
      <c r="F14" s="606">
        <f t="shared" si="0"/>
        <v>385866</v>
      </c>
      <c r="G14" s="614">
        <f t="shared" si="1"/>
        <v>74.205</v>
      </c>
      <c r="H14" s="608"/>
      <c r="I14" s="606">
        <v>550000</v>
      </c>
      <c r="J14" s="606">
        <v>520000</v>
      </c>
      <c r="K14" s="606">
        <v>385866</v>
      </c>
      <c r="L14" s="609">
        <f t="shared" si="2"/>
        <v>74.205</v>
      </c>
      <c r="M14" s="610"/>
      <c r="N14" s="606"/>
      <c r="O14" s="606"/>
      <c r="P14" s="611"/>
      <c r="Q14" s="612"/>
    </row>
    <row r="15" spans="1:17" s="613" customFormat="1" ht="22.5" customHeight="1">
      <c r="A15" s="602">
        <v>6</v>
      </c>
      <c r="B15" s="603" t="s">
        <v>693</v>
      </c>
      <c r="C15" s="604">
        <f>I15+M15</f>
        <v>38500</v>
      </c>
      <c r="D15" s="605"/>
      <c r="E15" s="606">
        <f t="shared" si="0"/>
        <v>38500</v>
      </c>
      <c r="F15" s="606">
        <f t="shared" si="0"/>
        <v>16910</v>
      </c>
      <c r="G15" s="614">
        <f t="shared" si="1"/>
        <v>43.922077922077925</v>
      </c>
      <c r="H15" s="608"/>
      <c r="I15" s="606">
        <v>8500</v>
      </c>
      <c r="J15" s="606">
        <v>8500</v>
      </c>
      <c r="K15" s="606">
        <v>7435</v>
      </c>
      <c r="L15" s="609">
        <f t="shared" si="2"/>
        <v>87.47058823529412</v>
      </c>
      <c r="M15" s="610">
        <v>30000</v>
      </c>
      <c r="N15" s="606">
        <v>30000</v>
      </c>
      <c r="O15" s="606">
        <v>9475</v>
      </c>
      <c r="P15" s="611">
        <f>O15/N15*100</f>
        <v>31.583333333333336</v>
      </c>
      <c r="Q15" s="612"/>
    </row>
    <row r="16" spans="1:17" s="613" customFormat="1" ht="12.75" customHeight="1">
      <c r="A16" s="602">
        <v>7</v>
      </c>
      <c r="B16" s="603" t="s">
        <v>694</v>
      </c>
      <c r="C16" s="604">
        <f t="shared" si="3"/>
        <v>120000</v>
      </c>
      <c r="D16" s="605"/>
      <c r="E16" s="606">
        <f t="shared" si="0"/>
        <v>120000</v>
      </c>
      <c r="F16" s="606">
        <f t="shared" si="0"/>
        <v>71996</v>
      </c>
      <c r="G16" s="614">
        <f t="shared" si="1"/>
        <v>59.99666666666666</v>
      </c>
      <c r="H16" s="608"/>
      <c r="I16" s="606">
        <v>120000</v>
      </c>
      <c r="J16" s="606">
        <v>120000</v>
      </c>
      <c r="K16" s="606">
        <v>71996</v>
      </c>
      <c r="L16" s="609">
        <f t="shared" si="2"/>
        <v>59.99666666666666</v>
      </c>
      <c r="M16" s="610"/>
      <c r="N16" s="606"/>
      <c r="O16" s="606"/>
      <c r="P16" s="611"/>
      <c r="Q16" s="612"/>
    </row>
    <row r="17" spans="1:17" s="613" customFormat="1" ht="16.5" customHeight="1" thickBot="1">
      <c r="A17" s="602">
        <v>8</v>
      </c>
      <c r="B17" s="603" t="s">
        <v>695</v>
      </c>
      <c r="C17" s="604">
        <f t="shared" si="3"/>
        <v>2685000</v>
      </c>
      <c r="D17" s="605">
        <f>E17-C17</f>
        <v>60000</v>
      </c>
      <c r="E17" s="606">
        <f t="shared" si="0"/>
        <v>2745000</v>
      </c>
      <c r="F17" s="606">
        <f t="shared" si="0"/>
        <v>1618218</v>
      </c>
      <c r="G17" s="614">
        <f t="shared" si="1"/>
        <v>58.951475409836064</v>
      </c>
      <c r="H17" s="608"/>
      <c r="I17" s="606">
        <v>2685000</v>
      </c>
      <c r="J17" s="606">
        <v>2745000</v>
      </c>
      <c r="K17" s="606">
        <v>1618218</v>
      </c>
      <c r="L17" s="609">
        <f t="shared" si="2"/>
        <v>58.951475409836064</v>
      </c>
      <c r="M17" s="610"/>
      <c r="N17" s="606"/>
      <c r="O17" s="606"/>
      <c r="P17" s="611"/>
      <c r="Q17" s="612"/>
    </row>
    <row r="18" spans="1:16" s="597" customFormat="1" ht="26.25" customHeight="1" thickBot="1" thickTop="1">
      <c r="A18" s="615" t="s">
        <v>696</v>
      </c>
      <c r="B18" s="599" t="s">
        <v>697</v>
      </c>
      <c r="C18" s="590">
        <f t="shared" si="3"/>
        <v>3610000</v>
      </c>
      <c r="D18" s="591">
        <f>SUM(D19:D22)</f>
        <v>30000</v>
      </c>
      <c r="E18" s="592">
        <f t="shared" si="0"/>
        <v>3640000</v>
      </c>
      <c r="F18" s="592">
        <f t="shared" si="0"/>
        <v>1812175</v>
      </c>
      <c r="G18" s="616">
        <f t="shared" si="1"/>
        <v>49.785027472527474</v>
      </c>
      <c r="H18" s="594">
        <f>F18/F43*100</f>
        <v>1.4658414711427428</v>
      </c>
      <c r="I18" s="592">
        <f>SUM(I19:I22)</f>
        <v>3610000</v>
      </c>
      <c r="J18" s="592">
        <f>SUM(J19:J22)</f>
        <v>3640000</v>
      </c>
      <c r="K18" s="592">
        <f>SUM(K19:K22)</f>
        <v>1812175</v>
      </c>
      <c r="L18" s="600">
        <f t="shared" si="2"/>
        <v>49.785027472527474</v>
      </c>
      <c r="M18" s="601"/>
      <c r="N18" s="592"/>
      <c r="O18" s="592"/>
      <c r="P18" s="617"/>
    </row>
    <row r="19" spans="1:17" s="613" customFormat="1" ht="13.5" customHeight="1" thickTop="1">
      <c r="A19" s="602">
        <v>1</v>
      </c>
      <c r="B19" s="603" t="s">
        <v>698</v>
      </c>
      <c r="C19" s="604">
        <f>I19+M19</f>
        <v>520000</v>
      </c>
      <c r="D19" s="605"/>
      <c r="E19" s="606">
        <f t="shared" si="0"/>
        <v>520000</v>
      </c>
      <c r="F19" s="606">
        <f t="shared" si="0"/>
        <v>231092</v>
      </c>
      <c r="G19" s="614">
        <f t="shared" si="1"/>
        <v>44.44076923076923</v>
      </c>
      <c r="H19" s="608"/>
      <c r="I19" s="606">
        <v>520000</v>
      </c>
      <c r="J19" s="606">
        <v>520000</v>
      </c>
      <c r="K19" s="606">
        <v>231092</v>
      </c>
      <c r="L19" s="609">
        <f t="shared" si="2"/>
        <v>44.44076923076923</v>
      </c>
      <c r="M19" s="610"/>
      <c r="N19" s="606"/>
      <c r="O19" s="606"/>
      <c r="P19" s="611"/>
      <c r="Q19" s="612"/>
    </row>
    <row r="20" spans="1:16" s="612" customFormat="1" ht="13.5" customHeight="1">
      <c r="A20" s="602">
        <v>2</v>
      </c>
      <c r="B20" s="603" t="s">
        <v>699</v>
      </c>
      <c r="C20" s="604">
        <f>I20+M20</f>
        <v>520000</v>
      </c>
      <c r="D20" s="605">
        <f>E20-C20</f>
        <v>30000</v>
      </c>
      <c r="E20" s="606">
        <f t="shared" si="0"/>
        <v>550000</v>
      </c>
      <c r="F20" s="606">
        <f t="shared" si="0"/>
        <v>179804</v>
      </c>
      <c r="G20" s="614">
        <f t="shared" si="1"/>
        <v>32.69163636363636</v>
      </c>
      <c r="H20" s="608"/>
      <c r="I20" s="606">
        <v>520000</v>
      </c>
      <c r="J20" s="606">
        <v>550000</v>
      </c>
      <c r="K20" s="606">
        <v>179804</v>
      </c>
      <c r="L20" s="609">
        <f t="shared" si="2"/>
        <v>32.69163636363636</v>
      </c>
      <c r="M20" s="610"/>
      <c r="N20" s="606"/>
      <c r="O20" s="606"/>
      <c r="P20" s="611"/>
    </row>
    <row r="21" spans="1:17" s="613" customFormat="1" ht="21" customHeight="1">
      <c r="A21" s="602">
        <v>3</v>
      </c>
      <c r="B21" s="603" t="s">
        <v>700</v>
      </c>
      <c r="C21" s="604">
        <f>I21+M21</f>
        <v>220000</v>
      </c>
      <c r="D21" s="605"/>
      <c r="E21" s="606">
        <f t="shared" si="0"/>
        <v>220000</v>
      </c>
      <c r="F21" s="606">
        <f t="shared" si="0"/>
        <v>130470</v>
      </c>
      <c r="G21" s="614">
        <f t="shared" si="1"/>
        <v>59.304545454545455</v>
      </c>
      <c r="H21" s="608"/>
      <c r="I21" s="606">
        <v>220000</v>
      </c>
      <c r="J21" s="606">
        <v>220000</v>
      </c>
      <c r="K21" s="606">
        <v>130470</v>
      </c>
      <c r="L21" s="609">
        <f t="shared" si="2"/>
        <v>59.304545454545455</v>
      </c>
      <c r="M21" s="610"/>
      <c r="N21" s="606"/>
      <c r="O21" s="606"/>
      <c r="P21" s="611"/>
      <c r="Q21" s="612"/>
    </row>
    <row r="22" spans="1:17" s="613" customFormat="1" ht="21" customHeight="1" thickBot="1">
      <c r="A22" s="602">
        <v>4</v>
      </c>
      <c r="B22" s="603" t="s">
        <v>701</v>
      </c>
      <c r="C22" s="604">
        <f t="shared" si="3"/>
        <v>2350000</v>
      </c>
      <c r="D22" s="605"/>
      <c r="E22" s="606">
        <f t="shared" si="0"/>
        <v>2350000</v>
      </c>
      <c r="F22" s="606">
        <f t="shared" si="0"/>
        <v>1270809</v>
      </c>
      <c r="G22" s="614">
        <f t="shared" si="1"/>
        <v>54.07697872340426</v>
      </c>
      <c r="H22" s="608"/>
      <c r="I22" s="606">
        <v>2350000</v>
      </c>
      <c r="J22" s="606">
        <v>2350000</v>
      </c>
      <c r="K22" s="606">
        <v>1270809</v>
      </c>
      <c r="L22" s="609">
        <f t="shared" si="2"/>
        <v>54.07697872340426</v>
      </c>
      <c r="M22" s="610"/>
      <c r="N22" s="606"/>
      <c r="O22" s="606"/>
      <c r="P22" s="611"/>
      <c r="Q22" s="612"/>
    </row>
    <row r="23" spans="1:17" s="598" customFormat="1" ht="20.25" customHeight="1" thickBot="1" thickTop="1">
      <c r="A23" s="615" t="s">
        <v>702</v>
      </c>
      <c r="B23" s="599" t="s">
        <v>703</v>
      </c>
      <c r="C23" s="590">
        <f t="shared" si="3"/>
        <v>26827000</v>
      </c>
      <c r="D23" s="591"/>
      <c r="E23" s="592">
        <f t="shared" si="0"/>
        <v>26827000</v>
      </c>
      <c r="F23" s="592">
        <f t="shared" si="0"/>
        <v>7429207</v>
      </c>
      <c r="G23" s="616">
        <f t="shared" si="1"/>
        <v>27.693021955492604</v>
      </c>
      <c r="H23" s="594">
        <f>F23/F43*100</f>
        <v>6.009375318776587</v>
      </c>
      <c r="I23" s="592">
        <f>SUM(I24:I28)</f>
        <v>26127000</v>
      </c>
      <c r="J23" s="592">
        <f>SUM(J24:J28)</f>
        <v>26127000</v>
      </c>
      <c r="K23" s="592">
        <f>SUM(K24:K28)</f>
        <v>6993704</v>
      </c>
      <c r="L23" s="600">
        <f t="shared" si="2"/>
        <v>26.76810961840242</v>
      </c>
      <c r="M23" s="592">
        <f>SUM(M24:M28)</f>
        <v>700000</v>
      </c>
      <c r="N23" s="592">
        <f>SUM(N24:N28)</f>
        <v>700000</v>
      </c>
      <c r="O23" s="592">
        <f>SUM(O24:O28)</f>
        <v>435503</v>
      </c>
      <c r="P23" s="596">
        <f>O23/N23*100</f>
        <v>62.21471428571429</v>
      </c>
      <c r="Q23" s="597"/>
    </row>
    <row r="24" spans="1:16" s="612" customFormat="1" ht="25.5" customHeight="1" thickTop="1">
      <c r="A24" s="602">
        <v>1</v>
      </c>
      <c r="B24" s="603" t="s">
        <v>704</v>
      </c>
      <c r="C24" s="604">
        <f>I24+M24</f>
        <v>6217000</v>
      </c>
      <c r="D24" s="605"/>
      <c r="E24" s="606">
        <f t="shared" si="0"/>
        <v>6217000</v>
      </c>
      <c r="F24" s="606">
        <f t="shared" si="0"/>
        <v>3933998</v>
      </c>
      <c r="G24" s="614">
        <f t="shared" si="1"/>
        <v>63.27807624256072</v>
      </c>
      <c r="H24" s="608"/>
      <c r="I24" s="606">
        <v>5577000</v>
      </c>
      <c r="J24" s="606">
        <v>5577000</v>
      </c>
      <c r="K24" s="606">
        <v>3516112</v>
      </c>
      <c r="L24" s="609">
        <f t="shared" si="2"/>
        <v>63.046655908194374</v>
      </c>
      <c r="M24" s="618">
        <v>640000</v>
      </c>
      <c r="N24" s="606">
        <v>640000</v>
      </c>
      <c r="O24" s="606">
        <v>417886</v>
      </c>
      <c r="P24" s="611">
        <f>O24/N24*100</f>
        <v>65.29468750000001</v>
      </c>
    </row>
    <row r="25" spans="1:16" s="612" customFormat="1" ht="15" customHeight="1">
      <c r="A25" s="602">
        <v>2</v>
      </c>
      <c r="B25" s="603" t="s">
        <v>705</v>
      </c>
      <c r="C25" s="604">
        <f>I25+M25</f>
        <v>17560000</v>
      </c>
      <c r="D25" s="605"/>
      <c r="E25" s="606">
        <f t="shared" si="0"/>
        <v>17560000</v>
      </c>
      <c r="F25" s="606">
        <f t="shared" si="0"/>
        <v>1893098</v>
      </c>
      <c r="G25" s="614">
        <f t="shared" si="1"/>
        <v>10.780740318906606</v>
      </c>
      <c r="H25" s="608"/>
      <c r="I25" s="606">
        <v>17550000</v>
      </c>
      <c r="J25" s="606">
        <v>17550000</v>
      </c>
      <c r="K25" s="606">
        <v>1876047</v>
      </c>
      <c r="L25" s="609">
        <f t="shared" si="2"/>
        <v>10.689726495726495</v>
      </c>
      <c r="M25" s="618">
        <v>10000</v>
      </c>
      <c r="N25" s="606">
        <v>10000</v>
      </c>
      <c r="O25" s="606">
        <v>17051</v>
      </c>
      <c r="P25" s="611">
        <f>O25/N25*100</f>
        <v>170.51000000000002</v>
      </c>
    </row>
    <row r="26" spans="1:16" s="612" customFormat="1" ht="16.5" customHeight="1">
      <c r="A26" s="602">
        <v>3</v>
      </c>
      <c r="B26" s="603" t="s">
        <v>706</v>
      </c>
      <c r="C26" s="604">
        <f t="shared" si="3"/>
        <v>1200000</v>
      </c>
      <c r="D26" s="605"/>
      <c r="E26" s="606">
        <f t="shared" si="0"/>
        <v>1200000</v>
      </c>
      <c r="F26" s="606">
        <f t="shared" si="0"/>
        <v>599147</v>
      </c>
      <c r="G26" s="614">
        <f t="shared" si="1"/>
        <v>49.928916666666666</v>
      </c>
      <c r="H26" s="608"/>
      <c r="I26" s="606">
        <v>1200000</v>
      </c>
      <c r="J26" s="606">
        <v>1200000</v>
      </c>
      <c r="K26" s="606">
        <v>599147</v>
      </c>
      <c r="L26" s="609">
        <f t="shared" si="2"/>
        <v>49.928916666666666</v>
      </c>
      <c r="M26" s="610"/>
      <c r="N26" s="606"/>
      <c r="O26" s="606"/>
      <c r="P26" s="611"/>
    </row>
    <row r="27" spans="1:17" s="613" customFormat="1" ht="13.5" customHeight="1">
      <c r="A27" s="602">
        <v>4</v>
      </c>
      <c r="B27" s="603" t="s">
        <v>707</v>
      </c>
      <c r="C27" s="604">
        <f t="shared" si="3"/>
        <v>1150000</v>
      </c>
      <c r="D27" s="605"/>
      <c r="E27" s="606">
        <f t="shared" si="0"/>
        <v>1150000</v>
      </c>
      <c r="F27" s="606">
        <f t="shared" si="0"/>
        <v>327149</v>
      </c>
      <c r="G27" s="614">
        <f t="shared" si="1"/>
        <v>28.447739130434783</v>
      </c>
      <c r="H27" s="608"/>
      <c r="I27" s="606">
        <v>1100000</v>
      </c>
      <c r="J27" s="606">
        <v>1100000</v>
      </c>
      <c r="K27" s="606">
        <v>326583</v>
      </c>
      <c r="L27" s="609">
        <f t="shared" si="2"/>
        <v>29.689363636363638</v>
      </c>
      <c r="M27" s="618">
        <v>50000</v>
      </c>
      <c r="N27" s="606">
        <v>50000</v>
      </c>
      <c r="O27" s="606">
        <v>566</v>
      </c>
      <c r="P27" s="611">
        <f>O27/N27*100</f>
        <v>1.1320000000000001</v>
      </c>
      <c r="Q27" s="612"/>
    </row>
    <row r="28" spans="1:17" s="613" customFormat="1" ht="13.5" customHeight="1">
      <c r="A28" s="619">
        <v>5</v>
      </c>
      <c r="B28" s="620" t="s">
        <v>708</v>
      </c>
      <c r="C28" s="621">
        <f t="shared" si="3"/>
        <v>700000</v>
      </c>
      <c r="D28" s="622"/>
      <c r="E28" s="623">
        <f t="shared" si="0"/>
        <v>700000</v>
      </c>
      <c r="F28" s="623">
        <f t="shared" si="0"/>
        <v>675815</v>
      </c>
      <c r="G28" s="624">
        <f t="shared" si="1"/>
        <v>96.545</v>
      </c>
      <c r="H28" s="625"/>
      <c r="I28" s="623">
        <v>700000</v>
      </c>
      <c r="J28" s="623">
        <v>700000</v>
      </c>
      <c r="K28" s="623">
        <v>675815</v>
      </c>
      <c r="L28" s="626">
        <f t="shared" si="2"/>
        <v>96.545</v>
      </c>
      <c r="M28" s="627"/>
      <c r="N28" s="623"/>
      <c r="O28" s="623"/>
      <c r="P28" s="628"/>
      <c r="Q28" s="612"/>
    </row>
    <row r="29" spans="1:16" s="597" customFormat="1" ht="33" customHeight="1" thickBot="1">
      <c r="A29" s="629" t="s">
        <v>709</v>
      </c>
      <c r="B29" s="630" t="s">
        <v>710</v>
      </c>
      <c r="C29" s="631">
        <f>I29+M29</f>
        <v>67071686</v>
      </c>
      <c r="D29" s="632">
        <f>E29-C29</f>
        <v>431088</v>
      </c>
      <c r="E29" s="633">
        <f t="shared" si="0"/>
        <v>67502774</v>
      </c>
      <c r="F29" s="633">
        <f t="shared" si="0"/>
        <v>29261507</v>
      </c>
      <c r="G29" s="634">
        <f>F29/E29*100</f>
        <v>43.348599273860955</v>
      </c>
      <c r="H29" s="635">
        <f>F29/F43*100</f>
        <v>23.66919887358211</v>
      </c>
      <c r="I29" s="633">
        <f>SUM(I30:I31)</f>
        <v>52214207</v>
      </c>
      <c r="J29" s="633">
        <f>SUM(J30:J31)</f>
        <v>52548944</v>
      </c>
      <c r="K29" s="633">
        <f>SUM(K30:K31)</f>
        <v>22795270</v>
      </c>
      <c r="L29" s="636">
        <f t="shared" si="2"/>
        <v>43.37912099622782</v>
      </c>
      <c r="M29" s="637">
        <f>SUM(M30:M31)</f>
        <v>14857479</v>
      </c>
      <c r="N29" s="632">
        <f>SUM(N30:N31)</f>
        <v>14953830</v>
      </c>
      <c r="O29" s="633">
        <f>SUM(O30:O31)</f>
        <v>6466237</v>
      </c>
      <c r="P29" s="638">
        <f aca="true" t="shared" si="4" ref="P29:P36">O29/N29*100</f>
        <v>43.241343522027464</v>
      </c>
    </row>
    <row r="30" spans="1:17" s="613" customFormat="1" ht="21" customHeight="1" thickTop="1">
      <c r="A30" s="639">
        <v>1</v>
      </c>
      <c r="B30" s="640" t="s">
        <v>711</v>
      </c>
      <c r="C30" s="641">
        <f>I30+M30</f>
        <v>64371686</v>
      </c>
      <c r="D30" s="642">
        <f>E30-C30</f>
        <v>431088</v>
      </c>
      <c r="E30" s="642">
        <f t="shared" si="0"/>
        <v>64802774</v>
      </c>
      <c r="F30" s="642">
        <f t="shared" si="0"/>
        <v>27729221</v>
      </c>
      <c r="G30" s="643">
        <f>F30/E30*100</f>
        <v>42.790175926728075</v>
      </c>
      <c r="H30" s="644"/>
      <c r="I30" s="645">
        <v>49984207</v>
      </c>
      <c r="J30" s="642">
        <v>50318944</v>
      </c>
      <c r="K30" s="646">
        <v>21531536</v>
      </c>
      <c r="L30" s="647">
        <f t="shared" si="2"/>
        <v>42.79011896593061</v>
      </c>
      <c r="M30" s="646">
        <v>14387479</v>
      </c>
      <c r="N30" s="642">
        <v>14483830</v>
      </c>
      <c r="O30" s="642">
        <v>6197685</v>
      </c>
      <c r="P30" s="647">
        <f t="shared" si="4"/>
        <v>42.790373816870265</v>
      </c>
      <c r="Q30" s="612"/>
    </row>
    <row r="31" spans="1:17" s="613" customFormat="1" ht="17.25" customHeight="1" thickBot="1">
      <c r="A31" s="648">
        <v>2</v>
      </c>
      <c r="B31" s="649" t="s">
        <v>712</v>
      </c>
      <c r="C31" s="604">
        <f>I31+M31</f>
        <v>2700000</v>
      </c>
      <c r="D31" s="605"/>
      <c r="E31" s="650">
        <f t="shared" si="0"/>
        <v>2700000</v>
      </c>
      <c r="F31" s="650">
        <f t="shared" si="0"/>
        <v>1532286</v>
      </c>
      <c r="G31" s="651">
        <f>F31/E31*100</f>
        <v>56.751333333333335</v>
      </c>
      <c r="H31" s="652"/>
      <c r="I31" s="653">
        <v>2230000</v>
      </c>
      <c r="J31" s="650">
        <v>2230000</v>
      </c>
      <c r="K31" s="654">
        <v>1263734</v>
      </c>
      <c r="L31" s="611">
        <f t="shared" si="2"/>
        <v>56.6696860986547</v>
      </c>
      <c r="M31" s="654">
        <v>470000</v>
      </c>
      <c r="N31" s="605">
        <v>470000</v>
      </c>
      <c r="O31" s="605">
        <v>268552</v>
      </c>
      <c r="P31" s="611">
        <f t="shared" si="4"/>
        <v>57.13872340425532</v>
      </c>
      <c r="Q31" s="612"/>
    </row>
    <row r="32" spans="1:17" s="598" customFormat="1" ht="25.5" customHeight="1" thickBot="1" thickTop="1">
      <c r="A32" s="588" t="s">
        <v>713</v>
      </c>
      <c r="B32" s="599" t="s">
        <v>714</v>
      </c>
      <c r="C32" s="590">
        <f t="shared" si="3"/>
        <v>6003000</v>
      </c>
      <c r="D32" s="591">
        <f aca="true" t="shared" si="5" ref="D32:D39">E32-C32</f>
        <v>1028695</v>
      </c>
      <c r="E32" s="592">
        <f t="shared" si="0"/>
        <v>7031695</v>
      </c>
      <c r="F32" s="592">
        <f t="shared" si="0"/>
        <v>5673323</v>
      </c>
      <c r="G32" s="616">
        <f t="shared" si="1"/>
        <v>80.68215416055446</v>
      </c>
      <c r="H32" s="594">
        <v>4.5</v>
      </c>
      <c r="I32" s="592">
        <v>3849500</v>
      </c>
      <c r="J32" s="592">
        <v>4758955</v>
      </c>
      <c r="K32" s="592">
        <v>3412684</v>
      </c>
      <c r="L32" s="600">
        <f t="shared" si="2"/>
        <v>71.71078524592059</v>
      </c>
      <c r="M32" s="601">
        <v>2153500</v>
      </c>
      <c r="N32" s="592">
        <v>2272740</v>
      </c>
      <c r="O32" s="592">
        <v>2260639</v>
      </c>
      <c r="P32" s="596">
        <f t="shared" si="4"/>
        <v>99.4675589816697</v>
      </c>
      <c r="Q32" s="597"/>
    </row>
    <row r="33" spans="1:17" s="598" customFormat="1" ht="25.5" customHeight="1" thickBot="1" thickTop="1">
      <c r="A33" s="588" t="s">
        <v>715</v>
      </c>
      <c r="B33" s="599" t="s">
        <v>716</v>
      </c>
      <c r="C33" s="590">
        <f>I33+M33</f>
        <v>16273790</v>
      </c>
      <c r="D33" s="591">
        <f t="shared" si="5"/>
        <v>5695236</v>
      </c>
      <c r="E33" s="592">
        <f t="shared" si="0"/>
        <v>21969026</v>
      </c>
      <c r="F33" s="592">
        <f t="shared" si="0"/>
        <v>839415</v>
      </c>
      <c r="G33" s="616">
        <f>F33/E33*100</f>
        <v>3.8209022102299843</v>
      </c>
      <c r="H33" s="594">
        <f>F33/F43*100</f>
        <v>0.678990339508759</v>
      </c>
      <c r="I33" s="592">
        <v>195655</v>
      </c>
      <c r="J33" s="592">
        <v>205015</v>
      </c>
      <c r="K33" s="592">
        <v>77931</v>
      </c>
      <c r="L33" s="600">
        <f t="shared" si="2"/>
        <v>38.012340560446795</v>
      </c>
      <c r="M33" s="601">
        <v>16078135</v>
      </c>
      <c r="N33" s="592">
        <v>21764011</v>
      </c>
      <c r="O33" s="592">
        <v>761484</v>
      </c>
      <c r="P33" s="596">
        <f t="shared" si="4"/>
        <v>3.498821977254101</v>
      </c>
      <c r="Q33" s="597"/>
    </row>
    <row r="34" spans="1:17" s="659" customFormat="1" ht="21.75" customHeight="1" thickBot="1" thickTop="1">
      <c r="A34" s="655" t="s">
        <v>717</v>
      </c>
      <c r="B34" s="656" t="s">
        <v>718</v>
      </c>
      <c r="C34" s="590">
        <f t="shared" si="3"/>
        <v>70352067</v>
      </c>
      <c r="D34" s="591">
        <f t="shared" si="5"/>
        <v>-709234</v>
      </c>
      <c r="E34" s="591">
        <f t="shared" si="0"/>
        <v>69642833</v>
      </c>
      <c r="F34" s="591">
        <f t="shared" si="0"/>
        <v>43343272</v>
      </c>
      <c r="G34" s="657">
        <f t="shared" si="1"/>
        <v>62.23651470353022</v>
      </c>
      <c r="H34" s="594">
        <f>F34/F43*100</f>
        <v>35.05972965779798</v>
      </c>
      <c r="I34" s="595">
        <f>SUM(I35:I37)</f>
        <v>33142834</v>
      </c>
      <c r="J34" s="591">
        <f>SUM(J35:J37)</f>
        <v>32266683</v>
      </c>
      <c r="K34" s="591">
        <f>SUM(K35:K37)</f>
        <v>19805052</v>
      </c>
      <c r="L34" s="600">
        <f t="shared" si="2"/>
        <v>61.379262318348616</v>
      </c>
      <c r="M34" s="595">
        <f>SUM(M35:M37)</f>
        <v>37209233</v>
      </c>
      <c r="N34" s="591">
        <f>SUM(N35:N37)</f>
        <v>37376150</v>
      </c>
      <c r="O34" s="591">
        <f>SUM(O35:O37)</f>
        <v>23538220</v>
      </c>
      <c r="P34" s="596">
        <f t="shared" si="4"/>
        <v>62.97657730932694</v>
      </c>
      <c r="Q34" s="658"/>
    </row>
    <row r="35" spans="1:16" s="612" customFormat="1" ht="15.75" customHeight="1" thickTop="1">
      <c r="A35" s="602">
        <v>1</v>
      </c>
      <c r="B35" s="603" t="s">
        <v>719</v>
      </c>
      <c r="C35" s="604">
        <f t="shared" si="3"/>
        <v>69365665</v>
      </c>
      <c r="D35" s="605">
        <f t="shared" si="5"/>
        <v>-709577</v>
      </c>
      <c r="E35" s="606">
        <f t="shared" si="0"/>
        <v>68656088</v>
      </c>
      <c r="F35" s="606">
        <f t="shared" si="0"/>
        <v>42249902</v>
      </c>
      <c r="G35" s="614">
        <f t="shared" si="1"/>
        <v>61.53846400336705</v>
      </c>
      <c r="H35" s="608"/>
      <c r="I35" s="606">
        <v>32697653</v>
      </c>
      <c r="J35" s="606">
        <v>31821502</v>
      </c>
      <c r="K35" s="606">
        <v>19582464</v>
      </c>
      <c r="L35" s="609">
        <f>K35/J35*100</f>
        <v>61.538465406189815</v>
      </c>
      <c r="M35" s="610">
        <v>36668012</v>
      </c>
      <c r="N35" s="606">
        <v>36834586</v>
      </c>
      <c r="O35" s="606">
        <v>22667438</v>
      </c>
      <c r="P35" s="611">
        <f t="shared" si="4"/>
        <v>61.53846279146452</v>
      </c>
    </row>
    <row r="36" spans="1:16" s="612" customFormat="1" ht="13.5" customHeight="1">
      <c r="A36" s="602">
        <v>2</v>
      </c>
      <c r="B36" s="603" t="s">
        <v>720</v>
      </c>
      <c r="C36" s="604">
        <f>I36+M36</f>
        <v>986402</v>
      </c>
      <c r="D36" s="605">
        <f>E36-C36</f>
        <v>343</v>
      </c>
      <c r="E36" s="606">
        <f t="shared" si="0"/>
        <v>986745</v>
      </c>
      <c r="F36" s="606">
        <f t="shared" si="0"/>
        <v>493370</v>
      </c>
      <c r="G36" s="614">
        <f>F36/E36*100</f>
        <v>49.999746641736216</v>
      </c>
      <c r="H36" s="608"/>
      <c r="I36" s="606">
        <v>445181</v>
      </c>
      <c r="J36" s="606">
        <v>445181</v>
      </c>
      <c r="K36" s="606">
        <v>222588</v>
      </c>
      <c r="L36" s="611">
        <f>K36/J36*100</f>
        <v>49.99943843066079</v>
      </c>
      <c r="M36" s="610">
        <v>541221</v>
      </c>
      <c r="N36" s="606">
        <v>541564</v>
      </c>
      <c r="O36" s="606">
        <v>270782</v>
      </c>
      <c r="P36" s="611">
        <f t="shared" si="4"/>
        <v>50</v>
      </c>
    </row>
    <row r="37" spans="1:16" s="612" customFormat="1" ht="17.25" customHeight="1" thickBot="1">
      <c r="A37" s="602">
        <v>3</v>
      </c>
      <c r="B37" s="603" t="s">
        <v>721</v>
      </c>
      <c r="C37" s="604"/>
      <c r="D37" s="605"/>
      <c r="E37" s="606"/>
      <c r="F37" s="606">
        <f aca="true" t="shared" si="6" ref="E37:F42">K37+O37</f>
        <v>600000</v>
      </c>
      <c r="G37" s="614"/>
      <c r="H37" s="608"/>
      <c r="I37" s="606"/>
      <c r="J37" s="606"/>
      <c r="K37" s="606"/>
      <c r="L37" s="611"/>
      <c r="M37" s="610"/>
      <c r="N37" s="606"/>
      <c r="O37" s="606">
        <v>600000</v>
      </c>
      <c r="P37" s="611"/>
    </row>
    <row r="38" spans="1:17" s="659" customFormat="1" ht="26.25" customHeight="1" thickBot="1" thickTop="1">
      <c r="A38" s="660" t="s">
        <v>722</v>
      </c>
      <c r="B38" s="599" t="s">
        <v>723</v>
      </c>
      <c r="C38" s="590">
        <f t="shared" si="3"/>
        <v>27697981</v>
      </c>
      <c r="D38" s="591">
        <f t="shared" si="5"/>
        <v>2847731</v>
      </c>
      <c r="E38" s="592">
        <f t="shared" si="6"/>
        <v>30545712</v>
      </c>
      <c r="F38" s="592">
        <f t="shared" si="6"/>
        <v>16678944</v>
      </c>
      <c r="G38" s="616">
        <f t="shared" si="1"/>
        <v>54.60322548709946</v>
      </c>
      <c r="H38" s="594">
        <f>F38/F43*100</f>
        <v>13.491350344236855</v>
      </c>
      <c r="I38" s="592">
        <f>SUM(I39:I42)</f>
        <v>21989781</v>
      </c>
      <c r="J38" s="592">
        <f>SUM(J39:J42)</f>
        <v>24475412</v>
      </c>
      <c r="K38" s="592">
        <f>SUM(K39:K42)</f>
        <v>13254240</v>
      </c>
      <c r="L38" s="600">
        <f aca="true" t="shared" si="7" ref="L38:L43">K38/J38*100</f>
        <v>54.15328657184606</v>
      </c>
      <c r="M38" s="601">
        <f>SUM(M39:M42)</f>
        <v>5708200</v>
      </c>
      <c r="N38" s="592">
        <f>SUM(N39:N42)</f>
        <v>6070300</v>
      </c>
      <c r="O38" s="592">
        <f>SUM(O39:O42)</f>
        <v>3424704</v>
      </c>
      <c r="P38" s="596">
        <f aca="true" t="shared" si="8" ref="P38:P43">O38/N38*100</f>
        <v>56.4173764064379</v>
      </c>
      <c r="Q38" s="658"/>
    </row>
    <row r="39" spans="1:16" s="612" customFormat="1" ht="17.25" customHeight="1" thickTop="1">
      <c r="A39" s="661">
        <v>1</v>
      </c>
      <c r="B39" s="603" t="s">
        <v>724</v>
      </c>
      <c r="C39" s="604">
        <f t="shared" si="3"/>
        <v>2057000</v>
      </c>
      <c r="D39" s="605">
        <f t="shared" si="5"/>
        <v>1208731</v>
      </c>
      <c r="E39" s="606">
        <f t="shared" si="6"/>
        <v>3265731</v>
      </c>
      <c r="F39" s="606">
        <f t="shared" si="6"/>
        <v>2129991</v>
      </c>
      <c r="G39" s="614">
        <f t="shared" si="1"/>
        <v>65.22248770642774</v>
      </c>
      <c r="H39" s="662"/>
      <c r="I39" s="606">
        <v>2057000</v>
      </c>
      <c r="J39" s="606">
        <v>3265631</v>
      </c>
      <c r="K39" s="606">
        <v>2129891</v>
      </c>
      <c r="L39" s="609">
        <f t="shared" si="7"/>
        <v>65.22142275107015</v>
      </c>
      <c r="M39" s="610"/>
      <c r="N39" s="606">
        <v>100</v>
      </c>
      <c r="O39" s="606">
        <v>100</v>
      </c>
      <c r="P39" s="611">
        <f t="shared" si="8"/>
        <v>100</v>
      </c>
    </row>
    <row r="40" spans="1:16" s="612" customFormat="1" ht="16.5" customHeight="1">
      <c r="A40" s="661">
        <v>2</v>
      </c>
      <c r="B40" s="603" t="s">
        <v>725</v>
      </c>
      <c r="C40" s="604">
        <f>I40+M40</f>
        <v>25345696</v>
      </c>
      <c r="D40" s="605">
        <f>E40-C40</f>
        <v>1262000</v>
      </c>
      <c r="E40" s="606">
        <f t="shared" si="6"/>
        <v>26607696</v>
      </c>
      <c r="F40" s="606">
        <f t="shared" si="6"/>
        <v>14235390</v>
      </c>
      <c r="G40" s="614">
        <f>F40/E40*100</f>
        <v>53.501024665946275</v>
      </c>
      <c r="H40" s="662"/>
      <c r="I40" s="606">
        <v>19645996</v>
      </c>
      <c r="J40" s="606">
        <v>20907996</v>
      </c>
      <c r="K40" s="606">
        <v>10840967</v>
      </c>
      <c r="L40" s="609">
        <f>K40/J40*100</f>
        <v>51.85081822284642</v>
      </c>
      <c r="M40" s="610">
        <v>5699700</v>
      </c>
      <c r="N40" s="606">
        <v>5699700</v>
      </c>
      <c r="O40" s="606">
        <v>3394423</v>
      </c>
      <c r="P40" s="611">
        <f>O40/N40*100</f>
        <v>59.55441514465674</v>
      </c>
    </row>
    <row r="41" spans="1:16" s="612" customFormat="1" ht="28.5" customHeight="1">
      <c r="A41" s="661">
        <v>3</v>
      </c>
      <c r="B41" s="603" t="s">
        <v>726</v>
      </c>
      <c r="C41" s="604">
        <f>I41+M41</f>
        <v>25100</v>
      </c>
      <c r="D41" s="605">
        <f>E41-C41</f>
        <v>365000</v>
      </c>
      <c r="E41" s="606">
        <f t="shared" si="6"/>
        <v>390100</v>
      </c>
      <c r="F41" s="606">
        <f t="shared" si="6"/>
        <v>38094</v>
      </c>
      <c r="G41" s="614">
        <f>F41/E41*100</f>
        <v>9.765188413227378</v>
      </c>
      <c r="H41" s="662"/>
      <c r="I41" s="606">
        <v>16600</v>
      </c>
      <c r="J41" s="606">
        <v>31600</v>
      </c>
      <c r="K41" s="606">
        <v>29594</v>
      </c>
      <c r="L41" s="609">
        <f>K41/J41*100</f>
        <v>93.65189873417722</v>
      </c>
      <c r="M41" s="610">
        <v>8500</v>
      </c>
      <c r="N41" s="606">
        <v>358500</v>
      </c>
      <c r="O41" s="606">
        <v>8500</v>
      </c>
      <c r="P41" s="611">
        <f>O41/N41*100</f>
        <v>2.3709902370990235</v>
      </c>
    </row>
    <row r="42" spans="1:16" s="612" customFormat="1" ht="54.75" customHeight="1" thickBot="1">
      <c r="A42" s="661">
        <v>4</v>
      </c>
      <c r="B42" s="603" t="s">
        <v>727</v>
      </c>
      <c r="C42" s="604">
        <f>I42+M42</f>
        <v>270185</v>
      </c>
      <c r="D42" s="605">
        <f>E42-C42</f>
        <v>12000</v>
      </c>
      <c r="E42" s="606">
        <f t="shared" si="6"/>
        <v>282185</v>
      </c>
      <c r="F42" s="606">
        <f t="shared" si="6"/>
        <v>275469</v>
      </c>
      <c r="G42" s="614">
        <f>F42/E42*100</f>
        <v>97.62000106313235</v>
      </c>
      <c r="H42" s="662"/>
      <c r="I42" s="606">
        <v>270185</v>
      </c>
      <c r="J42" s="606">
        <v>270185</v>
      </c>
      <c r="K42" s="606">
        <v>253788</v>
      </c>
      <c r="L42" s="609">
        <f>K42/J42*100</f>
        <v>93.93119529211467</v>
      </c>
      <c r="M42" s="610"/>
      <c r="N42" s="606">
        <v>12000</v>
      </c>
      <c r="O42" s="606">
        <v>21681</v>
      </c>
      <c r="P42" s="611">
        <f>O42/N42*100</f>
        <v>180.675</v>
      </c>
    </row>
    <row r="43" spans="1:17" s="659" customFormat="1" ht="27" customHeight="1" thickBot="1" thickTop="1">
      <c r="A43" s="663" t="s">
        <v>728</v>
      </c>
      <c r="B43" s="664"/>
      <c r="C43" s="665">
        <f>C38+C34+C8</f>
        <v>253575324</v>
      </c>
      <c r="D43" s="666">
        <f>E43-C43</f>
        <v>9353516</v>
      </c>
      <c r="E43" s="667">
        <f>E38+E34+E8</f>
        <v>262928840</v>
      </c>
      <c r="F43" s="668">
        <f>F38+F34+F8</f>
        <v>123626943</v>
      </c>
      <c r="G43" s="669">
        <f t="shared" si="1"/>
        <v>47.01916419667009</v>
      </c>
      <c r="H43" s="670">
        <f>H38+H34+H8</f>
        <v>100</v>
      </c>
      <c r="I43" s="665">
        <f>I38+I34+I8</f>
        <v>176838777</v>
      </c>
      <c r="J43" s="667">
        <f>J38+J34+J8</f>
        <v>179761809</v>
      </c>
      <c r="K43" s="668">
        <f>K38+K34+K8</f>
        <v>86730681</v>
      </c>
      <c r="L43" s="671">
        <f t="shared" si="7"/>
        <v>48.247556854526316</v>
      </c>
      <c r="M43" s="665">
        <f>M38+M34+M8</f>
        <v>76736547</v>
      </c>
      <c r="N43" s="667">
        <f>N38+N34+N8</f>
        <v>83167031</v>
      </c>
      <c r="O43" s="668">
        <f>O38+O34+O8</f>
        <v>36896262</v>
      </c>
      <c r="P43" s="672">
        <f t="shared" si="8"/>
        <v>44.36404853745471</v>
      </c>
      <c r="Q43" s="658"/>
    </row>
    <row r="44" spans="1:2" ht="22.5" customHeight="1" thickTop="1">
      <c r="A44" s="673"/>
      <c r="B44" s="78"/>
    </row>
    <row r="45" spans="1:17" s="678" customFormat="1" ht="12.75">
      <c r="A45" s="673"/>
      <c r="B45" s="675"/>
      <c r="C45" s="676"/>
      <c r="D45" s="674"/>
      <c r="E45" s="677"/>
      <c r="F45" s="677"/>
      <c r="G45" s="80"/>
      <c r="H45" s="80"/>
      <c r="K45" s="79"/>
      <c r="L45" s="81"/>
      <c r="P45" s="81"/>
      <c r="Q45" s="679"/>
    </row>
    <row r="46" spans="1:17" s="678" customFormat="1" ht="23.25" customHeight="1">
      <c r="A46" s="673"/>
      <c r="B46" s="680"/>
      <c r="C46" s="676"/>
      <c r="D46" s="674"/>
      <c r="E46" s="677"/>
      <c r="F46" s="677"/>
      <c r="G46" s="80"/>
      <c r="H46" s="80"/>
      <c r="K46" s="79"/>
      <c r="L46" s="81"/>
      <c r="P46" s="81"/>
      <c r="Q46" s="679"/>
    </row>
    <row r="47" spans="1:17" s="678" customFormat="1" ht="12.75">
      <c r="A47" s="673"/>
      <c r="C47" s="676"/>
      <c r="D47" s="674"/>
      <c r="E47" s="677"/>
      <c r="F47" s="677"/>
      <c r="G47" s="80"/>
      <c r="H47" s="80"/>
      <c r="K47" s="79"/>
      <c r="L47" s="81"/>
      <c r="P47" s="81"/>
      <c r="Q47" s="679"/>
    </row>
    <row r="48" spans="1:17" s="678" customFormat="1" ht="12.75">
      <c r="A48" s="673"/>
      <c r="C48" s="676"/>
      <c r="D48" s="674"/>
      <c r="E48" s="677"/>
      <c r="F48" s="677"/>
      <c r="G48" s="80"/>
      <c r="H48" s="80"/>
      <c r="K48" s="79"/>
      <c r="L48" s="81"/>
      <c r="P48" s="81"/>
      <c r="Q48" s="679"/>
    </row>
  </sheetData>
  <mergeCells count="2">
    <mergeCell ref="N3:O3"/>
    <mergeCell ref="A43:B43"/>
  </mergeCells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landscape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3"/>
  <sheetViews>
    <sheetView workbookViewId="0" topLeftCell="A1">
      <selection activeCell="D20" sqref="D20"/>
    </sheetView>
  </sheetViews>
  <sheetFormatPr defaultColWidth="9.00390625" defaultRowHeight="12.75"/>
  <cols>
    <col min="1" max="1" width="6.625" style="79" customWidth="1"/>
    <col min="2" max="2" width="25.125" style="79" customWidth="1"/>
    <col min="3" max="3" width="14.125" style="79" customWidth="1"/>
    <col min="4" max="5" width="13.25390625" style="79" customWidth="1"/>
    <col min="6" max="6" width="7.625" style="79" hidden="1" customWidth="1"/>
    <col min="7" max="7" width="7.625" style="80" customWidth="1"/>
    <col min="8" max="8" width="8.75390625" style="81" customWidth="1"/>
    <col min="9" max="9" width="13.25390625" style="79" customWidth="1"/>
    <col min="10" max="10" width="13.00390625" style="79" customWidth="1"/>
    <col min="11" max="11" width="7.125" style="80" customWidth="1"/>
    <col min="12" max="12" width="12.875" style="79" customWidth="1"/>
    <col min="13" max="13" width="12.625" style="79" customWidth="1"/>
    <col min="14" max="14" width="6.875" style="80" customWidth="1"/>
    <col min="15" max="15" width="10.00390625" style="82" customWidth="1"/>
    <col min="16" max="16384" width="10.00390625" style="79" customWidth="1"/>
  </cols>
  <sheetData>
    <row r="1" spans="1:16" ht="11.25" customHeight="1">
      <c r="A1" s="78"/>
      <c r="B1" s="78"/>
      <c r="C1" s="78"/>
      <c r="D1" s="78"/>
      <c r="I1" s="78"/>
      <c r="L1" s="78"/>
      <c r="P1" s="82"/>
    </row>
    <row r="2" spans="1:16" s="90" customFormat="1" ht="15.75" customHeight="1">
      <c r="A2" s="83" t="s">
        <v>579</v>
      </c>
      <c r="B2" s="84"/>
      <c r="C2" s="84"/>
      <c r="D2" s="85"/>
      <c r="E2" s="86"/>
      <c r="F2" s="86"/>
      <c r="G2" s="87"/>
      <c r="H2" s="88"/>
      <c r="I2" s="85"/>
      <c r="J2" s="86"/>
      <c r="K2" s="87"/>
      <c r="L2" s="85"/>
      <c r="M2" s="86"/>
      <c r="N2" s="87"/>
      <c r="O2" s="89"/>
      <c r="P2" s="89"/>
    </row>
    <row r="3" spans="1:16" s="90" customFormat="1" ht="15" customHeight="1">
      <c r="A3" s="83" t="s">
        <v>580</v>
      </c>
      <c r="B3" s="84"/>
      <c r="C3" s="84"/>
      <c r="D3" s="85"/>
      <c r="E3" s="86"/>
      <c r="F3" s="86"/>
      <c r="G3" s="87"/>
      <c r="H3" s="88"/>
      <c r="I3" s="85"/>
      <c r="J3" s="86"/>
      <c r="K3" s="87"/>
      <c r="L3" s="85"/>
      <c r="M3" s="91" t="s">
        <v>581</v>
      </c>
      <c r="N3" s="87"/>
      <c r="O3" s="89"/>
      <c r="P3" s="89"/>
    </row>
    <row r="4" spans="1:16" ht="12" customHeight="1" thickBot="1">
      <c r="A4" s="92"/>
      <c r="B4" s="92"/>
      <c r="C4" s="92"/>
      <c r="D4" s="93"/>
      <c r="E4" s="94"/>
      <c r="F4" s="94"/>
      <c r="G4" s="95"/>
      <c r="H4" s="96"/>
      <c r="I4" s="94"/>
      <c r="J4" s="94"/>
      <c r="K4" s="97"/>
      <c r="L4" s="93"/>
      <c r="M4" s="98" t="s">
        <v>541</v>
      </c>
      <c r="N4" s="99"/>
      <c r="P4" s="82"/>
    </row>
    <row r="5" spans="1:14" s="82" customFormat="1" ht="19.5" customHeight="1" thickBot="1">
      <c r="A5" s="100"/>
      <c r="B5" s="101"/>
      <c r="C5" s="102"/>
      <c r="D5" s="103" t="s">
        <v>582</v>
      </c>
      <c r="E5" s="104"/>
      <c r="F5" s="104"/>
      <c r="G5" s="105"/>
      <c r="H5" s="106"/>
      <c r="I5" s="107" t="s">
        <v>583</v>
      </c>
      <c r="J5" s="107"/>
      <c r="K5" s="108"/>
      <c r="L5" s="107" t="s">
        <v>584</v>
      </c>
      <c r="M5" s="109"/>
      <c r="N5" s="110"/>
    </row>
    <row r="6" spans="1:14" s="82" customFormat="1" ht="45" customHeight="1" thickBot="1" thickTop="1">
      <c r="A6" s="111" t="s">
        <v>585</v>
      </c>
      <c r="B6" s="112" t="s">
        <v>586</v>
      </c>
      <c r="C6" s="113" t="s">
        <v>546</v>
      </c>
      <c r="D6" s="114" t="s">
        <v>547</v>
      </c>
      <c r="E6" s="115" t="s">
        <v>587</v>
      </c>
      <c r="F6" s="116" t="s">
        <v>588</v>
      </c>
      <c r="G6" s="117" t="s">
        <v>589</v>
      </c>
      <c r="H6" s="118" t="s">
        <v>590</v>
      </c>
      <c r="I6" s="114" t="s">
        <v>547</v>
      </c>
      <c r="J6" s="115" t="s">
        <v>591</v>
      </c>
      <c r="K6" s="119" t="s">
        <v>592</v>
      </c>
      <c r="L6" s="114" t="s">
        <v>547</v>
      </c>
      <c r="M6" s="115" t="s">
        <v>593</v>
      </c>
      <c r="N6" s="120" t="s">
        <v>594</v>
      </c>
    </row>
    <row r="7" spans="1:16" s="130" customFormat="1" ht="9.75" customHeight="1" thickBot="1" thickTop="1">
      <c r="A7" s="121">
        <v>1</v>
      </c>
      <c r="B7" s="122">
        <v>2</v>
      </c>
      <c r="C7" s="123">
        <v>3</v>
      </c>
      <c r="D7" s="124">
        <v>4</v>
      </c>
      <c r="E7" s="125">
        <v>5</v>
      </c>
      <c r="F7" s="125">
        <v>6</v>
      </c>
      <c r="G7" s="126">
        <v>7</v>
      </c>
      <c r="H7" s="122">
        <v>8</v>
      </c>
      <c r="I7" s="125">
        <v>9</v>
      </c>
      <c r="J7" s="125">
        <v>10</v>
      </c>
      <c r="K7" s="127">
        <v>11</v>
      </c>
      <c r="L7" s="124">
        <v>12</v>
      </c>
      <c r="M7" s="125">
        <v>13</v>
      </c>
      <c r="N7" s="128">
        <v>14</v>
      </c>
      <c r="O7" s="129"/>
      <c r="P7" s="129"/>
    </row>
    <row r="8" spans="1:15" s="142" customFormat="1" ht="33.75" customHeight="1" hidden="1">
      <c r="A8" s="131" t="s">
        <v>595</v>
      </c>
      <c r="B8" s="132" t="s">
        <v>596</v>
      </c>
      <c r="C8" s="133">
        <f>SUM(C9:C10)</f>
        <v>0</v>
      </c>
      <c r="D8" s="134">
        <f aca="true" t="shared" si="0" ref="D8:E27">I8+L8</f>
        <v>0</v>
      </c>
      <c r="E8" s="135">
        <f t="shared" si="0"/>
        <v>0</v>
      </c>
      <c r="F8" s="136" t="e">
        <f>E8/C8*100</f>
        <v>#DIV/0!</v>
      </c>
      <c r="G8" s="137" t="e">
        <f>E8/D8*100</f>
        <v>#DIV/0!</v>
      </c>
      <c r="H8" s="138">
        <f>E8/E79*100</f>
        <v>0</v>
      </c>
      <c r="I8" s="135">
        <f>SUM(I9:I10)</f>
        <v>0</v>
      </c>
      <c r="J8" s="135">
        <f>SUM(J9:J10)</f>
        <v>0</v>
      </c>
      <c r="K8" s="139" t="e">
        <f>J8/I8*100</f>
        <v>#DIV/0!</v>
      </c>
      <c r="L8" s="134"/>
      <c r="M8" s="135"/>
      <c r="N8" s="140"/>
      <c r="O8" s="141"/>
    </row>
    <row r="9" spans="1:16" s="155" customFormat="1" ht="11.25" customHeight="1" hidden="1">
      <c r="A9" s="143"/>
      <c r="B9" s="144" t="s">
        <v>597</v>
      </c>
      <c r="C9" s="145"/>
      <c r="D9" s="146">
        <f t="shared" si="0"/>
        <v>0</v>
      </c>
      <c r="E9" s="147">
        <f t="shared" si="0"/>
        <v>0</v>
      </c>
      <c r="F9" s="148" t="e">
        <f>E9/C9*100</f>
        <v>#DIV/0!</v>
      </c>
      <c r="G9" s="149" t="e">
        <f>E9/D9*100</f>
        <v>#DIV/0!</v>
      </c>
      <c r="H9" s="150"/>
      <c r="I9" s="147"/>
      <c r="J9" s="147"/>
      <c r="K9" s="151"/>
      <c r="L9" s="146"/>
      <c r="M9" s="147"/>
      <c r="N9" s="152"/>
      <c r="O9" s="153"/>
      <c r="P9" s="154"/>
    </row>
    <row r="10" spans="1:16" s="155" customFormat="1" ht="12.75" customHeight="1" hidden="1">
      <c r="A10" s="156"/>
      <c r="B10" s="157" t="s">
        <v>598</v>
      </c>
      <c r="C10" s="158"/>
      <c r="D10" s="159">
        <f t="shared" si="0"/>
        <v>0</v>
      </c>
      <c r="E10" s="160">
        <f t="shared" si="0"/>
        <v>0</v>
      </c>
      <c r="F10" s="148" t="e">
        <f>E10/C10*100</f>
        <v>#DIV/0!</v>
      </c>
      <c r="G10" s="161" t="e">
        <f>E10/D10*100</f>
        <v>#DIV/0!</v>
      </c>
      <c r="H10" s="162"/>
      <c r="I10" s="160"/>
      <c r="J10" s="160"/>
      <c r="K10" s="163"/>
      <c r="L10" s="159"/>
      <c r="M10" s="160"/>
      <c r="N10" s="164"/>
      <c r="O10" s="153"/>
      <c r="P10" s="154"/>
    </row>
    <row r="11" spans="1:16" s="176" customFormat="1" ht="15.75" customHeight="1" hidden="1">
      <c r="A11" s="165" t="s">
        <v>599</v>
      </c>
      <c r="B11" s="166" t="s">
        <v>600</v>
      </c>
      <c r="C11" s="167">
        <f>SUM(C12:C13)</f>
        <v>0</v>
      </c>
      <c r="D11" s="168">
        <f t="shared" si="0"/>
        <v>0</v>
      </c>
      <c r="E11" s="169">
        <f t="shared" si="0"/>
        <v>0</v>
      </c>
      <c r="F11" s="136" t="e">
        <f>E11/C11*100</f>
        <v>#DIV/0!</v>
      </c>
      <c r="G11" s="170" t="e">
        <f>E11/D11*100</f>
        <v>#DIV/0!</v>
      </c>
      <c r="H11" s="171">
        <f>E11/E79*100</f>
        <v>0</v>
      </c>
      <c r="I11" s="169"/>
      <c r="J11" s="169"/>
      <c r="K11" s="172"/>
      <c r="L11" s="168">
        <f>SUM(L12:L13)</f>
        <v>0</v>
      </c>
      <c r="M11" s="169">
        <f>SUM(M12:M13)</f>
        <v>0</v>
      </c>
      <c r="N11" s="173" t="e">
        <f>M11/L11*100</f>
        <v>#DIV/0!</v>
      </c>
      <c r="O11" s="174"/>
      <c r="P11" s="175"/>
    </row>
    <row r="12" spans="1:15" s="154" customFormat="1" ht="12" customHeight="1" hidden="1">
      <c r="A12" s="143"/>
      <c r="B12" s="144" t="s">
        <v>597</v>
      </c>
      <c r="C12" s="145"/>
      <c r="D12" s="146">
        <f t="shared" si="0"/>
        <v>0</v>
      </c>
      <c r="E12" s="147">
        <f t="shared" si="0"/>
        <v>0</v>
      </c>
      <c r="F12" s="177"/>
      <c r="G12" s="178"/>
      <c r="H12" s="150"/>
      <c r="I12" s="147"/>
      <c r="J12" s="147"/>
      <c r="K12" s="179"/>
      <c r="L12" s="147"/>
      <c r="M12" s="147"/>
      <c r="N12" s="152"/>
      <c r="O12" s="153"/>
    </row>
    <row r="13" spans="1:16" s="192" customFormat="1" ht="15.75" hidden="1" thickTop="1">
      <c r="A13" s="180"/>
      <c r="B13" s="181" t="s">
        <v>598</v>
      </c>
      <c r="C13" s="182"/>
      <c r="D13" s="183">
        <f t="shared" si="0"/>
        <v>0</v>
      </c>
      <c r="E13" s="184">
        <f t="shared" si="0"/>
        <v>0</v>
      </c>
      <c r="F13" s="185"/>
      <c r="G13" s="186" t="e">
        <f>E13/D13*100</f>
        <v>#DIV/0!</v>
      </c>
      <c r="H13" s="187"/>
      <c r="I13" s="184"/>
      <c r="J13" s="184"/>
      <c r="K13" s="188"/>
      <c r="L13" s="184"/>
      <c r="M13" s="184"/>
      <c r="N13" s="189"/>
      <c r="O13" s="190"/>
      <c r="P13" s="191"/>
    </row>
    <row r="14" spans="1:16" s="193" customFormat="1" ht="18" customHeight="1" hidden="1">
      <c r="A14" s="131" t="s">
        <v>601</v>
      </c>
      <c r="B14" s="132" t="s">
        <v>602</v>
      </c>
      <c r="C14" s="133">
        <f>C15</f>
        <v>0</v>
      </c>
      <c r="D14" s="134">
        <f>I14+L14</f>
        <v>0</v>
      </c>
      <c r="E14" s="135">
        <f>J14+M14</f>
        <v>0</v>
      </c>
      <c r="F14" s="136" t="e">
        <f>E14/C14*100</f>
        <v>#DIV/0!</v>
      </c>
      <c r="G14" s="170" t="e">
        <f>E14/D14*100</f>
        <v>#DIV/0!</v>
      </c>
      <c r="H14" s="171">
        <f>E14/E79*100</f>
        <v>0</v>
      </c>
      <c r="I14" s="135">
        <f>SUM(I15)</f>
        <v>0</v>
      </c>
      <c r="J14" s="135">
        <f>SUM(J15)</f>
        <v>0</v>
      </c>
      <c r="K14" s="139" t="e">
        <f>J14/I14*100</f>
        <v>#DIV/0!</v>
      </c>
      <c r="L14" s="168"/>
      <c r="M14" s="169"/>
      <c r="N14" s="173"/>
      <c r="O14" s="141"/>
      <c r="P14" s="142"/>
    </row>
    <row r="15" spans="1:15" s="154" customFormat="1" ht="13.5" customHeight="1" hidden="1">
      <c r="A15" s="143"/>
      <c r="B15" s="144" t="s">
        <v>597</v>
      </c>
      <c r="C15" s="145"/>
      <c r="D15" s="146">
        <f>I15+L15</f>
        <v>0</v>
      </c>
      <c r="E15" s="147">
        <f>J15+M15</f>
        <v>0</v>
      </c>
      <c r="F15" s="177"/>
      <c r="G15" s="178"/>
      <c r="H15" s="150"/>
      <c r="I15" s="147"/>
      <c r="J15" s="147"/>
      <c r="K15" s="179"/>
      <c r="L15" s="147"/>
      <c r="M15" s="147"/>
      <c r="N15" s="152"/>
      <c r="O15" s="153"/>
    </row>
    <row r="16" spans="1:16" s="193" customFormat="1" ht="30.75" customHeight="1" thickTop="1">
      <c r="A16" s="131" t="s">
        <v>603</v>
      </c>
      <c r="B16" s="132" t="s">
        <v>604</v>
      </c>
      <c r="C16" s="133">
        <f>SUM(C17)</f>
        <v>15242403</v>
      </c>
      <c r="D16" s="134">
        <f t="shared" si="0"/>
        <v>20552403</v>
      </c>
      <c r="E16" s="135">
        <f t="shared" si="0"/>
        <v>2989</v>
      </c>
      <c r="F16" s="136">
        <f>E16/C16*100</f>
        <v>0.01960976887961826</v>
      </c>
      <c r="G16" s="170">
        <f>E16/D16*100</f>
        <v>0.014543311553398403</v>
      </c>
      <c r="H16" s="171">
        <f>E16/E79*100</f>
        <v>0.0024177577536637785</v>
      </c>
      <c r="I16" s="135">
        <f>SUM(I17)</f>
        <v>27668</v>
      </c>
      <c r="J16" s="135">
        <f>SUM(J17)</f>
        <v>347</v>
      </c>
      <c r="K16" s="139">
        <f>J16/I16*100</f>
        <v>1.2541564261963278</v>
      </c>
      <c r="L16" s="168">
        <f>SUM(L17:L17)</f>
        <v>20524735</v>
      </c>
      <c r="M16" s="169">
        <f>SUM(M17:M17)</f>
        <v>2642</v>
      </c>
      <c r="N16" s="173">
        <f>M16/L16*100</f>
        <v>0.012872273381361562</v>
      </c>
      <c r="O16" s="141"/>
      <c r="P16" s="142"/>
    </row>
    <row r="17" spans="1:15" s="154" customFormat="1" ht="13.5" customHeight="1">
      <c r="A17" s="143"/>
      <c r="B17" s="144" t="s">
        <v>597</v>
      </c>
      <c r="C17" s="145">
        <v>15242403</v>
      </c>
      <c r="D17" s="146">
        <f t="shared" si="0"/>
        <v>20552403</v>
      </c>
      <c r="E17" s="147">
        <f t="shared" si="0"/>
        <v>2989</v>
      </c>
      <c r="F17" s="177"/>
      <c r="G17" s="178"/>
      <c r="H17" s="150"/>
      <c r="I17" s="147">
        <v>27668</v>
      </c>
      <c r="J17" s="147">
        <v>347</v>
      </c>
      <c r="K17" s="179"/>
      <c r="L17" s="147">
        <v>20524735</v>
      </c>
      <c r="M17" s="147">
        <v>2642</v>
      </c>
      <c r="N17" s="152"/>
      <c r="O17" s="153"/>
    </row>
    <row r="18" spans="1:16" s="193" customFormat="1" ht="18.75" customHeight="1" hidden="1">
      <c r="A18" s="131" t="s">
        <v>605</v>
      </c>
      <c r="B18" s="132" t="s">
        <v>606</v>
      </c>
      <c r="C18" s="133">
        <f>SUM(C19)</f>
        <v>0</v>
      </c>
      <c r="D18" s="134">
        <f t="shared" si="0"/>
        <v>0</v>
      </c>
      <c r="E18" s="135">
        <f t="shared" si="0"/>
        <v>0</v>
      </c>
      <c r="F18" s="136" t="e">
        <f>E18/C18*100</f>
        <v>#DIV/0!</v>
      </c>
      <c r="G18" s="170" t="e">
        <f>E18/D18*100</f>
        <v>#DIV/0!</v>
      </c>
      <c r="H18" s="171">
        <f>E18/E79*100</f>
        <v>0</v>
      </c>
      <c r="I18" s="135">
        <f>SUM(I19)</f>
        <v>0</v>
      </c>
      <c r="J18" s="135">
        <f>SUM(J19)</f>
        <v>0</v>
      </c>
      <c r="K18" s="139" t="e">
        <f>J18/I18*100</f>
        <v>#DIV/0!</v>
      </c>
      <c r="L18" s="168"/>
      <c r="M18" s="169"/>
      <c r="N18" s="173"/>
      <c r="O18" s="141"/>
      <c r="P18" s="142"/>
    </row>
    <row r="19" spans="1:15" s="154" customFormat="1" ht="13.5" customHeight="1" hidden="1">
      <c r="A19" s="143"/>
      <c r="B19" s="144" t="s">
        <v>597</v>
      </c>
      <c r="C19" s="145">
        <v>0</v>
      </c>
      <c r="D19" s="146">
        <f t="shared" si="0"/>
        <v>0</v>
      </c>
      <c r="E19" s="147">
        <f t="shared" si="0"/>
        <v>0</v>
      </c>
      <c r="F19" s="177"/>
      <c r="G19" s="178"/>
      <c r="H19" s="150"/>
      <c r="I19" s="147"/>
      <c r="J19" s="147"/>
      <c r="K19" s="179"/>
      <c r="L19" s="147"/>
      <c r="M19" s="147"/>
      <c r="N19" s="152"/>
      <c r="O19" s="153"/>
    </row>
    <row r="20" spans="1:16" s="193" customFormat="1" ht="32.25" customHeight="1">
      <c r="A20" s="131" t="s">
        <v>607</v>
      </c>
      <c r="B20" s="132" t="s">
        <v>608</v>
      </c>
      <c r="C20" s="133">
        <f>SUM(C21:C22)</f>
        <v>26872000</v>
      </c>
      <c r="D20" s="134">
        <f t="shared" si="0"/>
        <v>27472000</v>
      </c>
      <c r="E20" s="135">
        <f t="shared" si="0"/>
        <v>7451707</v>
      </c>
      <c r="F20" s="136">
        <f>E20/C20*100</f>
        <v>27.730377344447753</v>
      </c>
      <c r="G20" s="137">
        <f>E20/D20*100</f>
        <v>27.124734274898078</v>
      </c>
      <c r="H20" s="138">
        <f>E20/E79*100</f>
        <v>6.027575234955053</v>
      </c>
      <c r="I20" s="135">
        <f>SUM(I21:I22)</f>
        <v>26727000</v>
      </c>
      <c r="J20" s="135">
        <f>SUM(J21:J22)</f>
        <v>6993704</v>
      </c>
      <c r="K20" s="139">
        <f>J20/I20*100</f>
        <v>26.167186740000748</v>
      </c>
      <c r="L20" s="135">
        <f>SUM(L21:L22)</f>
        <v>745000</v>
      </c>
      <c r="M20" s="135">
        <f>SUM(M21:M22)</f>
        <v>458003</v>
      </c>
      <c r="N20" s="140">
        <f>M20/L20*100</f>
        <v>61.47691275167785</v>
      </c>
      <c r="O20" s="141"/>
      <c r="P20" s="142"/>
    </row>
    <row r="21" spans="1:15" s="154" customFormat="1" ht="13.5" customHeight="1">
      <c r="A21" s="143"/>
      <c r="B21" s="144" t="s">
        <v>597</v>
      </c>
      <c r="C21" s="145">
        <v>26827000</v>
      </c>
      <c r="D21" s="146">
        <f t="shared" si="0"/>
        <v>27427000</v>
      </c>
      <c r="E21" s="147">
        <f t="shared" si="0"/>
        <v>7429207</v>
      </c>
      <c r="F21" s="148">
        <f>E21/C21*100</f>
        <v>27.693021955492604</v>
      </c>
      <c r="G21" s="149">
        <f>E21/D21*100</f>
        <v>27.0872023918037</v>
      </c>
      <c r="H21" s="150"/>
      <c r="I21" s="147">
        <v>26727000</v>
      </c>
      <c r="J21" s="147">
        <v>6993704</v>
      </c>
      <c r="K21" s="179"/>
      <c r="L21" s="147">
        <v>700000</v>
      </c>
      <c r="M21" s="147">
        <v>435503</v>
      </c>
      <c r="N21" s="152"/>
      <c r="O21" s="153"/>
    </row>
    <row r="22" spans="1:16" s="155" customFormat="1" ht="13.5">
      <c r="A22" s="156"/>
      <c r="B22" s="157" t="s">
        <v>598</v>
      </c>
      <c r="C22" s="158">
        <v>45000</v>
      </c>
      <c r="D22" s="159">
        <f t="shared" si="0"/>
        <v>45000</v>
      </c>
      <c r="E22" s="160">
        <f t="shared" si="0"/>
        <v>22500</v>
      </c>
      <c r="F22" s="148">
        <f>E22/C22*100</f>
        <v>50</v>
      </c>
      <c r="G22" s="161">
        <f>E22/D22*100</f>
        <v>50</v>
      </c>
      <c r="H22" s="162"/>
      <c r="I22" s="160"/>
      <c r="J22" s="160"/>
      <c r="K22" s="163"/>
      <c r="L22" s="160">
        <v>45000</v>
      </c>
      <c r="M22" s="160">
        <v>22500</v>
      </c>
      <c r="N22" s="152">
        <f>M22/L22*100</f>
        <v>50</v>
      </c>
      <c r="O22" s="153"/>
      <c r="P22" s="154"/>
    </row>
    <row r="23" spans="1:15" s="196" customFormat="1" ht="31.5" customHeight="1">
      <c r="A23" s="165" t="s">
        <v>609</v>
      </c>
      <c r="B23" s="194" t="s">
        <v>610</v>
      </c>
      <c r="C23" s="167">
        <f>SUM(C24:C26)</f>
        <v>1080300</v>
      </c>
      <c r="D23" s="168">
        <f t="shared" si="0"/>
        <v>1080300</v>
      </c>
      <c r="E23" s="169">
        <f t="shared" si="0"/>
        <v>407256</v>
      </c>
      <c r="F23" s="136">
        <f>E23/C23*100</f>
        <v>37.698417106359344</v>
      </c>
      <c r="G23" s="170">
        <f aca="true" t="shared" si="1" ref="G23:G40">E23/D23*100</f>
        <v>37.698417106359344</v>
      </c>
      <c r="H23" s="171">
        <f>E23/E79*100</f>
        <v>0.32942333614121644</v>
      </c>
      <c r="I23" s="169">
        <f>SUM(I24:I26)</f>
        <v>826600</v>
      </c>
      <c r="J23" s="169">
        <f>SUM(J24:J26)</f>
        <v>273389</v>
      </c>
      <c r="K23" s="195">
        <f>J23/I23*100</f>
        <v>33.073917251391244</v>
      </c>
      <c r="L23" s="169">
        <f>SUM(L24:L26)</f>
        <v>253700</v>
      </c>
      <c r="M23" s="169">
        <f>SUM(M24:M26)</f>
        <v>133867</v>
      </c>
      <c r="N23" s="173">
        <f>M23/L23*100</f>
        <v>52.76586519511234</v>
      </c>
      <c r="O23" s="174"/>
    </row>
    <row r="24" spans="1:16" s="155" customFormat="1" ht="12.75" customHeight="1">
      <c r="A24" s="143"/>
      <c r="B24" s="144" t="s">
        <v>597</v>
      </c>
      <c r="C24" s="145">
        <v>810000</v>
      </c>
      <c r="D24" s="146">
        <f t="shared" si="0"/>
        <v>810000</v>
      </c>
      <c r="E24" s="147">
        <f t="shared" si="0"/>
        <v>263706</v>
      </c>
      <c r="F24" s="148">
        <f aca="true" t="shared" si="2" ref="F24:F30">E24/C24*100</f>
        <v>32.556296296296296</v>
      </c>
      <c r="G24" s="178">
        <f t="shared" si="1"/>
        <v>32.556296296296296</v>
      </c>
      <c r="H24" s="150"/>
      <c r="I24" s="147">
        <v>810000</v>
      </c>
      <c r="J24" s="147">
        <v>263706</v>
      </c>
      <c r="K24" s="179"/>
      <c r="L24" s="147"/>
      <c r="M24" s="147"/>
      <c r="N24" s="152"/>
      <c r="O24" s="153"/>
      <c r="P24" s="154"/>
    </row>
    <row r="25" spans="1:15" s="154" customFormat="1" ht="12.75" customHeight="1">
      <c r="A25" s="143"/>
      <c r="B25" s="144" t="s">
        <v>598</v>
      </c>
      <c r="C25" s="145">
        <v>253700</v>
      </c>
      <c r="D25" s="146">
        <f t="shared" si="0"/>
        <v>253700</v>
      </c>
      <c r="E25" s="147">
        <f t="shared" si="0"/>
        <v>133867</v>
      </c>
      <c r="F25" s="148">
        <f t="shared" si="2"/>
        <v>52.76586519511234</v>
      </c>
      <c r="G25" s="178">
        <f t="shared" si="1"/>
        <v>52.76586519511234</v>
      </c>
      <c r="H25" s="150"/>
      <c r="I25" s="147"/>
      <c r="J25" s="147"/>
      <c r="K25" s="179"/>
      <c r="L25" s="147">
        <v>253700</v>
      </c>
      <c r="M25" s="147">
        <v>133867</v>
      </c>
      <c r="N25" s="152"/>
      <c r="O25" s="153"/>
    </row>
    <row r="26" spans="1:16" s="155" customFormat="1" ht="13.5" customHeight="1">
      <c r="A26" s="156"/>
      <c r="B26" s="157" t="s">
        <v>611</v>
      </c>
      <c r="C26" s="158">
        <v>16600</v>
      </c>
      <c r="D26" s="159">
        <f t="shared" si="0"/>
        <v>16600</v>
      </c>
      <c r="E26" s="160">
        <f t="shared" si="0"/>
        <v>9683</v>
      </c>
      <c r="F26" s="148">
        <f t="shared" si="2"/>
        <v>58.331325301204814</v>
      </c>
      <c r="G26" s="161">
        <f t="shared" si="1"/>
        <v>58.331325301204814</v>
      </c>
      <c r="H26" s="162"/>
      <c r="I26" s="160">
        <v>16600</v>
      </c>
      <c r="J26" s="160">
        <v>9683</v>
      </c>
      <c r="K26" s="197"/>
      <c r="L26" s="160"/>
      <c r="M26" s="160"/>
      <c r="N26" s="164"/>
      <c r="O26" s="153"/>
      <c r="P26" s="154"/>
    </row>
    <row r="27" spans="1:15" s="196" customFormat="1" ht="31.5" customHeight="1">
      <c r="A27" s="165" t="s">
        <v>612</v>
      </c>
      <c r="B27" s="194" t="s">
        <v>613</v>
      </c>
      <c r="C27" s="167">
        <f>SUM(C28:C30)</f>
        <v>2893600</v>
      </c>
      <c r="D27" s="168">
        <f t="shared" si="0"/>
        <v>2940620</v>
      </c>
      <c r="E27" s="169">
        <f t="shared" si="0"/>
        <v>2668599</v>
      </c>
      <c r="F27" s="136">
        <f>E27/C27*100</f>
        <v>92.2241844069671</v>
      </c>
      <c r="G27" s="170">
        <f t="shared" si="1"/>
        <v>90.74953581217567</v>
      </c>
      <c r="H27" s="171">
        <f>E27/E79*100</f>
        <v>2.1585901383972588</v>
      </c>
      <c r="I27" s="169">
        <f>SUM(I28:I30)</f>
        <v>1142460</v>
      </c>
      <c r="J27" s="169">
        <f>SUM(J28:J30)</f>
        <v>713537</v>
      </c>
      <c r="K27" s="139">
        <f>J27/I27*100</f>
        <v>62.45619102638167</v>
      </c>
      <c r="L27" s="169">
        <f>SUM(L28:L30)</f>
        <v>1798160</v>
      </c>
      <c r="M27" s="169">
        <f>SUM(M28:M30)</f>
        <v>1955062</v>
      </c>
      <c r="N27" s="173">
        <f>M27/L27*100</f>
        <v>108.72569737954353</v>
      </c>
      <c r="O27" s="174"/>
    </row>
    <row r="28" spans="1:16" s="155" customFormat="1" ht="13.5">
      <c r="A28" s="143"/>
      <c r="B28" s="144" t="s">
        <v>597</v>
      </c>
      <c r="C28" s="145">
        <v>1904700</v>
      </c>
      <c r="D28" s="146">
        <f aca="true" t="shared" si="3" ref="D28:E30">I28+L28</f>
        <v>1936720</v>
      </c>
      <c r="E28" s="147">
        <f t="shared" si="3"/>
        <v>2137990</v>
      </c>
      <c r="F28" s="148">
        <f t="shared" si="2"/>
        <v>112.24812306399959</v>
      </c>
      <c r="G28" s="178">
        <f t="shared" si="1"/>
        <v>110.39231277624025</v>
      </c>
      <c r="H28" s="150"/>
      <c r="I28" s="147">
        <v>412060</v>
      </c>
      <c r="J28" s="147">
        <v>341926</v>
      </c>
      <c r="K28" s="151">
        <f>J28/I28*100</f>
        <v>82.97966315585109</v>
      </c>
      <c r="L28" s="147">
        <v>1524660</v>
      </c>
      <c r="M28" s="147">
        <v>1796064</v>
      </c>
      <c r="N28" s="152">
        <f>M28/L28*100</f>
        <v>117.8009523434733</v>
      </c>
      <c r="O28" s="153"/>
      <c r="P28" s="154"/>
    </row>
    <row r="29" spans="1:15" s="154" customFormat="1" ht="13.5">
      <c r="A29" s="143"/>
      <c r="B29" s="144" t="s">
        <v>598</v>
      </c>
      <c r="C29" s="145">
        <v>980400</v>
      </c>
      <c r="D29" s="146">
        <f t="shared" si="3"/>
        <v>980400</v>
      </c>
      <c r="E29" s="147">
        <f t="shared" si="3"/>
        <v>508198</v>
      </c>
      <c r="F29" s="148">
        <f t="shared" si="2"/>
        <v>51.835781313749486</v>
      </c>
      <c r="G29" s="178">
        <f t="shared" si="1"/>
        <v>51.835781313749486</v>
      </c>
      <c r="H29" s="150"/>
      <c r="I29" s="147">
        <v>715400</v>
      </c>
      <c r="J29" s="147">
        <v>357700</v>
      </c>
      <c r="K29" s="151">
        <f>J29/I29*100</f>
        <v>50</v>
      </c>
      <c r="L29" s="147">
        <v>265000</v>
      </c>
      <c r="M29" s="147">
        <v>150498</v>
      </c>
      <c r="N29" s="152">
        <f>M29/L29*100</f>
        <v>56.791698113207545</v>
      </c>
      <c r="O29" s="153"/>
    </row>
    <row r="30" spans="1:16" s="155" customFormat="1" ht="12" customHeight="1">
      <c r="A30" s="156"/>
      <c r="B30" s="157" t="s">
        <v>611</v>
      </c>
      <c r="C30" s="158">
        <v>8500</v>
      </c>
      <c r="D30" s="159">
        <f t="shared" si="3"/>
        <v>23500</v>
      </c>
      <c r="E30" s="160">
        <f t="shared" si="3"/>
        <v>22411</v>
      </c>
      <c r="F30" s="198">
        <f t="shared" si="2"/>
        <v>263.6588235294118</v>
      </c>
      <c r="G30" s="161">
        <f t="shared" si="1"/>
        <v>95.36595744680851</v>
      </c>
      <c r="H30" s="199"/>
      <c r="I30" s="160">
        <v>15000</v>
      </c>
      <c r="J30" s="160">
        <v>13911</v>
      </c>
      <c r="K30" s="197"/>
      <c r="L30" s="160">
        <v>8500</v>
      </c>
      <c r="M30" s="160">
        <v>8500</v>
      </c>
      <c r="N30" s="164">
        <f>M30/L30*100</f>
        <v>100</v>
      </c>
      <c r="O30" s="153"/>
      <c r="P30" s="154"/>
    </row>
    <row r="31" spans="1:15" s="196" customFormat="1" ht="90" customHeight="1">
      <c r="A31" s="200" t="s">
        <v>614</v>
      </c>
      <c r="B31" s="201" t="s">
        <v>615</v>
      </c>
      <c r="C31" s="202">
        <f>SUM(C32:C33)</f>
        <v>17596</v>
      </c>
      <c r="D31" s="203">
        <f>I31+L31</f>
        <v>17596</v>
      </c>
      <c r="E31" s="204">
        <f>J31+M31</f>
        <v>8796</v>
      </c>
      <c r="F31" s="205">
        <f>E31/C31*100</f>
        <v>49.98863378040464</v>
      </c>
      <c r="G31" s="206">
        <f t="shared" si="1"/>
        <v>49.98863378040464</v>
      </c>
      <c r="H31" s="207">
        <f>E31/E79*100</f>
        <v>0.007114953898034994</v>
      </c>
      <c r="I31" s="204">
        <f>SUM(I32:I33)</f>
        <v>17596</v>
      </c>
      <c r="J31" s="204">
        <f>SUM(J32:J33)</f>
        <v>8796</v>
      </c>
      <c r="K31" s="208">
        <f>J31/I31*100</f>
        <v>49.98863378040464</v>
      </c>
      <c r="L31" s="204"/>
      <c r="M31" s="204"/>
      <c r="N31" s="209"/>
      <c r="O31" s="174"/>
    </row>
    <row r="32" spans="1:15" s="191" customFormat="1" ht="15" hidden="1">
      <c r="A32" s="210"/>
      <c r="B32" s="211" t="s">
        <v>597</v>
      </c>
      <c r="C32" s="212"/>
      <c r="D32" s="213"/>
      <c r="E32" s="214"/>
      <c r="F32" s="177"/>
      <c r="G32" s="215"/>
      <c r="H32" s="216"/>
      <c r="I32" s="214"/>
      <c r="J32" s="214"/>
      <c r="K32" s="217"/>
      <c r="L32" s="214"/>
      <c r="M32" s="214"/>
      <c r="N32" s="218"/>
      <c r="O32" s="190"/>
    </row>
    <row r="33" spans="1:15" s="154" customFormat="1" ht="15.75" customHeight="1">
      <c r="A33" s="156"/>
      <c r="B33" s="157" t="s">
        <v>598</v>
      </c>
      <c r="C33" s="158">
        <v>17596</v>
      </c>
      <c r="D33" s="159">
        <f aca="true" t="shared" si="4" ref="D33:E55">I33+L33</f>
        <v>17596</v>
      </c>
      <c r="E33" s="160">
        <f t="shared" si="4"/>
        <v>8796</v>
      </c>
      <c r="F33" s="185"/>
      <c r="G33" s="161">
        <f t="shared" si="1"/>
        <v>49.98863378040464</v>
      </c>
      <c r="H33" s="162"/>
      <c r="I33" s="160">
        <v>17596</v>
      </c>
      <c r="J33" s="160">
        <v>8796</v>
      </c>
      <c r="K33" s="197"/>
      <c r="L33" s="160"/>
      <c r="M33" s="160"/>
      <c r="N33" s="219"/>
      <c r="O33" s="153"/>
    </row>
    <row r="34" spans="1:15" s="196" customFormat="1" ht="20.25" customHeight="1">
      <c r="A34" s="165" t="s">
        <v>616</v>
      </c>
      <c r="B34" s="194" t="s">
        <v>617</v>
      </c>
      <c r="C34" s="167">
        <f>SUM(C35)</f>
        <v>1000</v>
      </c>
      <c r="D34" s="168">
        <f>I34+L34</f>
        <v>1000</v>
      </c>
      <c r="E34" s="169">
        <f>J34+M34</f>
        <v>1000</v>
      </c>
      <c r="F34" s="136">
        <f>E34/C34*100</f>
        <v>100</v>
      </c>
      <c r="G34" s="170">
        <f>E34/D34*100</f>
        <v>100</v>
      </c>
      <c r="H34" s="171"/>
      <c r="I34" s="169"/>
      <c r="J34" s="169"/>
      <c r="K34" s="139"/>
      <c r="L34" s="169">
        <f>SUM(L35)</f>
        <v>1000</v>
      </c>
      <c r="M34" s="169">
        <f>SUM(M35)</f>
        <v>1000</v>
      </c>
      <c r="N34" s="220">
        <f>M34/L34*100</f>
        <v>100</v>
      </c>
      <c r="O34" s="174"/>
    </row>
    <row r="35" spans="1:15" s="231" customFormat="1" ht="15.75" customHeight="1">
      <c r="A35" s="221"/>
      <c r="B35" s="222" t="s">
        <v>598</v>
      </c>
      <c r="C35" s="223">
        <v>1000</v>
      </c>
      <c r="D35" s="224">
        <f>I35+L35</f>
        <v>1000</v>
      </c>
      <c r="E35" s="224">
        <f>J35+M35</f>
        <v>1000</v>
      </c>
      <c r="F35" s="225"/>
      <c r="G35" s="225">
        <f>E35/D35*100</f>
        <v>100</v>
      </c>
      <c r="H35" s="226"/>
      <c r="I35" s="227"/>
      <c r="J35" s="227"/>
      <c r="K35" s="228"/>
      <c r="L35" s="227">
        <v>1000</v>
      </c>
      <c r="M35" s="227">
        <v>1000</v>
      </c>
      <c r="N35" s="229"/>
      <c r="O35" s="230"/>
    </row>
    <row r="36" spans="1:15" s="196" customFormat="1" ht="41.25" customHeight="1">
      <c r="A36" s="165" t="s">
        <v>618</v>
      </c>
      <c r="B36" s="194" t="s">
        <v>619</v>
      </c>
      <c r="C36" s="167">
        <f>SUM(C37:C38)</f>
        <v>5012000</v>
      </c>
      <c r="D36" s="168">
        <f t="shared" si="4"/>
        <v>5012000</v>
      </c>
      <c r="E36" s="169">
        <f t="shared" si="4"/>
        <v>3007326</v>
      </c>
      <c r="F36" s="136">
        <f>E36/C36*100</f>
        <v>60.00251396648044</v>
      </c>
      <c r="G36" s="170">
        <f t="shared" si="1"/>
        <v>60.00251396648044</v>
      </c>
      <c r="H36" s="171">
        <f>E36/E79*100</f>
        <v>2.432581383169848</v>
      </c>
      <c r="I36" s="169">
        <f>SUM(I37:I38)</f>
        <v>6000</v>
      </c>
      <c r="J36" s="169">
        <f>SUM(J37:J38)</f>
        <v>3000</v>
      </c>
      <c r="K36" s="139">
        <f>J36/I36*100</f>
        <v>50</v>
      </c>
      <c r="L36" s="169">
        <f>SUM(L37:L38)</f>
        <v>5006000</v>
      </c>
      <c r="M36" s="169">
        <f>SUM(M37:M38)</f>
        <v>3004326</v>
      </c>
      <c r="N36" s="173">
        <f>M36/L36*100</f>
        <v>60.01450259688374</v>
      </c>
      <c r="O36" s="174"/>
    </row>
    <row r="37" spans="1:16" s="155" customFormat="1" ht="13.5" hidden="1">
      <c r="A37" s="143"/>
      <c r="B37" s="144" t="s">
        <v>597</v>
      </c>
      <c r="C37" s="145"/>
      <c r="D37" s="146">
        <f t="shared" si="4"/>
        <v>0</v>
      </c>
      <c r="E37" s="147">
        <f t="shared" si="4"/>
        <v>0</v>
      </c>
      <c r="F37" s="148" t="e">
        <f>E37/C37*100</f>
        <v>#DIV/0!</v>
      </c>
      <c r="G37" s="178" t="e">
        <f t="shared" si="1"/>
        <v>#DIV/0!</v>
      </c>
      <c r="H37" s="150"/>
      <c r="I37" s="147"/>
      <c r="J37" s="147"/>
      <c r="K37" s="179" t="e">
        <f>J37/I37*100</f>
        <v>#DIV/0!</v>
      </c>
      <c r="L37" s="147"/>
      <c r="M37" s="147"/>
      <c r="N37" s="152" t="e">
        <f>M37/L37*100</f>
        <v>#DIV/0!</v>
      </c>
      <c r="O37" s="153"/>
      <c r="P37" s="154"/>
    </row>
    <row r="38" spans="1:16" s="155" customFormat="1" ht="13.5" customHeight="1">
      <c r="A38" s="156"/>
      <c r="B38" s="157" t="s">
        <v>598</v>
      </c>
      <c r="C38" s="158">
        <v>5012000</v>
      </c>
      <c r="D38" s="159">
        <f t="shared" si="4"/>
        <v>5012000</v>
      </c>
      <c r="E38" s="160">
        <f t="shared" si="4"/>
        <v>3007326</v>
      </c>
      <c r="F38" s="148">
        <f>E38/C38*100</f>
        <v>60.00251396648044</v>
      </c>
      <c r="G38" s="161">
        <f t="shared" si="1"/>
        <v>60.00251396648044</v>
      </c>
      <c r="H38" s="162"/>
      <c r="I38" s="160">
        <v>6000</v>
      </c>
      <c r="J38" s="160">
        <v>3000</v>
      </c>
      <c r="K38" s="197">
        <f>J38/I38*100</f>
        <v>50</v>
      </c>
      <c r="L38" s="160">
        <v>5006000</v>
      </c>
      <c r="M38" s="160">
        <v>3004326</v>
      </c>
      <c r="N38" s="164">
        <f>M38/L38*100</f>
        <v>60.01450259688374</v>
      </c>
      <c r="O38" s="153"/>
      <c r="P38" s="154"/>
    </row>
    <row r="39" spans="1:16" s="176" customFormat="1" ht="132.75" customHeight="1">
      <c r="A39" s="232" t="s">
        <v>620</v>
      </c>
      <c r="B39" s="233" t="s">
        <v>621</v>
      </c>
      <c r="C39" s="234">
        <f>C40</f>
        <v>108005003</v>
      </c>
      <c r="D39" s="235">
        <f t="shared" si="4"/>
        <v>108698091</v>
      </c>
      <c r="E39" s="169">
        <f t="shared" si="4"/>
        <v>51060843</v>
      </c>
      <c r="F39" s="236"/>
      <c r="G39" s="170">
        <f t="shared" si="1"/>
        <v>46.97492157428965</v>
      </c>
      <c r="H39" s="237">
        <f>E39/E79*100</f>
        <v>41.30235833785844</v>
      </c>
      <c r="I39" s="238">
        <f>I40</f>
        <v>93714261</v>
      </c>
      <c r="J39" s="238">
        <f>J40</f>
        <v>44585131</v>
      </c>
      <c r="K39" s="239">
        <f>J39/I39*100</f>
        <v>47.575609650275105</v>
      </c>
      <c r="L39" s="238">
        <f>L40</f>
        <v>14983830</v>
      </c>
      <c r="M39" s="238">
        <f>M40</f>
        <v>6475712</v>
      </c>
      <c r="N39" s="173">
        <f>M39/L39*100</f>
        <v>43.2180023398557</v>
      </c>
      <c r="O39" s="174"/>
      <c r="P39" s="175"/>
    </row>
    <row r="40" spans="1:16" s="250" customFormat="1" ht="19.5" customHeight="1">
      <c r="A40" s="240"/>
      <c r="B40" s="241" t="s">
        <v>597</v>
      </c>
      <c r="C40" s="242">
        <v>108005003</v>
      </c>
      <c r="D40" s="243">
        <f t="shared" si="4"/>
        <v>108698091</v>
      </c>
      <c r="E40" s="244">
        <f t="shared" si="4"/>
        <v>51060843</v>
      </c>
      <c r="F40" s="245"/>
      <c r="G40" s="246">
        <f t="shared" si="1"/>
        <v>46.97492157428965</v>
      </c>
      <c r="H40" s="247"/>
      <c r="I40" s="244">
        <v>93714261</v>
      </c>
      <c r="J40" s="244">
        <v>44585131</v>
      </c>
      <c r="K40" s="248"/>
      <c r="L40" s="244">
        <v>14983830</v>
      </c>
      <c r="M40" s="244">
        <v>6475712</v>
      </c>
      <c r="N40" s="249"/>
      <c r="O40" s="230"/>
      <c r="P40" s="231"/>
    </row>
    <row r="41" spans="1:15" s="196" customFormat="1" ht="30.75" customHeight="1" hidden="1">
      <c r="A41" s="165" t="s">
        <v>622</v>
      </c>
      <c r="B41" s="194" t="s">
        <v>623</v>
      </c>
      <c r="C41" s="167">
        <f>SUM(C42:C43)</f>
        <v>0</v>
      </c>
      <c r="D41" s="168">
        <f t="shared" si="4"/>
        <v>0</v>
      </c>
      <c r="E41" s="169">
        <f t="shared" si="4"/>
        <v>0</v>
      </c>
      <c r="F41" s="136" t="e">
        <f>E41/C41*100</f>
        <v>#DIV/0!</v>
      </c>
      <c r="G41" s="170" t="e">
        <f>E41/D41*100</f>
        <v>#DIV/0!</v>
      </c>
      <c r="H41" s="237"/>
      <c r="I41" s="169">
        <f>SUM(I42:I43)</f>
        <v>0</v>
      </c>
      <c r="J41" s="169">
        <f>SUM(J42:J43)</f>
        <v>0</v>
      </c>
      <c r="K41" s="139" t="e">
        <f>J41/I41*100</f>
        <v>#DIV/0!</v>
      </c>
      <c r="L41" s="169"/>
      <c r="M41" s="169"/>
      <c r="N41" s="173"/>
      <c r="O41" s="174"/>
    </row>
    <row r="42" spans="1:16" s="155" customFormat="1" ht="12" customHeight="1" hidden="1">
      <c r="A42" s="143"/>
      <c r="B42" s="144" t="s">
        <v>597</v>
      </c>
      <c r="C42" s="145"/>
      <c r="D42" s="146">
        <f t="shared" si="4"/>
        <v>0</v>
      </c>
      <c r="E42" s="147">
        <f t="shared" si="4"/>
        <v>0</v>
      </c>
      <c r="F42" s="177"/>
      <c r="G42" s="178" t="e">
        <f>E42/D42*100</f>
        <v>#DIV/0!</v>
      </c>
      <c r="H42" s="150"/>
      <c r="I42" s="147"/>
      <c r="J42" s="147"/>
      <c r="K42" s="179"/>
      <c r="L42" s="147"/>
      <c r="M42" s="147"/>
      <c r="N42" s="251"/>
      <c r="O42" s="153"/>
      <c r="P42" s="154"/>
    </row>
    <row r="43" spans="1:16" s="192" customFormat="1" ht="10.5" customHeight="1" hidden="1">
      <c r="A43" s="180"/>
      <c r="B43" s="181" t="s">
        <v>598</v>
      </c>
      <c r="C43" s="182"/>
      <c r="D43" s="183"/>
      <c r="E43" s="184"/>
      <c r="F43" s="185"/>
      <c r="G43" s="186"/>
      <c r="H43" s="188"/>
      <c r="I43" s="184"/>
      <c r="J43" s="184"/>
      <c r="K43" s="188"/>
      <c r="L43" s="184"/>
      <c r="M43" s="184"/>
      <c r="N43" s="252"/>
      <c r="O43" s="190"/>
      <c r="P43" s="191"/>
    </row>
    <row r="44" spans="1:15" s="196" customFormat="1" ht="21.75" customHeight="1">
      <c r="A44" s="165" t="s">
        <v>624</v>
      </c>
      <c r="B44" s="194" t="s">
        <v>625</v>
      </c>
      <c r="C44" s="167">
        <f>SUM(C45:C46)</f>
        <v>71181167</v>
      </c>
      <c r="D44" s="168">
        <f t="shared" si="4"/>
        <v>70480833</v>
      </c>
      <c r="E44" s="169">
        <f>J44+M44</f>
        <v>44494953</v>
      </c>
      <c r="F44" s="253"/>
      <c r="G44" s="170">
        <f aca="true" t="shared" si="5" ref="G44:G55">E44/D44*100</f>
        <v>63.13057196699137</v>
      </c>
      <c r="H44" s="254">
        <f>E44/E79*100</f>
        <v>35.99130733176828</v>
      </c>
      <c r="I44" s="169">
        <f>SUM(I45:I46)</f>
        <v>33042183</v>
      </c>
      <c r="J44" s="169">
        <f>SUM(J45:J46)</f>
        <v>20907752</v>
      </c>
      <c r="K44" s="139">
        <f aca="true" t="shared" si="6" ref="K44:K53">J44/I44*100</f>
        <v>63.275940333603266</v>
      </c>
      <c r="L44" s="169">
        <f>L45</f>
        <v>37438650</v>
      </c>
      <c r="M44" s="169">
        <f>M45</f>
        <v>23587201</v>
      </c>
      <c r="N44" s="220">
        <f>M44/L44*100</f>
        <v>63.002274387564725</v>
      </c>
      <c r="O44" s="174"/>
    </row>
    <row r="45" spans="1:16" s="155" customFormat="1" ht="13.5" customHeight="1">
      <c r="A45" s="143"/>
      <c r="B45" s="144" t="s">
        <v>597</v>
      </c>
      <c r="C45" s="145">
        <v>71181167</v>
      </c>
      <c r="D45" s="146">
        <f t="shared" si="4"/>
        <v>70480833</v>
      </c>
      <c r="E45" s="147">
        <f t="shared" si="4"/>
        <v>44494953</v>
      </c>
      <c r="F45" s="177"/>
      <c r="G45" s="178">
        <f t="shared" si="5"/>
        <v>63.13057196699137</v>
      </c>
      <c r="H45" s="179"/>
      <c r="I45" s="147">
        <v>33042183</v>
      </c>
      <c r="J45" s="147">
        <v>20907752</v>
      </c>
      <c r="K45" s="179"/>
      <c r="L45" s="147">
        <v>37438650</v>
      </c>
      <c r="M45" s="147">
        <v>23587201</v>
      </c>
      <c r="N45" s="152"/>
      <c r="O45" s="153"/>
      <c r="P45" s="154"/>
    </row>
    <row r="46" spans="1:16" s="192" customFormat="1" ht="15" hidden="1">
      <c r="A46" s="180"/>
      <c r="B46" s="181" t="s">
        <v>598</v>
      </c>
      <c r="C46" s="182"/>
      <c r="D46" s="213">
        <f t="shared" si="4"/>
        <v>0</v>
      </c>
      <c r="E46" s="184">
        <f t="shared" si="4"/>
        <v>0</v>
      </c>
      <c r="F46" s="185"/>
      <c r="G46" s="186" t="e">
        <f t="shared" si="5"/>
        <v>#DIV/0!</v>
      </c>
      <c r="H46" s="188"/>
      <c r="I46" s="184"/>
      <c r="J46" s="184"/>
      <c r="K46" s="188"/>
      <c r="L46" s="184"/>
      <c r="M46" s="184"/>
      <c r="N46" s="189"/>
      <c r="O46" s="190"/>
      <c r="P46" s="191"/>
    </row>
    <row r="47" spans="1:15" s="196" customFormat="1" ht="31.5" customHeight="1">
      <c r="A47" s="165" t="s">
        <v>626</v>
      </c>
      <c r="B47" s="194" t="s">
        <v>627</v>
      </c>
      <c r="C47" s="167">
        <f>SUM(C48:C50)</f>
        <v>641500</v>
      </c>
      <c r="D47" s="168">
        <f t="shared" si="4"/>
        <v>1259941</v>
      </c>
      <c r="E47" s="169">
        <f t="shared" si="4"/>
        <v>557710</v>
      </c>
      <c r="F47" s="136">
        <f>E47/C47*100</f>
        <v>86.93842556508184</v>
      </c>
      <c r="G47" s="170">
        <f t="shared" si="5"/>
        <v>44.26477112817187</v>
      </c>
      <c r="H47" s="254">
        <f>E47/E79*100</f>
        <v>0.45112334452854663</v>
      </c>
      <c r="I47" s="169">
        <f>SUM(I48:I50)</f>
        <v>401050</v>
      </c>
      <c r="J47" s="169">
        <f>SUM(J48:J50)</f>
        <v>288725</v>
      </c>
      <c r="K47" s="139">
        <f t="shared" si="6"/>
        <v>71.99227029048747</v>
      </c>
      <c r="L47" s="169">
        <f>SUM(L48:L50)</f>
        <v>858891</v>
      </c>
      <c r="M47" s="169">
        <f>SUM(M48:M50)</f>
        <v>268985</v>
      </c>
      <c r="N47" s="173">
        <f>M47/L47*100</f>
        <v>31.317710862030225</v>
      </c>
      <c r="O47" s="174"/>
    </row>
    <row r="48" spans="1:16" s="155" customFormat="1" ht="14.25" customHeight="1">
      <c r="A48" s="156"/>
      <c r="B48" s="157" t="s">
        <v>597</v>
      </c>
      <c r="C48" s="158">
        <v>641500</v>
      </c>
      <c r="D48" s="159">
        <f t="shared" si="4"/>
        <v>1259941</v>
      </c>
      <c r="E48" s="160">
        <f t="shared" si="4"/>
        <v>557710</v>
      </c>
      <c r="F48" s="185">
        <f>E48/C48*100</f>
        <v>86.93842556508184</v>
      </c>
      <c r="G48" s="161">
        <f t="shared" si="5"/>
        <v>44.26477112817187</v>
      </c>
      <c r="H48" s="197"/>
      <c r="I48" s="160">
        <v>401050</v>
      </c>
      <c r="J48" s="160">
        <v>288725</v>
      </c>
      <c r="K48" s="197">
        <f t="shared" si="6"/>
        <v>71.99227029048747</v>
      </c>
      <c r="L48" s="160">
        <v>858891</v>
      </c>
      <c r="M48" s="160">
        <v>268985</v>
      </c>
      <c r="N48" s="164">
        <f>M48/L48*100</f>
        <v>31.317710862030225</v>
      </c>
      <c r="O48" s="153"/>
      <c r="P48" s="154"/>
    </row>
    <row r="49" spans="1:16" s="155" customFormat="1" ht="13.5" hidden="1">
      <c r="A49" s="143"/>
      <c r="B49" s="144" t="s">
        <v>598</v>
      </c>
      <c r="C49" s="145"/>
      <c r="D49" s="146">
        <f t="shared" si="4"/>
        <v>0</v>
      </c>
      <c r="E49" s="147">
        <f t="shared" si="4"/>
        <v>0</v>
      </c>
      <c r="F49" s="177" t="e">
        <f>E49/C49*100</f>
        <v>#DIV/0!</v>
      </c>
      <c r="G49" s="178" t="e">
        <f t="shared" si="5"/>
        <v>#DIV/0!</v>
      </c>
      <c r="H49" s="179"/>
      <c r="I49" s="147"/>
      <c r="J49" s="147"/>
      <c r="K49" s="179"/>
      <c r="L49" s="147"/>
      <c r="M49" s="147"/>
      <c r="N49" s="152"/>
      <c r="O49" s="153"/>
      <c r="P49" s="154"/>
    </row>
    <row r="50" spans="1:16" s="155" customFormat="1" ht="13.5" hidden="1">
      <c r="A50" s="156"/>
      <c r="B50" s="157" t="s">
        <v>611</v>
      </c>
      <c r="C50" s="145"/>
      <c r="D50" s="146">
        <f t="shared" si="4"/>
        <v>0</v>
      </c>
      <c r="E50" s="147">
        <f t="shared" si="4"/>
        <v>0</v>
      </c>
      <c r="F50" s="177" t="e">
        <f>E50/C50*100</f>
        <v>#DIV/0!</v>
      </c>
      <c r="G50" s="178" t="e">
        <f t="shared" si="5"/>
        <v>#DIV/0!</v>
      </c>
      <c r="H50" s="197"/>
      <c r="I50" s="160"/>
      <c r="J50" s="160"/>
      <c r="K50" s="179" t="e">
        <f t="shared" si="6"/>
        <v>#DIV/0!</v>
      </c>
      <c r="L50" s="159"/>
      <c r="M50" s="160"/>
      <c r="N50" s="152"/>
      <c r="O50" s="153"/>
      <c r="P50" s="154"/>
    </row>
    <row r="51" spans="1:16" s="193" customFormat="1" ht="34.5" customHeight="1">
      <c r="A51" s="131" t="s">
        <v>628</v>
      </c>
      <c r="B51" s="132" t="s">
        <v>629</v>
      </c>
      <c r="C51" s="133">
        <f>SUM(C52)</f>
        <v>62500</v>
      </c>
      <c r="D51" s="134">
        <f t="shared" si="4"/>
        <v>53500</v>
      </c>
      <c r="E51" s="135">
        <f t="shared" si="4"/>
        <v>53496</v>
      </c>
      <c r="F51" s="136">
        <f>E51/C51*100</f>
        <v>85.59360000000001</v>
      </c>
      <c r="G51" s="170">
        <f>E51/D51*100</f>
        <v>99.99252336448599</v>
      </c>
      <c r="H51" s="254">
        <f>E51/E79*100</f>
        <v>0.043272120705920875</v>
      </c>
      <c r="I51" s="135">
        <f>SUM(I52)</f>
        <v>53500</v>
      </c>
      <c r="J51" s="135">
        <f>SUM(J52)</f>
        <v>53496</v>
      </c>
      <c r="K51" s="139">
        <f t="shared" si="6"/>
        <v>99.99252336448599</v>
      </c>
      <c r="L51" s="168"/>
      <c r="M51" s="169"/>
      <c r="N51" s="173"/>
      <c r="O51" s="141"/>
      <c r="P51" s="142"/>
    </row>
    <row r="52" spans="1:15" s="154" customFormat="1" ht="13.5" customHeight="1">
      <c r="A52" s="143"/>
      <c r="B52" s="144" t="s">
        <v>597</v>
      </c>
      <c r="C52" s="145">
        <v>62500</v>
      </c>
      <c r="D52" s="146">
        <f t="shared" si="4"/>
        <v>53500</v>
      </c>
      <c r="E52" s="147">
        <f t="shared" si="4"/>
        <v>53496</v>
      </c>
      <c r="F52" s="177"/>
      <c r="G52" s="178"/>
      <c r="H52" s="179"/>
      <c r="I52" s="147">
        <v>53500</v>
      </c>
      <c r="J52" s="147">
        <v>53496</v>
      </c>
      <c r="K52" s="179"/>
      <c r="L52" s="147"/>
      <c r="M52" s="147"/>
      <c r="N52" s="152"/>
      <c r="O52" s="153"/>
    </row>
    <row r="53" spans="1:15" s="196" customFormat="1" ht="19.5" customHeight="1">
      <c r="A53" s="165" t="s">
        <v>630</v>
      </c>
      <c r="B53" s="194" t="s">
        <v>631</v>
      </c>
      <c r="C53" s="167">
        <f>SUM(C54:C55)</f>
        <v>9000</v>
      </c>
      <c r="D53" s="168">
        <f t="shared" si="4"/>
        <v>15000</v>
      </c>
      <c r="E53" s="169">
        <f t="shared" si="4"/>
        <v>29242</v>
      </c>
      <c r="F53" s="136">
        <f>E53/C53*100</f>
        <v>324.9111111111111</v>
      </c>
      <c r="G53" s="170">
        <f t="shared" si="5"/>
        <v>194.94666666666666</v>
      </c>
      <c r="H53" s="254">
        <f>E53/E79*100</f>
        <v>0.023653419950697963</v>
      </c>
      <c r="I53" s="169">
        <f>SUM(I54:I55)</f>
        <v>6000</v>
      </c>
      <c r="J53" s="169">
        <f>SUM(J54:J55)</f>
        <v>24742</v>
      </c>
      <c r="K53" s="139">
        <f t="shared" si="6"/>
        <v>412.3666666666667</v>
      </c>
      <c r="L53" s="169">
        <f>SUM(L54:L55)</f>
        <v>9000</v>
      </c>
      <c r="M53" s="169">
        <f>SUM(M54:M55)</f>
        <v>4500</v>
      </c>
      <c r="N53" s="220">
        <f>M53/L53*100</f>
        <v>50</v>
      </c>
      <c r="O53" s="174"/>
    </row>
    <row r="54" spans="1:16" s="155" customFormat="1" ht="14.25">
      <c r="A54" s="143"/>
      <c r="B54" s="144" t="s">
        <v>597</v>
      </c>
      <c r="C54" s="145"/>
      <c r="D54" s="146">
        <f t="shared" si="4"/>
        <v>6000</v>
      </c>
      <c r="E54" s="147">
        <f t="shared" si="4"/>
        <v>24742</v>
      </c>
      <c r="F54" s="148" t="e">
        <f>E54/C54*100</f>
        <v>#DIV/0!</v>
      </c>
      <c r="G54" s="178">
        <f t="shared" si="5"/>
        <v>412.3666666666667</v>
      </c>
      <c r="H54" s="255"/>
      <c r="I54" s="147">
        <v>6000</v>
      </c>
      <c r="J54" s="147">
        <v>24742</v>
      </c>
      <c r="K54" s="179"/>
      <c r="L54" s="147"/>
      <c r="M54" s="147"/>
      <c r="N54" s="152"/>
      <c r="O54" s="153"/>
      <c r="P54" s="154"/>
    </row>
    <row r="55" spans="1:16" s="155" customFormat="1" ht="14.25">
      <c r="A55" s="143"/>
      <c r="B55" s="144" t="s">
        <v>598</v>
      </c>
      <c r="C55" s="145">
        <v>9000</v>
      </c>
      <c r="D55" s="146">
        <f t="shared" si="4"/>
        <v>9000</v>
      </c>
      <c r="E55" s="147">
        <f t="shared" si="4"/>
        <v>4500</v>
      </c>
      <c r="F55" s="148">
        <f>E55/C55*100</f>
        <v>50</v>
      </c>
      <c r="G55" s="178">
        <f t="shared" si="5"/>
        <v>50</v>
      </c>
      <c r="H55" s="239"/>
      <c r="I55" s="147"/>
      <c r="J55" s="147"/>
      <c r="K55" s="179"/>
      <c r="L55" s="147">
        <v>9000</v>
      </c>
      <c r="M55" s="147">
        <v>4500</v>
      </c>
      <c r="N55" s="152"/>
      <c r="O55" s="153"/>
      <c r="P55" s="154"/>
    </row>
    <row r="56" spans="1:15" s="154" customFormat="1" ht="14.25" hidden="1">
      <c r="A56" s="143"/>
      <c r="B56" s="157" t="s">
        <v>611</v>
      </c>
      <c r="C56" s="145"/>
      <c r="D56" s="146"/>
      <c r="E56" s="147"/>
      <c r="F56" s="177"/>
      <c r="G56" s="178"/>
      <c r="H56" s="254" t="e">
        <f>E56/#REF!*100</f>
        <v>#REF!</v>
      </c>
      <c r="I56" s="147"/>
      <c r="J56" s="147"/>
      <c r="K56" s="179"/>
      <c r="L56" s="147"/>
      <c r="M56" s="147"/>
      <c r="N56" s="152"/>
      <c r="O56" s="153"/>
    </row>
    <row r="57" spans="1:15" s="196" customFormat="1" ht="18" customHeight="1">
      <c r="A57" s="165" t="s">
        <v>632</v>
      </c>
      <c r="B57" s="194" t="s">
        <v>633</v>
      </c>
      <c r="C57" s="167">
        <f>SUM(C58:C60)</f>
        <v>21079200</v>
      </c>
      <c r="D57" s="168">
        <f aca="true" t="shared" si="7" ref="D57:E68">I57+L57</f>
        <v>23141310</v>
      </c>
      <c r="E57" s="169">
        <f t="shared" si="7"/>
        <v>12466131</v>
      </c>
      <c r="F57" s="136">
        <f>E57/C57*100</f>
        <v>59.13948821587157</v>
      </c>
      <c r="G57" s="170">
        <f aca="true" t="shared" si="8" ref="G57:G64">E57/D57*100</f>
        <v>53.869599430628604</v>
      </c>
      <c r="H57" s="254">
        <f>E57/E79*100</f>
        <v>10.083668411990095</v>
      </c>
      <c r="I57" s="169">
        <f>SUM(I58:I60)</f>
        <v>23118230</v>
      </c>
      <c r="J57" s="169">
        <f>SUM(J58:J60)</f>
        <v>12421075</v>
      </c>
      <c r="K57" s="139">
        <f>J57/I57*100</f>
        <v>53.72848613410282</v>
      </c>
      <c r="L57" s="169">
        <f>SUM(L58:L60)</f>
        <v>23080</v>
      </c>
      <c r="M57" s="169">
        <f>SUM(M58:M60)</f>
        <v>45056</v>
      </c>
      <c r="N57" s="173">
        <f aca="true" t="shared" si="9" ref="N57:N64">M57/L57*100</f>
        <v>195.21663778162912</v>
      </c>
      <c r="O57" s="174"/>
    </row>
    <row r="58" spans="1:16" s="155" customFormat="1" ht="12" customHeight="1">
      <c r="A58" s="143"/>
      <c r="B58" s="144" t="s">
        <v>597</v>
      </c>
      <c r="C58" s="145">
        <v>2158200</v>
      </c>
      <c r="D58" s="146">
        <f t="shared" si="7"/>
        <v>2961310</v>
      </c>
      <c r="E58" s="147">
        <f t="shared" si="7"/>
        <v>1976999</v>
      </c>
      <c r="F58" s="148">
        <f>E58/C58*100</f>
        <v>91.60406820498564</v>
      </c>
      <c r="G58" s="178">
        <f t="shared" si="8"/>
        <v>66.76096052085056</v>
      </c>
      <c r="H58" s="179"/>
      <c r="I58" s="147">
        <v>2952230</v>
      </c>
      <c r="J58" s="147">
        <v>1952604</v>
      </c>
      <c r="K58" s="179">
        <f>J58/I58*100</f>
        <v>66.13996876937095</v>
      </c>
      <c r="L58" s="147">
        <v>9080</v>
      </c>
      <c r="M58" s="147">
        <v>24395</v>
      </c>
      <c r="N58" s="251">
        <f t="shared" si="9"/>
        <v>268.6674008810573</v>
      </c>
      <c r="O58" s="153"/>
      <c r="P58" s="154"/>
    </row>
    <row r="59" spans="1:15" s="154" customFormat="1" ht="13.5">
      <c r="A59" s="156"/>
      <c r="B59" s="157" t="s">
        <v>598</v>
      </c>
      <c r="C59" s="158">
        <v>18921000</v>
      </c>
      <c r="D59" s="159">
        <f t="shared" si="7"/>
        <v>20180000</v>
      </c>
      <c r="E59" s="160">
        <f t="shared" si="7"/>
        <v>10489132</v>
      </c>
      <c r="F59" s="198">
        <f>E59/C59*100</f>
        <v>55.436456846889705</v>
      </c>
      <c r="G59" s="161">
        <f t="shared" si="8"/>
        <v>51.97785926660059</v>
      </c>
      <c r="H59" s="197"/>
      <c r="I59" s="160">
        <v>20166000</v>
      </c>
      <c r="J59" s="160">
        <v>10468471</v>
      </c>
      <c r="K59" s="197">
        <f>J59/I59*100</f>
        <v>51.911489636021024</v>
      </c>
      <c r="L59" s="160">
        <v>14000</v>
      </c>
      <c r="M59" s="160">
        <v>20661</v>
      </c>
      <c r="N59" s="219">
        <f t="shared" si="9"/>
        <v>147.57857142857142</v>
      </c>
      <c r="O59" s="153"/>
    </row>
    <row r="60" spans="1:15" s="154" customFormat="1" ht="13.5" hidden="1">
      <c r="A60" s="156"/>
      <c r="B60" s="157" t="s">
        <v>611</v>
      </c>
      <c r="C60" s="158"/>
      <c r="D60" s="146">
        <f t="shared" si="7"/>
        <v>0</v>
      </c>
      <c r="E60" s="147">
        <f t="shared" si="7"/>
        <v>0</v>
      </c>
      <c r="F60" s="198" t="e">
        <f>E60/C60*100</f>
        <v>#DIV/0!</v>
      </c>
      <c r="G60" s="178" t="e">
        <f t="shared" si="8"/>
        <v>#DIV/0!</v>
      </c>
      <c r="H60" s="197"/>
      <c r="I60" s="160"/>
      <c r="J60" s="160"/>
      <c r="K60" s="197"/>
      <c r="L60" s="160"/>
      <c r="M60" s="160"/>
      <c r="N60" s="219" t="e">
        <f t="shared" si="9"/>
        <v>#DIV/0!</v>
      </c>
      <c r="O60" s="153"/>
    </row>
    <row r="61" spans="1:15" s="175" customFormat="1" ht="57">
      <c r="A61" s="232" t="s">
        <v>634</v>
      </c>
      <c r="B61" s="233" t="s">
        <v>635</v>
      </c>
      <c r="C61" s="234">
        <f>SUM(C62:C63)</f>
        <v>178600</v>
      </c>
      <c r="D61" s="256">
        <f t="shared" si="7"/>
        <v>178600</v>
      </c>
      <c r="E61" s="238">
        <f t="shared" si="7"/>
        <v>77071</v>
      </c>
      <c r="F61" s="236"/>
      <c r="G61" s="257">
        <f t="shared" si="8"/>
        <v>43.1528555431131</v>
      </c>
      <c r="H61" s="254">
        <f>E61/E79*100</f>
        <v>0.06234158843513586</v>
      </c>
      <c r="I61" s="238"/>
      <c r="J61" s="238"/>
      <c r="K61" s="239"/>
      <c r="L61" s="238">
        <f>SUM(L62:L63)</f>
        <v>178600</v>
      </c>
      <c r="M61" s="238">
        <f>SUM(M62:M63)</f>
        <v>77071</v>
      </c>
      <c r="N61" s="258">
        <f t="shared" si="9"/>
        <v>43.1528555431131</v>
      </c>
      <c r="O61" s="174"/>
    </row>
    <row r="62" spans="1:15" s="154" customFormat="1" ht="14.25">
      <c r="A62" s="143"/>
      <c r="B62" s="144" t="s">
        <v>597</v>
      </c>
      <c r="C62" s="145">
        <v>72600</v>
      </c>
      <c r="D62" s="146">
        <f t="shared" si="7"/>
        <v>72600</v>
      </c>
      <c r="E62" s="147">
        <f t="shared" si="7"/>
        <v>20000</v>
      </c>
      <c r="F62" s="148"/>
      <c r="G62" s="178">
        <f t="shared" si="8"/>
        <v>27.548209366391184</v>
      </c>
      <c r="H62" s="255"/>
      <c r="I62" s="147"/>
      <c r="J62" s="147"/>
      <c r="K62" s="179"/>
      <c r="L62" s="147">
        <v>72600</v>
      </c>
      <c r="M62" s="147">
        <v>20000</v>
      </c>
      <c r="N62" s="259">
        <f t="shared" si="9"/>
        <v>27.548209366391184</v>
      </c>
      <c r="O62" s="153"/>
    </row>
    <row r="63" spans="1:15" s="154" customFormat="1" ht="14.25">
      <c r="A63" s="143"/>
      <c r="B63" s="144" t="s">
        <v>598</v>
      </c>
      <c r="C63" s="145">
        <v>106000</v>
      </c>
      <c r="D63" s="146">
        <f t="shared" si="7"/>
        <v>106000</v>
      </c>
      <c r="E63" s="147">
        <f t="shared" si="7"/>
        <v>57071</v>
      </c>
      <c r="F63" s="148"/>
      <c r="G63" s="178">
        <f t="shared" si="8"/>
        <v>53.84056603773585</v>
      </c>
      <c r="H63" s="260"/>
      <c r="I63" s="147"/>
      <c r="J63" s="147"/>
      <c r="K63" s="179"/>
      <c r="L63" s="147">
        <v>106000</v>
      </c>
      <c r="M63" s="147">
        <v>57071</v>
      </c>
      <c r="N63" s="259">
        <f t="shared" si="9"/>
        <v>53.84056603773585</v>
      </c>
      <c r="O63" s="153"/>
    </row>
    <row r="64" spans="1:15" s="196" customFormat="1" ht="35.25" customHeight="1">
      <c r="A64" s="165" t="s">
        <v>636</v>
      </c>
      <c r="B64" s="194" t="s">
        <v>637</v>
      </c>
      <c r="C64" s="167">
        <f>SUM(C65:C66)</f>
        <v>1152300</v>
      </c>
      <c r="D64" s="168">
        <f t="shared" si="7"/>
        <v>1513491</v>
      </c>
      <c r="E64" s="169">
        <f t="shared" si="7"/>
        <v>1187362</v>
      </c>
      <c r="F64" s="136">
        <f>E64/C64*100</f>
        <v>103.04278399722295</v>
      </c>
      <c r="G64" s="170">
        <f t="shared" si="8"/>
        <v>78.4518705430029</v>
      </c>
      <c r="H64" s="254">
        <f>E64/E79*100</f>
        <v>0.9604395054887024</v>
      </c>
      <c r="I64" s="169">
        <f>SUM(I65:I66)</f>
        <v>529106</v>
      </c>
      <c r="J64" s="169">
        <f>SUM(J65:J66)</f>
        <v>310525</v>
      </c>
      <c r="K64" s="139">
        <f>J64/I64*100</f>
        <v>58.68861815968823</v>
      </c>
      <c r="L64" s="169">
        <f>SUM(L65:L66)</f>
        <v>984385</v>
      </c>
      <c r="M64" s="169">
        <f>SUM(M65:M66)</f>
        <v>876837</v>
      </c>
      <c r="N64" s="173">
        <f t="shared" si="9"/>
        <v>89.07459987708062</v>
      </c>
      <c r="O64" s="174"/>
    </row>
    <row r="65" spans="1:15" s="154" customFormat="1" ht="14.25" customHeight="1">
      <c r="A65" s="156"/>
      <c r="B65" s="157" t="s">
        <v>597</v>
      </c>
      <c r="C65" s="158">
        <v>1152300</v>
      </c>
      <c r="D65" s="159">
        <f t="shared" si="7"/>
        <v>1513491</v>
      </c>
      <c r="E65" s="160">
        <f t="shared" si="7"/>
        <v>1187362</v>
      </c>
      <c r="F65" s="185"/>
      <c r="G65" s="261"/>
      <c r="H65" s="197"/>
      <c r="I65" s="160">
        <v>529106</v>
      </c>
      <c r="J65" s="160">
        <v>310525</v>
      </c>
      <c r="K65" s="197"/>
      <c r="L65" s="160">
        <v>984385</v>
      </c>
      <c r="M65" s="160">
        <v>876837</v>
      </c>
      <c r="N65" s="164"/>
      <c r="O65" s="153"/>
    </row>
    <row r="66" spans="1:16" s="192" customFormat="1" ht="15" hidden="1">
      <c r="A66" s="180"/>
      <c r="B66" s="181" t="s">
        <v>598</v>
      </c>
      <c r="C66" s="182"/>
      <c r="D66" s="183">
        <f t="shared" si="7"/>
        <v>0</v>
      </c>
      <c r="E66" s="184">
        <f t="shared" si="7"/>
        <v>0</v>
      </c>
      <c r="F66" s="185"/>
      <c r="G66" s="186" t="e">
        <f aca="true" t="shared" si="10" ref="G66:G73">E66/D66*100</f>
        <v>#DIV/0!</v>
      </c>
      <c r="H66" s="188"/>
      <c r="I66" s="184"/>
      <c r="J66" s="184"/>
      <c r="K66" s="188"/>
      <c r="L66" s="184"/>
      <c r="M66" s="184"/>
      <c r="N66" s="189"/>
      <c r="O66" s="190"/>
      <c r="P66" s="191"/>
    </row>
    <row r="67" spans="1:15" s="196" customFormat="1" ht="57">
      <c r="A67" s="165" t="s">
        <v>638</v>
      </c>
      <c r="B67" s="194" t="s">
        <v>639</v>
      </c>
      <c r="C67" s="167">
        <f>SUM(C68:C69)</f>
        <v>147155</v>
      </c>
      <c r="D67" s="168">
        <f>I67+L67</f>
        <v>147155</v>
      </c>
      <c r="E67" s="169">
        <f>J67+M67</f>
        <v>12304</v>
      </c>
      <c r="F67" s="136">
        <f>E67/C67*100</f>
        <v>8.36125174136115</v>
      </c>
      <c r="G67" s="170">
        <f t="shared" si="10"/>
        <v>8.36125174136115</v>
      </c>
      <c r="H67" s="254">
        <f>E67/E79*100</f>
        <v>0.009952523051548723</v>
      </c>
      <c r="I67" s="169">
        <f>SUM(I68:I69)</f>
        <v>147155</v>
      </c>
      <c r="J67" s="169">
        <f>SUM(J68:J69)</f>
        <v>12304</v>
      </c>
      <c r="K67" s="139">
        <f>J67/I67*100</f>
        <v>8.36125174136115</v>
      </c>
      <c r="L67" s="169"/>
      <c r="M67" s="169"/>
      <c r="N67" s="173"/>
      <c r="O67" s="174"/>
    </row>
    <row r="68" spans="1:15" s="154" customFormat="1" ht="13.5">
      <c r="A68" s="143"/>
      <c r="B68" s="144" t="s">
        <v>597</v>
      </c>
      <c r="C68" s="145">
        <v>147155</v>
      </c>
      <c r="D68" s="146">
        <f aca="true" t="shared" si="11" ref="D68:D73">I68+L68</f>
        <v>147155</v>
      </c>
      <c r="E68" s="147">
        <f t="shared" si="7"/>
        <v>12304</v>
      </c>
      <c r="F68" s="148">
        <f>E68/C68*100</f>
        <v>8.36125174136115</v>
      </c>
      <c r="G68" s="149">
        <f t="shared" si="10"/>
        <v>8.36125174136115</v>
      </c>
      <c r="H68" s="179"/>
      <c r="I68" s="147">
        <v>147155</v>
      </c>
      <c r="J68" s="147">
        <v>12304</v>
      </c>
      <c r="K68" s="179"/>
      <c r="L68" s="147"/>
      <c r="M68" s="147"/>
      <c r="N68" s="152"/>
      <c r="O68" s="153"/>
    </row>
    <row r="69" spans="1:16" s="155" customFormat="1" ht="13.5" hidden="1">
      <c r="A69" s="156"/>
      <c r="B69" s="157" t="s">
        <v>598</v>
      </c>
      <c r="C69" s="158"/>
      <c r="D69" s="159">
        <f t="shared" si="11"/>
        <v>0</v>
      </c>
      <c r="E69" s="160">
        <f>J69+M69</f>
        <v>0</v>
      </c>
      <c r="F69" s="148" t="e">
        <f>E69/C69*100</f>
        <v>#DIV/0!</v>
      </c>
      <c r="G69" s="161" t="e">
        <f t="shared" si="10"/>
        <v>#DIV/0!</v>
      </c>
      <c r="H69" s="197"/>
      <c r="I69" s="160">
        <v>0</v>
      </c>
      <c r="J69" s="160"/>
      <c r="K69" s="197" t="e">
        <f>J69/I69*100</f>
        <v>#DIV/0!</v>
      </c>
      <c r="L69" s="160"/>
      <c r="M69" s="160"/>
      <c r="N69" s="164"/>
      <c r="O69" s="153"/>
      <c r="P69" s="154"/>
    </row>
    <row r="70" spans="1:15" s="196" customFormat="1" ht="51.75" customHeight="1">
      <c r="A70" s="165" t="s">
        <v>640</v>
      </c>
      <c r="B70" s="194" t="s">
        <v>641</v>
      </c>
      <c r="C70" s="167"/>
      <c r="D70" s="168">
        <f t="shared" si="11"/>
        <v>365000</v>
      </c>
      <c r="E70" s="169">
        <f>J70+M70</f>
        <v>9000</v>
      </c>
      <c r="F70" s="136" t="e">
        <f>E70/C70*100</f>
        <v>#DIV/0!</v>
      </c>
      <c r="G70" s="170">
        <f t="shared" si="10"/>
        <v>2.4657534246575343</v>
      </c>
      <c r="H70" s="254">
        <f>E70/E79*100</f>
        <v>0.00727996647138642</v>
      </c>
      <c r="I70" s="169">
        <f>SUM(I71:I73)</f>
        <v>3000</v>
      </c>
      <c r="J70" s="169">
        <f>SUM(J71:J73)</f>
        <v>3000</v>
      </c>
      <c r="K70" s="139">
        <f>J70/I70*100</f>
        <v>100</v>
      </c>
      <c r="L70" s="169">
        <f>SUM(L71:L73)</f>
        <v>362000</v>
      </c>
      <c r="M70" s="169">
        <f>SUM(M71:M72)</f>
        <v>6000</v>
      </c>
      <c r="N70" s="173">
        <f>M70/L70*100</f>
        <v>1.6574585635359116</v>
      </c>
      <c r="O70" s="174"/>
    </row>
    <row r="71" spans="1:15" s="154" customFormat="1" ht="13.5">
      <c r="A71" s="143"/>
      <c r="B71" s="144" t="s">
        <v>597</v>
      </c>
      <c r="C71" s="145"/>
      <c r="D71" s="146">
        <f t="shared" si="11"/>
        <v>12000</v>
      </c>
      <c r="E71" s="147">
        <f>J71+M71</f>
        <v>6000</v>
      </c>
      <c r="F71" s="148" t="e">
        <f>E71/C71*100</f>
        <v>#DIV/0!</v>
      </c>
      <c r="G71" s="149">
        <f t="shared" si="10"/>
        <v>50</v>
      </c>
      <c r="H71" s="179"/>
      <c r="I71" s="147"/>
      <c r="J71" s="147"/>
      <c r="K71" s="179"/>
      <c r="L71" s="147">
        <v>12000</v>
      </c>
      <c r="M71" s="147">
        <v>6000</v>
      </c>
      <c r="N71" s="251">
        <f>M71/L71*100</f>
        <v>50</v>
      </c>
      <c r="O71" s="153"/>
    </row>
    <row r="72" spans="1:16" s="155" customFormat="1" ht="14.25" customHeight="1">
      <c r="A72" s="143"/>
      <c r="B72" s="144" t="s">
        <v>598</v>
      </c>
      <c r="C72" s="145"/>
      <c r="D72" s="146">
        <f t="shared" si="11"/>
        <v>3000</v>
      </c>
      <c r="E72" s="147">
        <f>J72+M72</f>
        <v>3000</v>
      </c>
      <c r="F72" s="148"/>
      <c r="G72" s="149">
        <f t="shared" si="10"/>
        <v>100</v>
      </c>
      <c r="H72" s="179"/>
      <c r="I72" s="147">
        <v>3000</v>
      </c>
      <c r="J72" s="147">
        <v>3000</v>
      </c>
      <c r="K72" s="179"/>
      <c r="L72" s="147"/>
      <c r="M72" s="147"/>
      <c r="N72" s="152"/>
      <c r="O72" s="153"/>
      <c r="P72" s="154"/>
    </row>
    <row r="73" spans="1:15" s="154" customFormat="1" ht="14.25" customHeight="1">
      <c r="A73" s="156"/>
      <c r="B73" s="157" t="s">
        <v>611</v>
      </c>
      <c r="C73" s="158"/>
      <c r="D73" s="159">
        <f t="shared" si="11"/>
        <v>350000</v>
      </c>
      <c r="E73" s="160">
        <f>J73+M73</f>
        <v>0</v>
      </c>
      <c r="F73" s="198" t="e">
        <f>E73/C73*100</f>
        <v>#DIV/0!</v>
      </c>
      <c r="G73" s="161">
        <f t="shared" si="10"/>
        <v>0</v>
      </c>
      <c r="H73" s="197"/>
      <c r="I73" s="160"/>
      <c r="J73" s="160"/>
      <c r="K73" s="197"/>
      <c r="L73" s="160">
        <v>350000</v>
      </c>
      <c r="M73" s="160"/>
      <c r="N73" s="164"/>
      <c r="O73" s="153"/>
    </row>
    <row r="74" spans="1:15" s="271" customFormat="1" ht="96.75" customHeight="1" hidden="1">
      <c r="A74" s="262" t="s">
        <v>642</v>
      </c>
      <c r="B74" s="194" t="s">
        <v>643</v>
      </c>
      <c r="C74" s="263"/>
      <c r="D74" s="264"/>
      <c r="E74" s="265"/>
      <c r="F74" s="253"/>
      <c r="G74" s="266"/>
      <c r="H74" s="267"/>
      <c r="I74" s="265"/>
      <c r="J74" s="265"/>
      <c r="K74" s="268"/>
      <c r="L74" s="265"/>
      <c r="M74" s="265"/>
      <c r="N74" s="269"/>
      <c r="O74" s="270"/>
    </row>
    <row r="75" spans="1:15" s="191" customFormat="1" ht="15" hidden="1">
      <c r="A75" s="210"/>
      <c r="B75" s="211" t="s">
        <v>597</v>
      </c>
      <c r="C75" s="212"/>
      <c r="D75" s="213"/>
      <c r="E75" s="214"/>
      <c r="F75" s="177"/>
      <c r="G75" s="272"/>
      <c r="H75" s="217"/>
      <c r="I75" s="214"/>
      <c r="J75" s="214"/>
      <c r="K75" s="217"/>
      <c r="L75" s="214"/>
      <c r="M75" s="214"/>
      <c r="N75" s="273"/>
      <c r="O75" s="190"/>
    </row>
    <row r="76" spans="1:16" s="155" customFormat="1" ht="13.5" hidden="1">
      <c r="A76" s="156"/>
      <c r="B76" s="157" t="s">
        <v>598</v>
      </c>
      <c r="C76" s="158"/>
      <c r="D76" s="159"/>
      <c r="E76" s="147"/>
      <c r="F76" s="177"/>
      <c r="G76" s="161"/>
      <c r="H76" s="197"/>
      <c r="I76" s="160"/>
      <c r="J76" s="160"/>
      <c r="K76" s="197"/>
      <c r="L76" s="160"/>
      <c r="M76" s="160"/>
      <c r="N76" s="164"/>
      <c r="O76" s="153"/>
      <c r="P76" s="154"/>
    </row>
    <row r="77" spans="1:16" s="193" customFormat="1" ht="36" customHeight="1">
      <c r="A77" s="131" t="s">
        <v>644</v>
      </c>
      <c r="B77" s="132" t="s">
        <v>645</v>
      </c>
      <c r="C77" s="133"/>
      <c r="D77" s="134">
        <f>I77+L77</f>
        <v>0</v>
      </c>
      <c r="E77" s="135">
        <f>J77+M77</f>
        <v>131158</v>
      </c>
      <c r="F77" s="136" t="e">
        <f>E77/C77*100</f>
        <v>#DIV/0!</v>
      </c>
      <c r="G77" s="170"/>
      <c r="H77" s="274">
        <f>E77/E79*100</f>
        <v>0.10609176027267778</v>
      </c>
      <c r="I77" s="135">
        <f>SUM(I78)</f>
        <v>0</v>
      </c>
      <c r="J77" s="135">
        <f>SUM(J78)</f>
        <v>131158</v>
      </c>
      <c r="K77" s="139"/>
      <c r="L77" s="168"/>
      <c r="M77" s="169"/>
      <c r="N77" s="173"/>
      <c r="O77" s="141"/>
      <c r="P77" s="142"/>
    </row>
    <row r="78" spans="1:15" s="154" customFormat="1" ht="13.5" customHeight="1" thickBot="1">
      <c r="A78" s="143"/>
      <c r="B78" s="144" t="s">
        <v>597</v>
      </c>
      <c r="C78" s="145"/>
      <c r="D78" s="146">
        <f>I78+L78</f>
        <v>0</v>
      </c>
      <c r="E78" s="147">
        <f>J78+M78</f>
        <v>131158</v>
      </c>
      <c r="F78" s="177"/>
      <c r="G78" s="178"/>
      <c r="H78" s="275"/>
      <c r="I78" s="147">
        <v>0</v>
      </c>
      <c r="J78" s="147">
        <v>131158</v>
      </c>
      <c r="K78" s="179"/>
      <c r="L78" s="276"/>
      <c r="M78" s="277"/>
      <c r="N78" s="259"/>
      <c r="O78" s="153"/>
    </row>
    <row r="79" spans="1:15" s="290" customFormat="1" ht="18" thickTop="1">
      <c r="A79" s="278"/>
      <c r="B79" s="279" t="s">
        <v>582</v>
      </c>
      <c r="C79" s="280">
        <f>C8+C11+C20+C23+C27+C31+C41+C36+C44+C47+C53+C57+C64+C67+C70+C74+C16+C77+C51+C18+C14+C39+C61+C34</f>
        <v>253575324</v>
      </c>
      <c r="D79" s="281">
        <f>D8+D11+D20+D23+D27+D31+D41+D36+D44+D47+D53+D57+D64+D67+D70+D74+D16+D77+D51+D18+D14+D39+D61+D34</f>
        <v>262928840</v>
      </c>
      <c r="E79" s="282">
        <f>E8+E11+E20+E23+E27+E31+E41+E36+E44+E47+E53+E57+E64+E67+E70+E74+E16+E77+E51+E18+E14+E39+E61+E34</f>
        <v>123626943</v>
      </c>
      <c r="F79" s="283">
        <f>E79/C79*100</f>
        <v>48.75353841606449</v>
      </c>
      <c r="G79" s="284">
        <f>E79/D79*100</f>
        <v>47.01916419667009</v>
      </c>
      <c r="H79" s="285">
        <f>E79/E79*100</f>
        <v>100</v>
      </c>
      <c r="I79" s="286">
        <f>I8+I11+I20+I23+I27+I31+I41+I36+I44+I47+I53+I57+I64+I67+I70+I74+I16+I77+I51+I18+I14+I39+I61+I34</f>
        <v>179761809</v>
      </c>
      <c r="J79" s="282">
        <f>J8+J11+J20+J23+J27+J31+J41+J36+J44+J47+J53+J57+J64+J67+J70+J74+J16+J77+J51+J18+J14+J39+J61+J34</f>
        <v>86730681</v>
      </c>
      <c r="K79" s="287">
        <f>J79/I79*100</f>
        <v>48.247556854526316</v>
      </c>
      <c r="L79" s="286">
        <f>L8+L11+L20+L23+L27+L31+L41+L36+L44+L47+L53+L57+L64+L67+L70+L74+L16+L77+L51+L18+L14+L39+L61+L34</f>
        <v>83167031</v>
      </c>
      <c r="M79" s="282">
        <f>M8+M11+M20+M23+M27+M31+M41+M36+M44+M47+M53+M57+M64+M67+M70+M74+M16+M77+M51+M18+M14+M39+M61+M34</f>
        <v>36896262</v>
      </c>
      <c r="N79" s="288">
        <f>M79/L79*100</f>
        <v>44.36404853745471</v>
      </c>
      <c r="O79" s="289"/>
    </row>
    <row r="80" spans="1:15" s="302" customFormat="1" ht="15">
      <c r="A80" s="291"/>
      <c r="B80" s="292" t="s">
        <v>597</v>
      </c>
      <c r="C80" s="293">
        <f>C9+C12+C21+C24+C28+C32+C42+C37+C45+C48+C54+C58+C65+C68+C71+C75+C17+C78+C52+C19+C15+C40+C62</f>
        <v>228204528</v>
      </c>
      <c r="D80" s="294">
        <f>D9+D12+D21+D24+D28+D32+D42+D37+D45+D48+D54+D58+D65+D68+D71+D75+D17+D78+D52+D19+D15+D40+D62</f>
        <v>235931044</v>
      </c>
      <c r="E80" s="295">
        <f>E9+E12+E21+E24+E28+E32+E42+E37+E45+E48+E54+E58+E65+E68+E71+E75+E17+E78+E52+E19+E15+E40+E62</f>
        <v>109359459</v>
      </c>
      <c r="F80" s="296">
        <f>E80/C80*100</f>
        <v>47.9216867248138</v>
      </c>
      <c r="G80" s="296">
        <f>E80/D80*100</f>
        <v>46.35229732633235</v>
      </c>
      <c r="H80" s="297">
        <f>E80/E79*100</f>
        <v>88.45924387210641</v>
      </c>
      <c r="I80" s="298">
        <f>I9+I12+I21+I24+I28+I32+I42+I37+I45+I48+I54+I58+I65+I68+I71+I75+I17+I78+I52+I19+I15+I40+I62</f>
        <v>158822213</v>
      </c>
      <c r="J80" s="299">
        <f>J9+J12+J21+J24+J28+J32+J42+J37+J45+J48+J54+J58+J65+J68+J71+J75+J17+J78+J52+J19+J15+J40+J62</f>
        <v>75866120</v>
      </c>
      <c r="K80" s="300">
        <f>J80/I80*100</f>
        <v>47.76795296259976</v>
      </c>
      <c r="L80" s="298">
        <f>L9+L12+L21+L24+L28+L32+L42+L37+L45+L48+L54+L58+L65+L68+L71+L75+L17+L78+L52+L19+L15+L40+L62</f>
        <v>77108831</v>
      </c>
      <c r="M80" s="299">
        <f>M9+M12+M21+M24+M28+M32+M42+M37+M45+M48+M54+M58+M65+M68+M71+M75+M17+M78+M52+M19+M15+M40+M62</f>
        <v>33493339</v>
      </c>
      <c r="N80" s="258">
        <f>M80/L80*100</f>
        <v>43.436450229676026</v>
      </c>
      <c r="O80" s="301"/>
    </row>
    <row r="81" spans="1:15" s="302" customFormat="1" ht="12" customHeight="1">
      <c r="A81" s="291"/>
      <c r="B81" s="292" t="s">
        <v>598</v>
      </c>
      <c r="C81" s="293">
        <f>C10+C13+C22+C25+C29+C33+C43+C38+C46+C49+C55+C59+C66+C69+C72+C76+C63+C35</f>
        <v>25345696</v>
      </c>
      <c r="D81" s="294">
        <f>D10+D13+D22+D25+D29+D33+D43+D38+D46+D49+D55+D59+D66+D69+D72+D76+D63+D35</f>
        <v>26607696</v>
      </c>
      <c r="E81" s="295">
        <f>E10+E13+E22+E25+E29+E33+E43+E38+E46+E49+E55+E59+E66+E69+E72+E76+E63+E35</f>
        <v>14235390</v>
      </c>
      <c r="F81" s="296">
        <f>E81/C81*100</f>
        <v>56.164920466180924</v>
      </c>
      <c r="G81" s="296">
        <f>E81/D81*100</f>
        <v>53.501024665946275</v>
      </c>
      <c r="H81" s="297">
        <f>E81/E79*100</f>
        <v>11.514795767456613</v>
      </c>
      <c r="I81" s="298">
        <f>I10+I13+I22+I25+I29+I33+I43+I38+I46+I49+I55+I59+I66+I69+I72+I76+I63+I35</f>
        <v>20907996</v>
      </c>
      <c r="J81" s="299">
        <f>J10+J13+J22+J25+J29+J33+J43+J38+J46+J49+J55+J59+J66+J69+J72+J76+J63+J35</f>
        <v>10840967</v>
      </c>
      <c r="K81" s="300">
        <f>J81/I81*100</f>
        <v>51.85081822284642</v>
      </c>
      <c r="L81" s="298">
        <f>L10+L13+L22+L25+L29+L33+L43+L38+L46+L49+L55+L59+L66+L69+L72+L76+L63+L35</f>
        <v>5699700</v>
      </c>
      <c r="M81" s="299">
        <f>M10+M13+M22+M25+M29+M33+M43+M38+M46+M49+M55+M59+M66+M69+M72+M76+M63+M35</f>
        <v>3394423</v>
      </c>
      <c r="N81" s="258">
        <f>M81/L81*100</f>
        <v>59.55441514465674</v>
      </c>
      <c r="O81" s="301"/>
    </row>
    <row r="82" spans="1:15" s="316" customFormat="1" ht="14.25" customHeight="1" thickBot="1">
      <c r="A82" s="303"/>
      <c r="B82" s="304" t="s">
        <v>611</v>
      </c>
      <c r="C82" s="305">
        <f>C26+C30+C73+C60</f>
        <v>25100</v>
      </c>
      <c r="D82" s="306">
        <f>D26+D30+D73+D60+D50</f>
        <v>390100</v>
      </c>
      <c r="E82" s="307">
        <f>E26+E30+E73+E60+E50</f>
        <v>32094</v>
      </c>
      <c r="F82" s="308">
        <f>E82/C82*100</f>
        <v>127.86454183266933</v>
      </c>
      <c r="G82" s="309">
        <f>E82/D82*100</f>
        <v>8.227121250961291</v>
      </c>
      <c r="H82" s="310">
        <f>E82/E80*100</f>
        <v>0.029347255640684907</v>
      </c>
      <c r="I82" s="311">
        <f>I26+I30+I73+I60+I50</f>
        <v>31600</v>
      </c>
      <c r="J82" s="312">
        <f>J26+J30+J73+J60+J50</f>
        <v>23594</v>
      </c>
      <c r="K82" s="313">
        <f>J82/I82*100</f>
        <v>74.66455696202532</v>
      </c>
      <c r="L82" s="311">
        <f>L26+L30+L73+L60+L50</f>
        <v>358500</v>
      </c>
      <c r="M82" s="312">
        <f>M26+M30+M73+M60+M50</f>
        <v>8500</v>
      </c>
      <c r="N82" s="314">
        <f>M82/L82*100</f>
        <v>2.3709902370990235</v>
      </c>
      <c r="O82" s="315"/>
    </row>
    <row r="83" spans="1:15" s="323" customFormat="1" ht="21.75" customHeight="1">
      <c r="A83" s="317"/>
      <c r="B83" s="318"/>
      <c r="C83" s="318"/>
      <c r="D83" s="319"/>
      <c r="E83" s="319"/>
      <c r="F83" s="319"/>
      <c r="G83" s="320"/>
      <c r="H83" s="321"/>
      <c r="I83" s="319"/>
      <c r="J83" s="319"/>
      <c r="K83" s="320"/>
      <c r="L83" s="322"/>
      <c r="M83" s="322"/>
      <c r="N83" s="320"/>
      <c r="O83" s="319"/>
    </row>
    <row r="84" spans="1:15" s="325" customFormat="1" ht="18" customHeight="1">
      <c r="A84" s="324"/>
      <c r="D84" s="326"/>
      <c r="E84" s="326"/>
      <c r="F84" s="326"/>
      <c r="G84" s="327"/>
      <c r="H84" s="328"/>
      <c r="I84" s="326"/>
      <c r="J84" s="326"/>
      <c r="K84" s="327"/>
      <c r="L84" s="326"/>
      <c r="M84" s="326"/>
      <c r="N84" s="320"/>
      <c r="O84" s="319"/>
    </row>
    <row r="85" spans="1:15" ht="12.75">
      <c r="A85" s="82"/>
      <c r="D85" s="329"/>
      <c r="E85" s="329"/>
      <c r="F85" s="329"/>
      <c r="G85" s="330"/>
      <c r="H85" s="331"/>
      <c r="I85" s="329"/>
      <c r="J85" s="329"/>
      <c r="K85" s="330"/>
      <c r="L85" s="329"/>
      <c r="M85" s="329"/>
      <c r="N85" s="330"/>
      <c r="O85" s="332"/>
    </row>
    <row r="86" spans="1:15" ht="12.75">
      <c r="A86" s="82"/>
      <c r="D86" s="329"/>
      <c r="E86" s="329"/>
      <c r="F86" s="329"/>
      <c r="G86" s="330"/>
      <c r="H86" s="331"/>
      <c r="I86" s="329"/>
      <c r="J86" s="329"/>
      <c r="K86" s="330"/>
      <c r="L86" s="329"/>
      <c r="M86" s="329"/>
      <c r="N86" s="330"/>
      <c r="O86" s="332"/>
    </row>
    <row r="87" spans="1:15" ht="12.75">
      <c r="A87" s="82"/>
      <c r="D87" s="329"/>
      <c r="E87" s="329"/>
      <c r="F87" s="329"/>
      <c r="G87" s="330"/>
      <c r="H87" s="331"/>
      <c r="I87" s="329"/>
      <c r="J87" s="329"/>
      <c r="K87" s="330"/>
      <c r="L87" s="329"/>
      <c r="M87" s="329"/>
      <c r="N87" s="330"/>
      <c r="O87" s="332"/>
    </row>
    <row r="88" ht="12.75">
      <c r="A88" s="82"/>
    </row>
    <row r="89" ht="12.75">
      <c r="A89" s="82"/>
    </row>
    <row r="90" ht="12.75">
      <c r="A90" s="82"/>
    </row>
    <row r="91" ht="12.75">
      <c r="A91" s="82"/>
    </row>
    <row r="92" ht="12.75">
      <c r="A92" s="82"/>
    </row>
    <row r="93" ht="12.75">
      <c r="A93" s="82"/>
    </row>
    <row r="94" ht="12.75">
      <c r="A94" s="82"/>
    </row>
    <row r="95" ht="12.75">
      <c r="A95" s="82"/>
    </row>
    <row r="96" ht="12.75">
      <c r="A96" s="82"/>
    </row>
    <row r="97" ht="12.75">
      <c r="A97" s="82"/>
    </row>
    <row r="98" ht="12.75">
      <c r="A98" s="82"/>
    </row>
    <row r="99" ht="12.75">
      <c r="A99" s="82"/>
    </row>
    <row r="100" ht="12.75">
      <c r="A100" s="82"/>
    </row>
    <row r="101" ht="12.75">
      <c r="A101" s="82"/>
    </row>
    <row r="102" ht="12.75">
      <c r="A102" s="82"/>
    </row>
    <row r="103" ht="12.75">
      <c r="A103" s="82"/>
    </row>
    <row r="104" ht="12.75">
      <c r="A104" s="82"/>
    </row>
    <row r="105" ht="12.75">
      <c r="A105" s="82"/>
    </row>
    <row r="106" ht="12.75">
      <c r="A106" s="82"/>
    </row>
    <row r="107" ht="12.75">
      <c r="A107" s="82"/>
    </row>
    <row r="108" ht="12.75">
      <c r="A108" s="82"/>
    </row>
    <row r="109" ht="12.75">
      <c r="A109" s="82"/>
    </row>
    <row r="110" ht="12.75">
      <c r="A110" s="82"/>
    </row>
    <row r="111" ht="12.75">
      <c r="A111" s="82"/>
    </row>
    <row r="112" ht="12.75">
      <c r="A112" s="82"/>
    </row>
    <row r="113" ht="12.75">
      <c r="A113" s="82"/>
    </row>
    <row r="114" ht="12.75">
      <c r="A114" s="82"/>
    </row>
    <row r="115" ht="12.75">
      <c r="A115" s="82"/>
    </row>
    <row r="116" ht="12.75">
      <c r="A116" s="82"/>
    </row>
    <row r="117" ht="12.75">
      <c r="A117" s="82"/>
    </row>
    <row r="118" ht="12.75">
      <c r="A118" s="82"/>
    </row>
    <row r="119" ht="12.75">
      <c r="A119" s="82"/>
    </row>
    <row r="120" ht="12.75">
      <c r="A120" s="82"/>
    </row>
    <row r="121" ht="12.75">
      <c r="A121" s="82"/>
    </row>
    <row r="122" ht="12.75">
      <c r="A122" s="82"/>
    </row>
    <row r="123" ht="12.75">
      <c r="A123" s="82"/>
    </row>
    <row r="124" ht="12.75">
      <c r="A124" s="82"/>
    </row>
    <row r="125" ht="12.75">
      <c r="A125" s="82"/>
    </row>
    <row r="126" ht="12.75">
      <c r="A126" s="82"/>
    </row>
    <row r="127" ht="12.75">
      <c r="A127" s="82"/>
    </row>
    <row r="128" ht="12.75">
      <c r="A128" s="82"/>
    </row>
    <row r="129" ht="12.75">
      <c r="A129" s="82"/>
    </row>
    <row r="130" ht="12.75">
      <c r="A130" s="82"/>
    </row>
    <row r="131" ht="12.75">
      <c r="A131" s="82"/>
    </row>
    <row r="132" ht="12.75">
      <c r="A132" s="82"/>
    </row>
    <row r="133" ht="12.75">
      <c r="A133" s="82"/>
    </row>
    <row r="134" ht="12.75">
      <c r="A134" s="82"/>
    </row>
    <row r="135" ht="12.75">
      <c r="A135" s="82"/>
    </row>
    <row r="136" ht="12.75">
      <c r="A136" s="82"/>
    </row>
    <row r="137" ht="12.75">
      <c r="A137" s="82"/>
    </row>
    <row r="138" ht="12.75">
      <c r="A138" s="82"/>
    </row>
    <row r="139" ht="12.75">
      <c r="A139" s="82"/>
    </row>
    <row r="140" ht="12.75">
      <c r="A140" s="82"/>
    </row>
    <row r="141" ht="12.75">
      <c r="A141" s="82"/>
    </row>
    <row r="142" ht="12.75">
      <c r="A142" s="82"/>
    </row>
    <row r="143" ht="12.75">
      <c r="A143" s="82"/>
    </row>
    <row r="144" ht="12.75">
      <c r="A144" s="82"/>
    </row>
    <row r="145" ht="12.75">
      <c r="A145" s="82"/>
    </row>
    <row r="146" ht="12.75">
      <c r="A146" s="82"/>
    </row>
    <row r="147" ht="12.75">
      <c r="A147" s="82"/>
    </row>
    <row r="148" ht="12.75">
      <c r="A148" s="82"/>
    </row>
    <row r="149" ht="12.75">
      <c r="A149" s="82"/>
    </row>
    <row r="150" ht="12.75">
      <c r="A150" s="82"/>
    </row>
    <row r="151" ht="12.75">
      <c r="A151" s="82"/>
    </row>
    <row r="152" ht="12.75">
      <c r="A152" s="82"/>
    </row>
    <row r="153" ht="12.75">
      <c r="A153" s="82"/>
    </row>
    <row r="154" ht="12.75">
      <c r="A154" s="82"/>
    </row>
    <row r="155" ht="12.75">
      <c r="A155" s="82"/>
    </row>
    <row r="156" ht="12.75">
      <c r="A156" s="82"/>
    </row>
    <row r="157" ht="12.75">
      <c r="A157" s="82"/>
    </row>
    <row r="158" ht="12.75">
      <c r="A158" s="82"/>
    </row>
    <row r="159" ht="12.75">
      <c r="A159" s="82"/>
    </row>
    <row r="160" ht="12.75">
      <c r="A160" s="82"/>
    </row>
    <row r="161" ht="12.75">
      <c r="A161" s="82"/>
    </row>
    <row r="162" ht="12.75">
      <c r="A162" s="82"/>
    </row>
    <row r="163" ht="12.75">
      <c r="A163" s="82"/>
    </row>
    <row r="164" ht="12.75">
      <c r="A164" s="82"/>
    </row>
    <row r="165" ht="12.75">
      <c r="A165" s="82"/>
    </row>
    <row r="166" ht="12.75">
      <c r="A166" s="82"/>
    </row>
    <row r="167" ht="12.75">
      <c r="A167" s="82"/>
    </row>
    <row r="168" ht="12.75">
      <c r="A168" s="82"/>
    </row>
    <row r="169" ht="12.75">
      <c r="A169" s="82"/>
    </row>
    <row r="170" ht="12.75">
      <c r="A170" s="82"/>
    </row>
    <row r="171" ht="12.75">
      <c r="A171" s="82"/>
    </row>
    <row r="172" ht="12.75">
      <c r="A172" s="82"/>
    </row>
    <row r="173" ht="12.75">
      <c r="A173" s="82"/>
    </row>
    <row r="174" ht="12.75">
      <c r="A174" s="82"/>
    </row>
    <row r="175" ht="12.75">
      <c r="A175" s="82"/>
    </row>
    <row r="176" ht="12.75">
      <c r="A176" s="82"/>
    </row>
    <row r="177" ht="12.75">
      <c r="A177" s="82"/>
    </row>
    <row r="178" ht="12.75">
      <c r="A178" s="82"/>
    </row>
    <row r="179" ht="12.75">
      <c r="A179" s="82"/>
    </row>
    <row r="180" ht="12.75">
      <c r="A180" s="82"/>
    </row>
    <row r="181" ht="12.75">
      <c r="A181" s="82"/>
    </row>
    <row r="182" ht="12.75">
      <c r="A182" s="82"/>
    </row>
    <row r="183" ht="12.75">
      <c r="A183" s="82"/>
    </row>
    <row r="184" ht="12.75">
      <c r="A184" s="82"/>
    </row>
    <row r="185" ht="12.75">
      <c r="A185" s="82"/>
    </row>
    <row r="186" ht="12.75">
      <c r="A186" s="82"/>
    </row>
    <row r="187" ht="12.75">
      <c r="A187" s="82"/>
    </row>
    <row r="188" ht="12.75">
      <c r="A188" s="82"/>
    </row>
    <row r="189" ht="12.75">
      <c r="A189" s="82"/>
    </row>
    <row r="190" ht="12.75">
      <c r="A190" s="82"/>
    </row>
    <row r="191" ht="12.75">
      <c r="A191" s="82"/>
    </row>
    <row r="192" ht="12.75">
      <c r="A192" s="82"/>
    </row>
    <row r="193" ht="12.75">
      <c r="A193" s="82"/>
    </row>
    <row r="194" ht="12.75">
      <c r="A194" s="82"/>
    </row>
    <row r="195" ht="12.75">
      <c r="A195" s="82"/>
    </row>
    <row r="196" ht="12.75">
      <c r="A196" s="82"/>
    </row>
    <row r="197" ht="12.75">
      <c r="A197" s="82"/>
    </row>
    <row r="198" ht="12.75">
      <c r="A198" s="82"/>
    </row>
    <row r="199" ht="12.75">
      <c r="A199" s="82"/>
    </row>
    <row r="200" ht="12.75">
      <c r="A200" s="82"/>
    </row>
    <row r="201" ht="12.75">
      <c r="A201" s="82"/>
    </row>
    <row r="202" ht="12.75">
      <c r="A202" s="82"/>
    </row>
    <row r="203" ht="12.75">
      <c r="A203" s="82"/>
    </row>
    <row r="204" ht="12.75">
      <c r="A204" s="82"/>
    </row>
    <row r="205" ht="12.75">
      <c r="A205" s="82"/>
    </row>
    <row r="206" ht="12.75">
      <c r="A206" s="82"/>
    </row>
    <row r="207" ht="12.75">
      <c r="A207" s="82"/>
    </row>
    <row r="208" ht="12.75">
      <c r="A208" s="82"/>
    </row>
    <row r="209" ht="12.75">
      <c r="A209" s="82"/>
    </row>
    <row r="210" ht="12.75">
      <c r="A210" s="82"/>
    </row>
    <row r="211" ht="12.75">
      <c r="A211" s="82"/>
    </row>
    <row r="212" ht="12.75">
      <c r="A212" s="82"/>
    </row>
    <row r="213" ht="12.75">
      <c r="A213" s="82"/>
    </row>
    <row r="214" ht="12.75">
      <c r="A214" s="82"/>
    </row>
    <row r="215" ht="12.75">
      <c r="A215" s="82"/>
    </row>
    <row r="216" ht="12.75">
      <c r="A216" s="82"/>
    </row>
    <row r="217" ht="12.75">
      <c r="A217" s="82"/>
    </row>
    <row r="218" ht="12.75">
      <c r="A218" s="82"/>
    </row>
    <row r="219" ht="12.75">
      <c r="A219" s="82"/>
    </row>
    <row r="220" ht="12.75">
      <c r="A220" s="82"/>
    </row>
    <row r="221" ht="12.75">
      <c r="A221" s="82"/>
    </row>
    <row r="222" ht="12.75">
      <c r="A222" s="82"/>
    </row>
    <row r="223" ht="12.75">
      <c r="A223" s="82"/>
    </row>
    <row r="224" ht="12.75">
      <c r="A224" s="82"/>
    </row>
    <row r="225" ht="12.75">
      <c r="A225" s="82"/>
    </row>
    <row r="226" ht="12.75">
      <c r="A226" s="82"/>
    </row>
    <row r="227" ht="12.75">
      <c r="A227" s="82"/>
    </row>
    <row r="228" ht="12.75">
      <c r="A228" s="82"/>
    </row>
    <row r="229" ht="12.75">
      <c r="A229" s="82"/>
    </row>
    <row r="230" ht="12.75">
      <c r="A230" s="82"/>
    </row>
    <row r="231" ht="12.75">
      <c r="A231" s="82"/>
    </row>
    <row r="232" ht="12.75">
      <c r="A232" s="82"/>
    </row>
    <row r="233" ht="12.75">
      <c r="A233" s="82"/>
    </row>
    <row r="234" ht="12.75">
      <c r="A234" s="82"/>
    </row>
    <row r="235" ht="12.75">
      <c r="A235" s="82"/>
    </row>
    <row r="236" ht="12.75">
      <c r="A236" s="82"/>
    </row>
    <row r="237" ht="12.75">
      <c r="A237" s="82"/>
    </row>
    <row r="238" ht="12.75">
      <c r="A238" s="82"/>
    </row>
    <row r="239" ht="12.75">
      <c r="A239" s="82"/>
    </row>
    <row r="240" ht="12.75">
      <c r="A240" s="82"/>
    </row>
    <row r="241" ht="12.75">
      <c r="A241" s="82"/>
    </row>
    <row r="242" ht="12.75">
      <c r="A242" s="82"/>
    </row>
    <row r="243" ht="12.75">
      <c r="A243" s="82"/>
    </row>
    <row r="244" ht="12.75">
      <c r="A244" s="82"/>
    </row>
    <row r="245" ht="12.75">
      <c r="A245" s="82"/>
    </row>
    <row r="246" ht="12.75">
      <c r="A246" s="82"/>
    </row>
    <row r="247" ht="12.75">
      <c r="A247" s="82"/>
    </row>
    <row r="248" ht="12.75">
      <c r="A248" s="82"/>
    </row>
    <row r="249" ht="12.75">
      <c r="A249" s="82"/>
    </row>
    <row r="250" ht="12.75">
      <c r="A250" s="82"/>
    </row>
    <row r="251" ht="12.75">
      <c r="A251" s="82"/>
    </row>
    <row r="252" ht="12.75">
      <c r="A252" s="82"/>
    </row>
    <row r="253" ht="12.75">
      <c r="A253" s="82"/>
    </row>
    <row r="254" ht="12.75">
      <c r="A254" s="82"/>
    </row>
    <row r="255" ht="12.75">
      <c r="A255" s="82"/>
    </row>
    <row r="256" ht="12.75">
      <c r="A256" s="82"/>
    </row>
    <row r="257" ht="12.75">
      <c r="A257" s="82"/>
    </row>
    <row r="258" ht="12.75">
      <c r="A258" s="82"/>
    </row>
    <row r="259" ht="12.75">
      <c r="A259" s="82"/>
    </row>
    <row r="260" ht="12.75">
      <c r="A260" s="82"/>
    </row>
    <row r="261" ht="12.75">
      <c r="A261" s="82"/>
    </row>
    <row r="262" ht="12.75">
      <c r="A262" s="82"/>
    </row>
    <row r="263" ht="12.75">
      <c r="A263" s="82"/>
    </row>
    <row r="264" ht="12.75">
      <c r="A264" s="82"/>
    </row>
    <row r="265" ht="12.75">
      <c r="A265" s="82"/>
    </row>
    <row r="266" ht="12.75">
      <c r="A266" s="82"/>
    </row>
    <row r="267" ht="12.75">
      <c r="A267" s="82"/>
    </row>
    <row r="268" ht="12.75">
      <c r="A268" s="82"/>
    </row>
    <row r="269" ht="12.75">
      <c r="A269" s="82"/>
    </row>
    <row r="270" ht="12.75">
      <c r="A270" s="82"/>
    </row>
    <row r="271" ht="12.75">
      <c r="A271" s="82"/>
    </row>
    <row r="272" ht="12.75">
      <c r="A272" s="82"/>
    </row>
    <row r="273" ht="12.75">
      <c r="A273" s="82"/>
    </row>
    <row r="274" ht="12.75">
      <c r="A274" s="82"/>
    </row>
    <row r="275" ht="12.75">
      <c r="A275" s="82"/>
    </row>
    <row r="276" ht="12.75">
      <c r="A276" s="82"/>
    </row>
    <row r="277" ht="12.75">
      <c r="A277" s="82"/>
    </row>
    <row r="278" ht="12.75">
      <c r="A278" s="82"/>
    </row>
    <row r="279" ht="12.75">
      <c r="A279" s="82"/>
    </row>
    <row r="280" ht="12.75">
      <c r="A280" s="82"/>
    </row>
    <row r="281" ht="12.75">
      <c r="A281" s="82"/>
    </row>
    <row r="282" ht="12.75">
      <c r="A282" s="82"/>
    </row>
    <row r="283" ht="12.75">
      <c r="A283" s="82"/>
    </row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landscape" paperSize="9" scale="90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3"/>
  <sheetViews>
    <sheetView workbookViewId="0" topLeftCell="A71">
      <selection activeCell="C90" sqref="C90"/>
    </sheetView>
  </sheetViews>
  <sheetFormatPr defaultColWidth="9.00390625" defaultRowHeight="12.75"/>
  <cols>
    <col min="1" max="1" width="6.625" style="79" customWidth="1"/>
    <col min="2" max="2" width="25.125" style="79" customWidth="1"/>
    <col min="3" max="3" width="14.125" style="79" customWidth="1"/>
    <col min="4" max="5" width="13.25390625" style="79" customWidth="1"/>
    <col min="6" max="6" width="7.625" style="79" hidden="1" customWidth="1"/>
    <col min="7" max="7" width="7.625" style="80" customWidth="1"/>
    <col min="8" max="8" width="8.75390625" style="81" customWidth="1"/>
    <col min="9" max="9" width="13.25390625" style="79" customWidth="1"/>
    <col min="10" max="10" width="13.00390625" style="79" customWidth="1"/>
    <col min="11" max="11" width="7.125" style="80" customWidth="1"/>
    <col min="12" max="12" width="12.875" style="79" customWidth="1"/>
    <col min="13" max="13" width="12.625" style="79" customWidth="1"/>
    <col min="14" max="14" width="6.875" style="80" customWidth="1"/>
    <col min="15" max="15" width="10.00390625" style="82" customWidth="1"/>
    <col min="16" max="16384" width="10.00390625" style="79" customWidth="1"/>
  </cols>
  <sheetData>
    <row r="1" spans="1:16" ht="11.25" customHeight="1">
      <c r="A1" s="78"/>
      <c r="B1" s="78"/>
      <c r="C1" s="78"/>
      <c r="D1" s="78"/>
      <c r="I1" s="78"/>
      <c r="L1" s="78"/>
      <c r="P1" s="82"/>
    </row>
    <row r="2" spans="1:16" s="90" customFormat="1" ht="15.75" customHeight="1">
      <c r="A2" s="83" t="s">
        <v>646</v>
      </c>
      <c r="B2" s="84"/>
      <c r="C2" s="84"/>
      <c r="D2" s="85"/>
      <c r="E2" s="86"/>
      <c r="F2" s="86"/>
      <c r="G2" s="87"/>
      <c r="H2" s="88"/>
      <c r="I2" s="85"/>
      <c r="J2" s="86"/>
      <c r="K2" s="87"/>
      <c r="L2" s="85"/>
      <c r="M2" s="86"/>
      <c r="N2" s="87"/>
      <c r="O2" s="89"/>
      <c r="P2" s="89"/>
    </row>
    <row r="3" spans="1:16" s="90" customFormat="1" ht="15" customHeight="1">
      <c r="A3" s="83" t="s">
        <v>580</v>
      </c>
      <c r="B3" s="84"/>
      <c r="C3" s="84"/>
      <c r="D3" s="85"/>
      <c r="E3" s="86"/>
      <c r="F3" s="86"/>
      <c r="G3" s="87"/>
      <c r="H3" s="88"/>
      <c r="I3" s="85"/>
      <c r="J3" s="86"/>
      <c r="K3" s="87"/>
      <c r="L3" s="85"/>
      <c r="M3" s="91" t="s">
        <v>647</v>
      </c>
      <c r="N3" s="87"/>
      <c r="O3" s="89"/>
      <c r="P3" s="89"/>
    </row>
    <row r="4" spans="1:16" ht="12" customHeight="1" thickBot="1">
      <c r="A4" s="92"/>
      <c r="B4" s="92"/>
      <c r="C4" s="92"/>
      <c r="D4" s="93"/>
      <c r="E4" s="94"/>
      <c r="F4" s="94"/>
      <c r="G4" s="95"/>
      <c r="H4" s="96"/>
      <c r="I4" s="94"/>
      <c r="J4" s="94"/>
      <c r="K4" s="97"/>
      <c r="L4" s="93"/>
      <c r="M4" s="98" t="s">
        <v>541</v>
      </c>
      <c r="N4" s="99"/>
      <c r="P4" s="82"/>
    </row>
    <row r="5" spans="1:14" s="82" customFormat="1" ht="19.5" customHeight="1" thickBot="1">
      <c r="A5" s="100"/>
      <c r="B5" s="101"/>
      <c r="C5" s="102"/>
      <c r="D5" s="103" t="s">
        <v>582</v>
      </c>
      <c r="E5" s="104"/>
      <c r="F5" s="104"/>
      <c r="G5" s="105"/>
      <c r="H5" s="106"/>
      <c r="I5" s="107" t="s">
        <v>583</v>
      </c>
      <c r="J5" s="107"/>
      <c r="K5" s="108"/>
      <c r="L5" s="107" t="s">
        <v>584</v>
      </c>
      <c r="M5" s="109"/>
      <c r="N5" s="110"/>
    </row>
    <row r="6" spans="1:14" s="82" customFormat="1" ht="45" customHeight="1" thickBot="1" thickTop="1">
      <c r="A6" s="111" t="s">
        <v>585</v>
      </c>
      <c r="B6" s="112" t="s">
        <v>586</v>
      </c>
      <c r="C6" s="113" t="s">
        <v>546</v>
      </c>
      <c r="D6" s="114" t="s">
        <v>547</v>
      </c>
      <c r="E6" s="115" t="s">
        <v>587</v>
      </c>
      <c r="F6" s="116" t="s">
        <v>588</v>
      </c>
      <c r="G6" s="117" t="s">
        <v>589</v>
      </c>
      <c r="H6" s="118" t="s">
        <v>590</v>
      </c>
      <c r="I6" s="114" t="s">
        <v>547</v>
      </c>
      <c r="J6" s="115" t="s">
        <v>591</v>
      </c>
      <c r="K6" s="119" t="s">
        <v>592</v>
      </c>
      <c r="L6" s="114" t="s">
        <v>547</v>
      </c>
      <c r="M6" s="115" t="s">
        <v>593</v>
      </c>
      <c r="N6" s="120" t="s">
        <v>594</v>
      </c>
    </row>
    <row r="7" spans="1:16" s="130" customFormat="1" ht="9.75" customHeight="1" thickBot="1" thickTop="1">
      <c r="A7" s="121">
        <v>1</v>
      </c>
      <c r="B7" s="122">
        <v>2</v>
      </c>
      <c r="C7" s="123">
        <v>3</v>
      </c>
      <c r="D7" s="124">
        <v>4</v>
      </c>
      <c r="E7" s="125">
        <v>5</v>
      </c>
      <c r="F7" s="125">
        <v>6</v>
      </c>
      <c r="G7" s="126">
        <v>7</v>
      </c>
      <c r="H7" s="122">
        <v>8</v>
      </c>
      <c r="I7" s="125">
        <v>9</v>
      </c>
      <c r="J7" s="125">
        <v>10</v>
      </c>
      <c r="K7" s="127">
        <v>11</v>
      </c>
      <c r="L7" s="124">
        <v>12</v>
      </c>
      <c r="M7" s="125">
        <v>13</v>
      </c>
      <c r="N7" s="128">
        <v>14</v>
      </c>
      <c r="O7" s="129"/>
      <c r="P7" s="129"/>
    </row>
    <row r="8" spans="1:15" s="142" customFormat="1" ht="33.75" customHeight="1" thickTop="1">
      <c r="A8" s="131" t="s">
        <v>595</v>
      </c>
      <c r="B8" s="132" t="s">
        <v>596</v>
      </c>
      <c r="C8" s="133">
        <f>SUM(C9:C10)</f>
        <v>1600</v>
      </c>
      <c r="D8" s="134">
        <f aca="true" t="shared" si="0" ref="D8:E27">I8+L8</f>
        <v>1600</v>
      </c>
      <c r="E8" s="135">
        <f t="shared" si="0"/>
        <v>478</v>
      </c>
      <c r="F8" s="136">
        <f>E8/C8*100</f>
        <v>29.875</v>
      </c>
      <c r="G8" s="137">
        <f>E8/D8*100</f>
        <v>29.875</v>
      </c>
      <c r="H8" s="274">
        <f>E8/E79*100</f>
        <v>0.00041081303922649163</v>
      </c>
      <c r="I8" s="135">
        <f>SUM(I9:I10)</f>
        <v>1600</v>
      </c>
      <c r="J8" s="135">
        <f>SUM(J9:J10)</f>
        <v>478</v>
      </c>
      <c r="K8" s="139">
        <f>J8/I8*100</f>
        <v>29.875</v>
      </c>
      <c r="L8" s="134"/>
      <c r="M8" s="135"/>
      <c r="N8" s="140"/>
      <c r="O8" s="141"/>
    </row>
    <row r="9" spans="1:16" s="155" customFormat="1" ht="12.75" customHeight="1">
      <c r="A9" s="143"/>
      <c r="B9" s="144" t="s">
        <v>597</v>
      </c>
      <c r="C9" s="145">
        <v>1600</v>
      </c>
      <c r="D9" s="146">
        <f t="shared" si="0"/>
        <v>1600</v>
      </c>
      <c r="E9" s="147">
        <f t="shared" si="0"/>
        <v>478</v>
      </c>
      <c r="F9" s="148">
        <f>E9/C9*100</f>
        <v>29.875</v>
      </c>
      <c r="G9" s="149">
        <f>E9/D9*100</f>
        <v>29.875</v>
      </c>
      <c r="H9" s="179"/>
      <c r="I9" s="147">
        <v>1600</v>
      </c>
      <c r="J9" s="147">
        <v>478</v>
      </c>
      <c r="K9" s="151"/>
      <c r="L9" s="146"/>
      <c r="M9" s="147"/>
      <c r="N9" s="152"/>
      <c r="O9" s="153"/>
      <c r="P9" s="154"/>
    </row>
    <row r="10" spans="1:16" s="155" customFormat="1" ht="12.75" customHeight="1" hidden="1">
      <c r="A10" s="156"/>
      <c r="B10" s="157" t="s">
        <v>598</v>
      </c>
      <c r="C10" s="158"/>
      <c r="D10" s="159">
        <f t="shared" si="0"/>
        <v>0</v>
      </c>
      <c r="E10" s="160">
        <f t="shared" si="0"/>
        <v>0</v>
      </c>
      <c r="F10" s="148" t="e">
        <f>E10/C10*100</f>
        <v>#DIV/0!</v>
      </c>
      <c r="G10" s="161" t="e">
        <f>E10/D10*100</f>
        <v>#DIV/0!</v>
      </c>
      <c r="H10" s="197"/>
      <c r="I10" s="160"/>
      <c r="J10" s="160"/>
      <c r="K10" s="163"/>
      <c r="L10" s="159"/>
      <c r="M10" s="160"/>
      <c r="N10" s="164"/>
      <c r="O10" s="153"/>
      <c r="P10" s="154"/>
    </row>
    <row r="11" spans="1:16" s="176" customFormat="1" ht="15.75" customHeight="1" hidden="1">
      <c r="A11" s="165" t="s">
        <v>599</v>
      </c>
      <c r="B11" s="166" t="s">
        <v>600</v>
      </c>
      <c r="C11" s="167">
        <f>SUM(C12:C13)</f>
        <v>0</v>
      </c>
      <c r="D11" s="168">
        <f t="shared" si="0"/>
        <v>0</v>
      </c>
      <c r="E11" s="169">
        <f t="shared" si="0"/>
        <v>0</v>
      </c>
      <c r="F11" s="136" t="e">
        <f>E11/C11*100</f>
        <v>#DIV/0!</v>
      </c>
      <c r="G11" s="170" t="e">
        <f>E11/D11*100</f>
        <v>#DIV/0!</v>
      </c>
      <c r="H11" s="254">
        <f>E11/E79*100</f>
        <v>0</v>
      </c>
      <c r="I11" s="169"/>
      <c r="J11" s="169"/>
      <c r="K11" s="172"/>
      <c r="L11" s="168">
        <f>SUM(L12:L13)</f>
        <v>0</v>
      </c>
      <c r="M11" s="169">
        <f>SUM(M12:M13)</f>
        <v>0</v>
      </c>
      <c r="N11" s="173" t="e">
        <f>M11/L11*100</f>
        <v>#DIV/0!</v>
      </c>
      <c r="O11" s="174"/>
      <c r="P11" s="175"/>
    </row>
    <row r="12" spans="1:15" s="154" customFormat="1" ht="12" customHeight="1" hidden="1">
      <c r="A12" s="143"/>
      <c r="B12" s="144" t="s">
        <v>597</v>
      </c>
      <c r="C12" s="145"/>
      <c r="D12" s="146">
        <f t="shared" si="0"/>
        <v>0</v>
      </c>
      <c r="E12" s="147">
        <f t="shared" si="0"/>
        <v>0</v>
      </c>
      <c r="F12" s="177"/>
      <c r="G12" s="178"/>
      <c r="H12" s="179"/>
      <c r="I12" s="147"/>
      <c r="J12" s="147"/>
      <c r="K12" s="179"/>
      <c r="L12" s="147"/>
      <c r="M12" s="147"/>
      <c r="N12" s="152"/>
      <c r="O12" s="153"/>
    </row>
    <row r="13" spans="1:16" s="192" customFormat="1" ht="15" hidden="1">
      <c r="A13" s="180"/>
      <c r="B13" s="181" t="s">
        <v>598</v>
      </c>
      <c r="C13" s="182"/>
      <c r="D13" s="183">
        <f t="shared" si="0"/>
        <v>0</v>
      </c>
      <c r="E13" s="184">
        <f t="shared" si="0"/>
        <v>0</v>
      </c>
      <c r="F13" s="185"/>
      <c r="G13" s="186" t="e">
        <f>E13/D13*100</f>
        <v>#DIV/0!</v>
      </c>
      <c r="H13" s="188"/>
      <c r="I13" s="184"/>
      <c r="J13" s="184"/>
      <c r="K13" s="188"/>
      <c r="L13" s="184"/>
      <c r="M13" s="184"/>
      <c r="N13" s="189"/>
      <c r="O13" s="190"/>
      <c r="P13" s="191"/>
    </row>
    <row r="14" spans="1:16" s="193" customFormat="1" ht="21" customHeight="1">
      <c r="A14" s="131" t="s">
        <v>601</v>
      </c>
      <c r="B14" s="132" t="s">
        <v>602</v>
      </c>
      <c r="C14" s="133">
        <f>C15</f>
        <v>134000</v>
      </c>
      <c r="D14" s="134">
        <f>I14+L14</f>
        <v>294000</v>
      </c>
      <c r="E14" s="135">
        <f>J14+M14</f>
        <v>224690</v>
      </c>
      <c r="F14" s="136">
        <f>E14/C14*100</f>
        <v>167.67910447761193</v>
      </c>
      <c r="G14" s="170">
        <f>E14/D14*100</f>
        <v>76.42517006802721</v>
      </c>
      <c r="H14" s="254">
        <f>E14/E79*100</f>
        <v>0.1931079116815908</v>
      </c>
      <c r="I14" s="135">
        <f>SUM(I15)</f>
        <v>294000</v>
      </c>
      <c r="J14" s="135">
        <f>SUM(J15)</f>
        <v>224690</v>
      </c>
      <c r="K14" s="139">
        <f>J14/I14*100</f>
        <v>76.42517006802721</v>
      </c>
      <c r="L14" s="168"/>
      <c r="M14" s="169"/>
      <c r="N14" s="173"/>
      <c r="O14" s="141"/>
      <c r="P14" s="142"/>
    </row>
    <row r="15" spans="1:15" s="154" customFormat="1" ht="13.5" customHeight="1">
      <c r="A15" s="143"/>
      <c r="B15" s="144" t="s">
        <v>597</v>
      </c>
      <c r="C15" s="145">
        <v>134000</v>
      </c>
      <c r="D15" s="146">
        <f>I15+L15</f>
        <v>294000</v>
      </c>
      <c r="E15" s="147">
        <f>J15+M15</f>
        <v>224690</v>
      </c>
      <c r="F15" s="177"/>
      <c r="G15" s="178"/>
      <c r="H15" s="179"/>
      <c r="I15" s="147">
        <v>294000</v>
      </c>
      <c r="J15" s="147">
        <v>224690</v>
      </c>
      <c r="K15" s="179"/>
      <c r="L15" s="147"/>
      <c r="M15" s="147"/>
      <c r="N15" s="152"/>
      <c r="O15" s="153"/>
    </row>
    <row r="16" spans="1:16" s="193" customFormat="1" ht="32.25" customHeight="1">
      <c r="A16" s="131" t="s">
        <v>603</v>
      </c>
      <c r="B16" s="132" t="s">
        <v>604</v>
      </c>
      <c r="C16" s="133">
        <f>SUM(C17)</f>
        <v>48314170</v>
      </c>
      <c r="D16" s="134">
        <f t="shared" si="0"/>
        <v>50930470</v>
      </c>
      <c r="E16" s="135">
        <f t="shared" si="0"/>
        <v>6393049</v>
      </c>
      <c r="F16" s="136">
        <f>E16/C16*100</f>
        <v>13.232244287752435</v>
      </c>
      <c r="G16" s="170">
        <f>E16/D16*100</f>
        <v>12.55250344243829</v>
      </c>
      <c r="H16" s="254">
        <f>E16/E79*100</f>
        <v>5.4944516519118896</v>
      </c>
      <c r="I16" s="135">
        <f>SUM(I17)</f>
        <v>12247640</v>
      </c>
      <c r="J16" s="135">
        <f>SUM(J17)</f>
        <v>3609365</v>
      </c>
      <c r="K16" s="139">
        <f>J16/I16*100</f>
        <v>29.469881544526128</v>
      </c>
      <c r="L16" s="168">
        <f>SUM(L17:L17)</f>
        <v>38682830</v>
      </c>
      <c r="M16" s="169">
        <f>SUM(M17:M17)</f>
        <v>2783684</v>
      </c>
      <c r="N16" s="173">
        <f>M16/L16*100</f>
        <v>7.196174633551888</v>
      </c>
      <c r="O16" s="141"/>
      <c r="P16" s="142"/>
    </row>
    <row r="17" spans="1:15" s="154" customFormat="1" ht="13.5" customHeight="1">
      <c r="A17" s="143"/>
      <c r="B17" s="144" t="s">
        <v>597</v>
      </c>
      <c r="C17" s="145">
        <v>48314170</v>
      </c>
      <c r="D17" s="146">
        <f t="shared" si="0"/>
        <v>50930470</v>
      </c>
      <c r="E17" s="147">
        <f t="shared" si="0"/>
        <v>6393049</v>
      </c>
      <c r="F17" s="177"/>
      <c r="G17" s="178"/>
      <c r="H17" s="179"/>
      <c r="I17" s="147">
        <v>12247640</v>
      </c>
      <c r="J17" s="147">
        <v>3609365</v>
      </c>
      <c r="K17" s="179"/>
      <c r="L17" s="147">
        <v>38682830</v>
      </c>
      <c r="M17" s="147">
        <v>2783684</v>
      </c>
      <c r="N17" s="152"/>
      <c r="O17" s="153"/>
    </row>
    <row r="18" spans="1:16" s="193" customFormat="1" ht="21.75" customHeight="1">
      <c r="A18" s="131" t="s">
        <v>605</v>
      </c>
      <c r="B18" s="132" t="s">
        <v>606</v>
      </c>
      <c r="C18" s="133">
        <f>SUM(C19)</f>
        <v>150500</v>
      </c>
      <c r="D18" s="134">
        <f t="shared" si="0"/>
        <v>131500</v>
      </c>
      <c r="E18" s="135">
        <f t="shared" si="0"/>
        <v>57955</v>
      </c>
      <c r="F18" s="136">
        <f>E18/C18*100</f>
        <v>38.50830564784053</v>
      </c>
      <c r="G18" s="170">
        <f>E18/D18*100</f>
        <v>44.0722433460076</v>
      </c>
      <c r="H18" s="254">
        <v>0.1</v>
      </c>
      <c r="I18" s="135">
        <f>SUM(I19)</f>
        <v>131500</v>
      </c>
      <c r="J18" s="135">
        <f>SUM(J19)</f>
        <v>57955</v>
      </c>
      <c r="K18" s="139">
        <f>J18/I18*100</f>
        <v>44.0722433460076</v>
      </c>
      <c r="L18" s="168"/>
      <c r="M18" s="169"/>
      <c r="N18" s="173"/>
      <c r="O18" s="141"/>
      <c r="P18" s="142"/>
    </row>
    <row r="19" spans="1:15" s="154" customFormat="1" ht="13.5" customHeight="1">
      <c r="A19" s="143"/>
      <c r="B19" s="144" t="s">
        <v>597</v>
      </c>
      <c r="C19" s="145">
        <v>150500</v>
      </c>
      <c r="D19" s="146">
        <f t="shared" si="0"/>
        <v>131500</v>
      </c>
      <c r="E19" s="147">
        <f t="shared" si="0"/>
        <v>57955</v>
      </c>
      <c r="F19" s="177"/>
      <c r="G19" s="178"/>
      <c r="H19" s="179"/>
      <c r="I19" s="147">
        <v>131500</v>
      </c>
      <c r="J19" s="147">
        <v>57955</v>
      </c>
      <c r="K19" s="179"/>
      <c r="L19" s="147"/>
      <c r="M19" s="147"/>
      <c r="N19" s="152"/>
      <c r="O19" s="153"/>
    </row>
    <row r="20" spans="1:16" s="193" customFormat="1" ht="39.75" customHeight="1">
      <c r="A20" s="131" t="s">
        <v>607</v>
      </c>
      <c r="B20" s="132" t="s">
        <v>608</v>
      </c>
      <c r="C20" s="133">
        <f>SUM(C21:C22)</f>
        <v>9702400</v>
      </c>
      <c r="D20" s="134">
        <f t="shared" si="0"/>
        <v>15690350</v>
      </c>
      <c r="E20" s="135">
        <f t="shared" si="0"/>
        <v>1318537</v>
      </c>
      <c r="F20" s="136">
        <f>E20/C20*100</f>
        <v>13.589802523087071</v>
      </c>
      <c r="G20" s="137">
        <f>E20/D20*100</f>
        <v>8.40349004324314</v>
      </c>
      <c r="H20" s="274">
        <f>E20/E79*100</f>
        <v>1.133205423227156</v>
      </c>
      <c r="I20" s="135">
        <f>SUM(I21:I22)</f>
        <v>15645350</v>
      </c>
      <c r="J20" s="135">
        <f>SUM(J21:J22)</f>
        <v>1312302</v>
      </c>
      <c r="K20" s="139">
        <f>J20/I20*100</f>
        <v>8.387808518185915</v>
      </c>
      <c r="L20" s="135">
        <f>SUM(L21:L22)</f>
        <v>45000</v>
      </c>
      <c r="M20" s="135">
        <f>SUM(M21:M22)</f>
        <v>6235</v>
      </c>
      <c r="N20" s="140">
        <f>M20/L20*100</f>
        <v>13.855555555555554</v>
      </c>
      <c r="O20" s="141"/>
      <c r="P20" s="142"/>
    </row>
    <row r="21" spans="1:15" s="154" customFormat="1" ht="13.5" customHeight="1">
      <c r="A21" s="143"/>
      <c r="B21" s="144" t="s">
        <v>597</v>
      </c>
      <c r="C21" s="145">
        <v>9657400</v>
      </c>
      <c r="D21" s="146">
        <f t="shared" si="0"/>
        <v>15645350</v>
      </c>
      <c r="E21" s="147">
        <f t="shared" si="0"/>
        <v>1312302</v>
      </c>
      <c r="F21" s="148">
        <f>E21/C21*100</f>
        <v>13.588564209828732</v>
      </c>
      <c r="G21" s="149">
        <f>E21/D21*100</f>
        <v>8.387808518185915</v>
      </c>
      <c r="H21" s="179"/>
      <c r="I21" s="147">
        <v>15645350</v>
      </c>
      <c r="J21" s="147">
        <v>1312302</v>
      </c>
      <c r="K21" s="179"/>
      <c r="L21" s="147"/>
      <c r="M21" s="147"/>
      <c r="N21" s="152"/>
      <c r="O21" s="153"/>
    </row>
    <row r="22" spans="1:16" s="155" customFormat="1" ht="13.5">
      <c r="A22" s="156"/>
      <c r="B22" s="157" t="s">
        <v>598</v>
      </c>
      <c r="C22" s="158">
        <v>45000</v>
      </c>
      <c r="D22" s="159">
        <f t="shared" si="0"/>
        <v>45000</v>
      </c>
      <c r="E22" s="160">
        <f t="shared" si="0"/>
        <v>6235</v>
      </c>
      <c r="F22" s="148">
        <f>E22/C22*100</f>
        <v>13.855555555555554</v>
      </c>
      <c r="G22" s="161">
        <f>E22/D22*100</f>
        <v>13.855555555555554</v>
      </c>
      <c r="H22" s="197"/>
      <c r="I22" s="160"/>
      <c r="J22" s="160"/>
      <c r="K22" s="163"/>
      <c r="L22" s="160">
        <v>45000</v>
      </c>
      <c r="M22" s="160">
        <v>6235</v>
      </c>
      <c r="N22" s="152">
        <f>M22/L22*100</f>
        <v>13.855555555555554</v>
      </c>
      <c r="O22" s="153"/>
      <c r="P22" s="154"/>
    </row>
    <row r="23" spans="1:15" s="196" customFormat="1" ht="33" customHeight="1">
      <c r="A23" s="165" t="s">
        <v>609</v>
      </c>
      <c r="B23" s="194" t="s">
        <v>610</v>
      </c>
      <c r="C23" s="167">
        <f>SUM(C24:C26)</f>
        <v>2420300</v>
      </c>
      <c r="D23" s="168">
        <f t="shared" si="0"/>
        <v>2458022</v>
      </c>
      <c r="E23" s="169">
        <f t="shared" si="0"/>
        <v>687518</v>
      </c>
      <c r="F23" s="136">
        <f>E23/C23*100</f>
        <v>28.406313266950377</v>
      </c>
      <c r="G23" s="170">
        <f aca="true" t="shared" si="1" ref="G23:G40">E23/D23*100</f>
        <v>27.97037618052239</v>
      </c>
      <c r="H23" s="254">
        <f>E23/E79*100</f>
        <v>0.5908815043994123</v>
      </c>
      <c r="I23" s="169">
        <f>SUM(I24:I26)</f>
        <v>2063322</v>
      </c>
      <c r="J23" s="169">
        <f>SUM(J24:J26)</f>
        <v>536420</v>
      </c>
      <c r="K23" s="195">
        <f>J23/I23*100</f>
        <v>25.997881086907427</v>
      </c>
      <c r="L23" s="169">
        <f>SUM(L24:L26)</f>
        <v>394700</v>
      </c>
      <c r="M23" s="169">
        <f>SUM(M24:M26)</f>
        <v>151098</v>
      </c>
      <c r="N23" s="173">
        <f>M23/L23*100</f>
        <v>38.281732961743096</v>
      </c>
      <c r="O23" s="174"/>
    </row>
    <row r="24" spans="1:16" s="155" customFormat="1" ht="12.75" customHeight="1">
      <c r="A24" s="143"/>
      <c r="B24" s="144" t="s">
        <v>597</v>
      </c>
      <c r="C24" s="145">
        <v>2150000</v>
      </c>
      <c r="D24" s="146">
        <f t="shared" si="0"/>
        <v>2187722</v>
      </c>
      <c r="E24" s="147">
        <f t="shared" si="0"/>
        <v>591979</v>
      </c>
      <c r="F24" s="148">
        <f aca="true" t="shared" si="2" ref="F24:F30">E24/C24*100</f>
        <v>27.533906976744188</v>
      </c>
      <c r="G24" s="178">
        <f t="shared" si="1"/>
        <v>27.059151025587347</v>
      </c>
      <c r="H24" s="179"/>
      <c r="I24" s="147">
        <v>2046722</v>
      </c>
      <c r="J24" s="147">
        <v>533534</v>
      </c>
      <c r="K24" s="179"/>
      <c r="L24" s="147">
        <v>141000</v>
      </c>
      <c r="M24" s="147">
        <v>58445</v>
      </c>
      <c r="N24" s="152"/>
      <c r="O24" s="153"/>
      <c r="P24" s="154"/>
    </row>
    <row r="25" spans="1:15" s="154" customFormat="1" ht="12.75" customHeight="1">
      <c r="A25" s="143"/>
      <c r="B25" s="144" t="s">
        <v>598</v>
      </c>
      <c r="C25" s="145">
        <v>253700</v>
      </c>
      <c r="D25" s="146">
        <f t="shared" si="0"/>
        <v>253700</v>
      </c>
      <c r="E25" s="147">
        <f t="shared" si="0"/>
        <v>92653</v>
      </c>
      <c r="F25" s="148">
        <f t="shared" si="2"/>
        <v>36.52069373275522</v>
      </c>
      <c r="G25" s="178">
        <f t="shared" si="1"/>
        <v>36.52069373275522</v>
      </c>
      <c r="H25" s="179"/>
      <c r="I25" s="147"/>
      <c r="J25" s="147"/>
      <c r="K25" s="179"/>
      <c r="L25" s="147">
        <v>253700</v>
      </c>
      <c r="M25" s="147">
        <v>92653</v>
      </c>
      <c r="N25" s="152"/>
      <c r="O25" s="153"/>
    </row>
    <row r="26" spans="1:16" s="155" customFormat="1" ht="13.5" customHeight="1">
      <c r="A26" s="156"/>
      <c r="B26" s="157" t="s">
        <v>611</v>
      </c>
      <c r="C26" s="158">
        <v>16600</v>
      </c>
      <c r="D26" s="159">
        <f t="shared" si="0"/>
        <v>16600</v>
      </c>
      <c r="E26" s="160">
        <f t="shared" si="0"/>
        <v>2886</v>
      </c>
      <c r="F26" s="148">
        <f t="shared" si="2"/>
        <v>17.385542168674696</v>
      </c>
      <c r="G26" s="161">
        <f t="shared" si="1"/>
        <v>17.385542168674696</v>
      </c>
      <c r="H26" s="197"/>
      <c r="I26" s="160">
        <v>16600</v>
      </c>
      <c r="J26" s="160">
        <v>2886</v>
      </c>
      <c r="K26" s="197"/>
      <c r="L26" s="160"/>
      <c r="M26" s="160"/>
      <c r="N26" s="164"/>
      <c r="O26" s="153"/>
      <c r="P26" s="154"/>
    </row>
    <row r="27" spans="1:15" s="196" customFormat="1" ht="28.5">
      <c r="A27" s="165" t="s">
        <v>612</v>
      </c>
      <c r="B27" s="194" t="s">
        <v>613</v>
      </c>
      <c r="C27" s="167">
        <f>SUM(C28:C30)</f>
        <v>23521456</v>
      </c>
      <c r="D27" s="168">
        <f t="shared" si="0"/>
        <v>23835516</v>
      </c>
      <c r="E27" s="169">
        <f t="shared" si="0"/>
        <v>11246901</v>
      </c>
      <c r="F27" s="136">
        <f>E27/C27*100</f>
        <v>47.81549662571909</v>
      </c>
      <c r="G27" s="170">
        <f t="shared" si="1"/>
        <v>47.18547314016613</v>
      </c>
      <c r="H27" s="254">
        <f>E27/E79*100</f>
        <v>9.666053518178803</v>
      </c>
      <c r="I27" s="169">
        <f>SUM(I28:I30)</f>
        <v>21947556</v>
      </c>
      <c r="J27" s="169">
        <f>SUM(J28:J30)</f>
        <v>10348422</v>
      </c>
      <c r="K27" s="139">
        <f>J27/I27*100</f>
        <v>47.1506804675655</v>
      </c>
      <c r="L27" s="169">
        <f>SUM(L28:L30)</f>
        <v>1887960</v>
      </c>
      <c r="M27" s="169">
        <f>SUM(M28:M30)</f>
        <v>898479</v>
      </c>
      <c r="N27" s="173">
        <f>M27/L27*100</f>
        <v>47.5899383461514</v>
      </c>
      <c r="O27" s="174"/>
    </row>
    <row r="28" spans="1:16" s="155" customFormat="1" ht="13.5">
      <c r="A28" s="143"/>
      <c r="B28" s="144" t="s">
        <v>597</v>
      </c>
      <c r="C28" s="145">
        <v>22532556</v>
      </c>
      <c r="D28" s="146">
        <f aca="true" t="shared" si="3" ref="D28:E30">I28+L28</f>
        <v>22831616</v>
      </c>
      <c r="E28" s="147">
        <f t="shared" si="3"/>
        <v>10720740</v>
      </c>
      <c r="F28" s="148">
        <f t="shared" si="2"/>
        <v>47.57888985164399</v>
      </c>
      <c r="G28" s="178">
        <f t="shared" si="1"/>
        <v>46.95567760074451</v>
      </c>
      <c r="H28" s="179"/>
      <c r="I28" s="147">
        <v>21217156</v>
      </c>
      <c r="J28" s="147">
        <v>9976811</v>
      </c>
      <c r="K28" s="151">
        <f>J28/I28*100</f>
        <v>47.022376608815996</v>
      </c>
      <c r="L28" s="147">
        <v>1614460</v>
      </c>
      <c r="M28" s="147">
        <v>743929</v>
      </c>
      <c r="N28" s="152">
        <f>M28/L28*100</f>
        <v>46.07912243102957</v>
      </c>
      <c r="O28" s="153"/>
      <c r="P28" s="154"/>
    </row>
    <row r="29" spans="1:15" s="154" customFormat="1" ht="13.5">
      <c r="A29" s="143"/>
      <c r="B29" s="144" t="s">
        <v>598</v>
      </c>
      <c r="C29" s="145">
        <v>980400</v>
      </c>
      <c r="D29" s="146">
        <f t="shared" si="3"/>
        <v>980400</v>
      </c>
      <c r="E29" s="147">
        <f t="shared" si="3"/>
        <v>503764</v>
      </c>
      <c r="F29" s="148">
        <f t="shared" si="2"/>
        <v>51.38351693186455</v>
      </c>
      <c r="G29" s="178">
        <f t="shared" si="1"/>
        <v>51.38351693186455</v>
      </c>
      <c r="H29" s="179"/>
      <c r="I29" s="147">
        <v>715400</v>
      </c>
      <c r="J29" s="147">
        <v>357700</v>
      </c>
      <c r="K29" s="151">
        <f>J29/I29*100</f>
        <v>50</v>
      </c>
      <c r="L29" s="147">
        <v>265000</v>
      </c>
      <c r="M29" s="147">
        <v>146064</v>
      </c>
      <c r="N29" s="152">
        <f>M29/L29*100</f>
        <v>55.118490566037735</v>
      </c>
      <c r="O29" s="153"/>
    </row>
    <row r="30" spans="1:16" s="155" customFormat="1" ht="12" customHeight="1">
      <c r="A30" s="156"/>
      <c r="B30" s="157" t="s">
        <v>611</v>
      </c>
      <c r="C30" s="158">
        <v>8500</v>
      </c>
      <c r="D30" s="159">
        <f t="shared" si="3"/>
        <v>23500</v>
      </c>
      <c r="E30" s="160">
        <f t="shared" si="3"/>
        <v>22397</v>
      </c>
      <c r="F30" s="198">
        <f t="shared" si="2"/>
        <v>263.49411764705883</v>
      </c>
      <c r="G30" s="161">
        <f t="shared" si="1"/>
        <v>95.3063829787234</v>
      </c>
      <c r="H30" s="163"/>
      <c r="I30" s="160">
        <v>15000</v>
      </c>
      <c r="J30" s="160">
        <v>13911</v>
      </c>
      <c r="K30" s="197"/>
      <c r="L30" s="160">
        <v>8500</v>
      </c>
      <c r="M30" s="160">
        <v>8486</v>
      </c>
      <c r="N30" s="164">
        <f>M30/L30*100</f>
        <v>99.83529411764705</v>
      </c>
      <c r="O30" s="153"/>
      <c r="P30" s="154"/>
    </row>
    <row r="31" spans="1:15" s="196" customFormat="1" ht="93" customHeight="1">
      <c r="A31" s="165" t="s">
        <v>614</v>
      </c>
      <c r="B31" s="194" t="s">
        <v>615</v>
      </c>
      <c r="C31" s="167">
        <f>SUM(C32:C33)</f>
        <v>17596</v>
      </c>
      <c r="D31" s="168">
        <f>I31+L31</f>
        <v>17596</v>
      </c>
      <c r="E31" s="169">
        <f>J31+M31</f>
        <v>4208</v>
      </c>
      <c r="F31" s="136">
        <f>E31/C31*100</f>
        <v>23.914526028642875</v>
      </c>
      <c r="G31" s="170">
        <f t="shared" si="1"/>
        <v>23.914526028642875</v>
      </c>
      <c r="H31" s="254">
        <f>E31/E79*100</f>
        <v>0.003616529851600579</v>
      </c>
      <c r="I31" s="169">
        <f>SUM(I32:I33)</f>
        <v>17596</v>
      </c>
      <c r="J31" s="169">
        <f>SUM(J32:J33)</f>
        <v>4208</v>
      </c>
      <c r="K31" s="139">
        <f>J31/I31*100</f>
        <v>23.914526028642875</v>
      </c>
      <c r="L31" s="169"/>
      <c r="M31" s="169"/>
      <c r="N31" s="173"/>
      <c r="O31" s="174"/>
    </row>
    <row r="32" spans="1:15" s="191" customFormat="1" ht="15" hidden="1">
      <c r="A32" s="210"/>
      <c r="B32" s="211" t="s">
        <v>597</v>
      </c>
      <c r="C32" s="212"/>
      <c r="D32" s="213"/>
      <c r="E32" s="214"/>
      <c r="F32" s="177"/>
      <c r="G32" s="215"/>
      <c r="H32" s="217"/>
      <c r="I32" s="214"/>
      <c r="J32" s="214"/>
      <c r="K32" s="217"/>
      <c r="L32" s="214"/>
      <c r="M32" s="214"/>
      <c r="N32" s="273"/>
      <c r="O32" s="190"/>
    </row>
    <row r="33" spans="1:15" s="154" customFormat="1" ht="18" customHeight="1">
      <c r="A33" s="156"/>
      <c r="B33" s="157" t="s">
        <v>598</v>
      </c>
      <c r="C33" s="158">
        <v>17596</v>
      </c>
      <c r="D33" s="159">
        <f aca="true" t="shared" si="4" ref="D33:E55">I33+L33</f>
        <v>17596</v>
      </c>
      <c r="E33" s="160">
        <f t="shared" si="4"/>
        <v>4208</v>
      </c>
      <c r="F33" s="185"/>
      <c r="G33" s="161">
        <f t="shared" si="1"/>
        <v>23.914526028642875</v>
      </c>
      <c r="H33" s="197"/>
      <c r="I33" s="160">
        <v>17596</v>
      </c>
      <c r="J33" s="160">
        <v>4208</v>
      </c>
      <c r="K33" s="197"/>
      <c r="L33" s="160"/>
      <c r="M33" s="160"/>
      <c r="N33" s="164"/>
      <c r="O33" s="153"/>
    </row>
    <row r="34" spans="1:15" s="196" customFormat="1" ht="22.5" customHeight="1">
      <c r="A34" s="165" t="s">
        <v>616</v>
      </c>
      <c r="B34" s="194" t="s">
        <v>617</v>
      </c>
      <c r="C34" s="167">
        <f>SUM(C35)</f>
        <v>1000</v>
      </c>
      <c r="D34" s="168">
        <f>I34+L34</f>
        <v>1000</v>
      </c>
      <c r="E34" s="169">
        <f>J34+M34</f>
        <v>0</v>
      </c>
      <c r="F34" s="136">
        <f>E34/C34*100</f>
        <v>0</v>
      </c>
      <c r="G34" s="170">
        <f>E34/D34*100</f>
        <v>0</v>
      </c>
      <c r="H34" s="254"/>
      <c r="I34" s="169"/>
      <c r="J34" s="169"/>
      <c r="K34" s="139"/>
      <c r="L34" s="169">
        <f>SUM(L35)</f>
        <v>1000</v>
      </c>
      <c r="M34" s="169">
        <f>SUM(M35)</f>
        <v>0</v>
      </c>
      <c r="N34" s="220">
        <f>M34/L34*100</f>
        <v>0</v>
      </c>
      <c r="O34" s="174"/>
    </row>
    <row r="35" spans="1:15" s="231" customFormat="1" ht="15.75" customHeight="1">
      <c r="A35" s="240"/>
      <c r="B35" s="241" t="s">
        <v>598</v>
      </c>
      <c r="C35" s="242">
        <v>1000</v>
      </c>
      <c r="D35" s="224">
        <f>I35+L35</f>
        <v>1000</v>
      </c>
      <c r="E35" s="227">
        <f>J35+M35</f>
        <v>0</v>
      </c>
      <c r="F35" s="225"/>
      <c r="G35" s="225">
        <f>E35/D35*100</f>
        <v>0</v>
      </c>
      <c r="H35" s="248"/>
      <c r="I35" s="244"/>
      <c r="J35" s="244"/>
      <c r="K35" s="248"/>
      <c r="L35" s="244">
        <v>1000</v>
      </c>
      <c r="M35" s="244">
        <v>0</v>
      </c>
      <c r="N35" s="229"/>
      <c r="O35" s="230"/>
    </row>
    <row r="36" spans="1:15" s="196" customFormat="1" ht="47.25" customHeight="1">
      <c r="A36" s="165" t="s">
        <v>618</v>
      </c>
      <c r="B36" s="194" t="s">
        <v>619</v>
      </c>
      <c r="C36" s="167">
        <f>SUM(C37:C38)</f>
        <v>5047970</v>
      </c>
      <c r="D36" s="168">
        <f t="shared" si="4"/>
        <v>5521370</v>
      </c>
      <c r="E36" s="169">
        <f t="shared" si="4"/>
        <v>2803688</v>
      </c>
      <c r="F36" s="136">
        <f>E36/C36*100</f>
        <v>55.54090059964699</v>
      </c>
      <c r="G36" s="170">
        <f t="shared" si="1"/>
        <v>50.77884655438777</v>
      </c>
      <c r="H36" s="254">
        <v>2.4</v>
      </c>
      <c r="I36" s="169">
        <f>SUM(I37:I38)</f>
        <v>201970</v>
      </c>
      <c r="J36" s="169">
        <f>SUM(J37:J38)</f>
        <v>129354</v>
      </c>
      <c r="K36" s="139">
        <f>J36/I36*100</f>
        <v>64.04614546714859</v>
      </c>
      <c r="L36" s="169">
        <f>SUM(L37:L38)</f>
        <v>5319400</v>
      </c>
      <c r="M36" s="169">
        <f>SUM(M37:M38)</f>
        <v>2674334</v>
      </c>
      <c r="N36" s="173">
        <f>M36/L36*100</f>
        <v>50.27510621498665</v>
      </c>
      <c r="O36" s="174"/>
    </row>
    <row r="37" spans="1:16" s="155" customFormat="1" ht="14.25" customHeight="1">
      <c r="A37" s="143"/>
      <c r="B37" s="144" t="s">
        <v>597</v>
      </c>
      <c r="C37" s="145">
        <v>35970</v>
      </c>
      <c r="D37" s="146">
        <f t="shared" si="4"/>
        <v>509370</v>
      </c>
      <c r="E37" s="147">
        <f t="shared" si="4"/>
        <v>296354</v>
      </c>
      <c r="F37" s="148">
        <f>E37/C37*100</f>
        <v>823.8921323324993</v>
      </c>
      <c r="G37" s="178">
        <f t="shared" si="1"/>
        <v>58.18049747727585</v>
      </c>
      <c r="H37" s="179"/>
      <c r="I37" s="147">
        <v>195970</v>
      </c>
      <c r="J37" s="147">
        <v>129354</v>
      </c>
      <c r="K37" s="179">
        <f>J37/I37*100</f>
        <v>66.00704189416747</v>
      </c>
      <c r="L37" s="147">
        <v>313400</v>
      </c>
      <c r="M37" s="147">
        <v>167000</v>
      </c>
      <c r="N37" s="152">
        <f>M37/L37*100</f>
        <v>53.286534779834085</v>
      </c>
      <c r="O37" s="153"/>
      <c r="P37" s="154"/>
    </row>
    <row r="38" spans="1:16" s="155" customFormat="1" ht="18" customHeight="1">
      <c r="A38" s="156"/>
      <c r="B38" s="157" t="s">
        <v>598</v>
      </c>
      <c r="C38" s="158">
        <v>5012000</v>
      </c>
      <c r="D38" s="159">
        <f t="shared" si="4"/>
        <v>5012000</v>
      </c>
      <c r="E38" s="160">
        <f t="shared" si="4"/>
        <v>2507334</v>
      </c>
      <c r="F38" s="148">
        <f>E38/C38*100</f>
        <v>50.026616121308855</v>
      </c>
      <c r="G38" s="161">
        <f t="shared" si="1"/>
        <v>50.026616121308855</v>
      </c>
      <c r="H38" s="197"/>
      <c r="I38" s="160">
        <v>6000</v>
      </c>
      <c r="J38" s="160"/>
      <c r="K38" s="197">
        <f>J38/I38*100</f>
        <v>0</v>
      </c>
      <c r="L38" s="160">
        <v>5006000</v>
      </c>
      <c r="M38" s="160">
        <v>2507334</v>
      </c>
      <c r="N38" s="164">
        <f>M38/L38*100</f>
        <v>50.086576108669604</v>
      </c>
      <c r="O38" s="153"/>
      <c r="P38" s="154"/>
    </row>
    <row r="39" spans="1:16" s="176" customFormat="1" ht="131.25" customHeight="1">
      <c r="A39" s="232" t="s">
        <v>620</v>
      </c>
      <c r="B39" s="233" t="s">
        <v>621</v>
      </c>
      <c r="C39" s="234">
        <f>C40</f>
        <v>399200</v>
      </c>
      <c r="D39" s="235">
        <f t="shared" si="4"/>
        <v>459200</v>
      </c>
      <c r="E39" s="169">
        <f t="shared" si="4"/>
        <v>185152</v>
      </c>
      <c r="F39" s="236"/>
      <c r="G39" s="170">
        <f t="shared" si="1"/>
        <v>40.3205574912892</v>
      </c>
      <c r="H39" s="239">
        <v>0.1</v>
      </c>
      <c r="I39" s="238">
        <f>I40</f>
        <v>459200</v>
      </c>
      <c r="J39" s="238">
        <f>J40</f>
        <v>185152</v>
      </c>
      <c r="K39" s="239">
        <f>J39/I39*100</f>
        <v>40.3205574912892</v>
      </c>
      <c r="L39" s="238"/>
      <c r="M39" s="238"/>
      <c r="N39" s="333"/>
      <c r="O39" s="174"/>
      <c r="P39" s="175"/>
    </row>
    <row r="40" spans="1:16" s="250" customFormat="1" ht="17.25" customHeight="1">
      <c r="A40" s="240"/>
      <c r="B40" s="241" t="s">
        <v>597</v>
      </c>
      <c r="C40" s="242">
        <v>399200</v>
      </c>
      <c r="D40" s="243">
        <f t="shared" si="4"/>
        <v>459200</v>
      </c>
      <c r="E40" s="244">
        <f t="shared" si="4"/>
        <v>185152</v>
      </c>
      <c r="F40" s="245"/>
      <c r="G40" s="246">
        <f t="shared" si="1"/>
        <v>40.3205574912892</v>
      </c>
      <c r="H40" s="334"/>
      <c r="I40" s="244">
        <v>459200</v>
      </c>
      <c r="J40" s="244">
        <v>185152</v>
      </c>
      <c r="K40" s="248"/>
      <c r="L40" s="244"/>
      <c r="M40" s="244"/>
      <c r="N40" s="249"/>
      <c r="O40" s="230"/>
      <c r="P40" s="231"/>
    </row>
    <row r="41" spans="1:15" s="196" customFormat="1" ht="33" customHeight="1">
      <c r="A41" s="165" t="s">
        <v>622</v>
      </c>
      <c r="B41" s="194" t="s">
        <v>623</v>
      </c>
      <c r="C41" s="167">
        <f>SUM(C42:C43)</f>
        <v>4050000</v>
      </c>
      <c r="D41" s="168">
        <f t="shared" si="4"/>
        <v>4050000</v>
      </c>
      <c r="E41" s="169">
        <f t="shared" si="4"/>
        <v>1323066</v>
      </c>
      <c r="F41" s="136">
        <f>E41/C41*100</f>
        <v>32.6682962962963</v>
      </c>
      <c r="G41" s="170">
        <f>E41/D41*100</f>
        <v>32.6682962962963</v>
      </c>
      <c r="H41" s="239">
        <f>E41/E79*100</f>
        <v>1.137097833801752</v>
      </c>
      <c r="I41" s="169">
        <f>SUM(I42:I43)</f>
        <v>4050000</v>
      </c>
      <c r="J41" s="169">
        <f>SUM(J42:J43)</f>
        <v>1323066</v>
      </c>
      <c r="K41" s="139">
        <f>J41/I41*100</f>
        <v>32.6682962962963</v>
      </c>
      <c r="L41" s="169"/>
      <c r="M41" s="169"/>
      <c r="N41" s="173"/>
      <c r="O41" s="174"/>
    </row>
    <row r="42" spans="1:16" s="155" customFormat="1" ht="21" customHeight="1">
      <c r="A42" s="156"/>
      <c r="B42" s="157" t="s">
        <v>597</v>
      </c>
      <c r="C42" s="158">
        <v>4050000</v>
      </c>
      <c r="D42" s="159">
        <f t="shared" si="4"/>
        <v>4050000</v>
      </c>
      <c r="E42" s="160">
        <f t="shared" si="4"/>
        <v>1323066</v>
      </c>
      <c r="F42" s="185"/>
      <c r="G42" s="161">
        <f>E42/D42*100</f>
        <v>32.6682962962963</v>
      </c>
      <c r="H42" s="197"/>
      <c r="I42" s="160">
        <v>4050000</v>
      </c>
      <c r="J42" s="160">
        <v>1323066</v>
      </c>
      <c r="K42" s="197"/>
      <c r="L42" s="160"/>
      <c r="M42" s="160"/>
      <c r="N42" s="219"/>
      <c r="O42" s="153"/>
      <c r="P42" s="154"/>
    </row>
    <row r="43" spans="1:16" s="192" customFormat="1" ht="3" customHeight="1" hidden="1">
      <c r="A43" s="180"/>
      <c r="B43" s="181" t="s">
        <v>598</v>
      </c>
      <c r="C43" s="182"/>
      <c r="D43" s="183"/>
      <c r="E43" s="184"/>
      <c r="F43" s="185"/>
      <c r="G43" s="186"/>
      <c r="H43" s="188"/>
      <c r="I43" s="184"/>
      <c r="J43" s="184"/>
      <c r="K43" s="188"/>
      <c r="L43" s="184"/>
      <c r="M43" s="184"/>
      <c r="N43" s="252"/>
      <c r="O43" s="190"/>
      <c r="P43" s="191"/>
    </row>
    <row r="44" spans="1:15" s="196" customFormat="1" ht="20.25" customHeight="1">
      <c r="A44" s="165" t="s">
        <v>624</v>
      </c>
      <c r="B44" s="194" t="s">
        <v>625</v>
      </c>
      <c r="C44" s="167">
        <f>SUM(C45:C46)</f>
        <v>4238910</v>
      </c>
      <c r="D44" s="168">
        <f t="shared" si="4"/>
        <v>3907438</v>
      </c>
      <c r="E44" s="169">
        <f>J44+M44</f>
        <v>869460</v>
      </c>
      <c r="F44" s="253"/>
      <c r="G44" s="170">
        <f aca="true" t="shared" si="5" ref="G44:G55">E44/D44*100</f>
        <v>22.25140872356772</v>
      </c>
      <c r="H44" s="254">
        <f>E44/E79*100</f>
        <v>0.7472500106398858</v>
      </c>
      <c r="I44" s="169">
        <f>SUM(I45:I46)</f>
        <v>2168528</v>
      </c>
      <c r="J44" s="169">
        <f>SUM(J45:J46)</f>
        <v>0</v>
      </c>
      <c r="K44" s="139">
        <f aca="true" t="shared" si="6" ref="K44:K53">J44/I44*100</f>
        <v>0</v>
      </c>
      <c r="L44" s="169">
        <f>L45</f>
        <v>1738910</v>
      </c>
      <c r="M44" s="169">
        <f>M45</f>
        <v>869460</v>
      </c>
      <c r="N44" s="220">
        <f>M44/L44*100</f>
        <v>50.00028753644524</v>
      </c>
      <c r="O44" s="174"/>
    </row>
    <row r="45" spans="1:16" s="155" customFormat="1" ht="13.5" customHeight="1">
      <c r="A45" s="156"/>
      <c r="B45" s="157" t="s">
        <v>597</v>
      </c>
      <c r="C45" s="158">
        <v>4238910</v>
      </c>
      <c r="D45" s="159">
        <f t="shared" si="4"/>
        <v>3907438</v>
      </c>
      <c r="E45" s="160">
        <f t="shared" si="4"/>
        <v>869460</v>
      </c>
      <c r="F45" s="185"/>
      <c r="G45" s="161">
        <f t="shared" si="5"/>
        <v>22.25140872356772</v>
      </c>
      <c r="H45" s="197"/>
      <c r="I45" s="160">
        <v>2168528</v>
      </c>
      <c r="J45" s="160"/>
      <c r="K45" s="197"/>
      <c r="L45" s="160">
        <v>1738910</v>
      </c>
      <c r="M45" s="160">
        <v>869460</v>
      </c>
      <c r="N45" s="164"/>
      <c r="O45" s="153"/>
      <c r="P45" s="154"/>
    </row>
    <row r="46" spans="1:16" s="192" customFormat="1" ht="15" hidden="1">
      <c r="A46" s="180"/>
      <c r="B46" s="181" t="s">
        <v>598</v>
      </c>
      <c r="C46" s="182"/>
      <c r="D46" s="213">
        <f t="shared" si="4"/>
        <v>0</v>
      </c>
      <c r="E46" s="184">
        <f t="shared" si="4"/>
        <v>0</v>
      </c>
      <c r="F46" s="185"/>
      <c r="G46" s="186" t="e">
        <f t="shared" si="5"/>
        <v>#DIV/0!</v>
      </c>
      <c r="H46" s="188"/>
      <c r="I46" s="184"/>
      <c r="J46" s="184"/>
      <c r="K46" s="188"/>
      <c r="L46" s="184"/>
      <c r="M46" s="184"/>
      <c r="N46" s="189"/>
      <c r="O46" s="190"/>
      <c r="P46" s="191"/>
    </row>
    <row r="47" spans="1:15" s="196" customFormat="1" ht="33.75" customHeight="1">
      <c r="A47" s="165" t="s">
        <v>626</v>
      </c>
      <c r="B47" s="194" t="s">
        <v>627</v>
      </c>
      <c r="C47" s="167">
        <f>SUM(C48:C50)</f>
        <v>93872617</v>
      </c>
      <c r="D47" s="168">
        <f t="shared" si="4"/>
        <v>94596388</v>
      </c>
      <c r="E47" s="169">
        <f t="shared" si="4"/>
        <v>48664865</v>
      </c>
      <c r="F47" s="136">
        <f>E47/C47*100</f>
        <v>51.84138522525691</v>
      </c>
      <c r="G47" s="170">
        <f t="shared" si="5"/>
        <v>51.44473909511217</v>
      </c>
      <c r="H47" s="254">
        <f>E47/E79*100</f>
        <v>41.82460479957515</v>
      </c>
      <c r="I47" s="169">
        <f>SUM(I48:I50)</f>
        <v>55029597</v>
      </c>
      <c r="J47" s="169">
        <f>SUM(J48:J50)</f>
        <v>29127936</v>
      </c>
      <c r="K47" s="139">
        <f t="shared" si="6"/>
        <v>52.9313998065441</v>
      </c>
      <c r="L47" s="169">
        <f>SUM(L48:L50)</f>
        <v>39566791</v>
      </c>
      <c r="M47" s="169">
        <f>SUM(M48:M50)</f>
        <v>19536929</v>
      </c>
      <c r="N47" s="173">
        <f>M47/L47*100</f>
        <v>49.37708746711352</v>
      </c>
      <c r="O47" s="174"/>
    </row>
    <row r="48" spans="1:16" s="155" customFormat="1" ht="14.25" customHeight="1">
      <c r="A48" s="156"/>
      <c r="B48" s="157" t="s">
        <v>597</v>
      </c>
      <c r="C48" s="158">
        <v>93872617</v>
      </c>
      <c r="D48" s="159">
        <f t="shared" si="4"/>
        <v>94596388</v>
      </c>
      <c r="E48" s="160">
        <f t="shared" si="4"/>
        <v>48664865</v>
      </c>
      <c r="F48" s="185">
        <f>E48/C48*100</f>
        <v>51.84138522525691</v>
      </c>
      <c r="G48" s="161">
        <f t="shared" si="5"/>
        <v>51.44473909511217</v>
      </c>
      <c r="H48" s="197"/>
      <c r="I48" s="160">
        <v>55029597</v>
      </c>
      <c r="J48" s="160">
        <v>29127936</v>
      </c>
      <c r="K48" s="197">
        <f t="shared" si="6"/>
        <v>52.9313998065441</v>
      </c>
      <c r="L48" s="160">
        <v>39566791</v>
      </c>
      <c r="M48" s="160">
        <v>19536929</v>
      </c>
      <c r="N48" s="164">
        <f>M48/L48*100</f>
        <v>49.37708746711352</v>
      </c>
      <c r="O48" s="153"/>
      <c r="P48" s="154"/>
    </row>
    <row r="49" spans="1:16" s="155" customFormat="1" ht="13.5" hidden="1">
      <c r="A49" s="143"/>
      <c r="B49" s="144" t="s">
        <v>598</v>
      </c>
      <c r="C49" s="145"/>
      <c r="D49" s="146">
        <f t="shared" si="4"/>
        <v>0</v>
      </c>
      <c r="E49" s="147">
        <f t="shared" si="4"/>
        <v>0</v>
      </c>
      <c r="F49" s="177" t="e">
        <f>E49/C49*100</f>
        <v>#DIV/0!</v>
      </c>
      <c r="G49" s="178" t="e">
        <f t="shared" si="5"/>
        <v>#DIV/0!</v>
      </c>
      <c r="H49" s="179"/>
      <c r="I49" s="147"/>
      <c r="J49" s="147"/>
      <c r="K49" s="179"/>
      <c r="L49" s="147"/>
      <c r="M49" s="147"/>
      <c r="N49" s="152"/>
      <c r="O49" s="153"/>
      <c r="P49" s="154"/>
    </row>
    <row r="50" spans="1:16" s="155" customFormat="1" ht="13.5" hidden="1">
      <c r="A50" s="156"/>
      <c r="B50" s="157" t="s">
        <v>611</v>
      </c>
      <c r="C50" s="145"/>
      <c r="D50" s="146">
        <f t="shared" si="4"/>
        <v>0</v>
      </c>
      <c r="E50" s="147">
        <f t="shared" si="4"/>
        <v>0</v>
      </c>
      <c r="F50" s="177" t="e">
        <f>E50/C50*100</f>
        <v>#DIV/0!</v>
      </c>
      <c r="G50" s="178" t="e">
        <f t="shared" si="5"/>
        <v>#DIV/0!</v>
      </c>
      <c r="H50" s="197"/>
      <c r="I50" s="160"/>
      <c r="J50" s="160"/>
      <c r="K50" s="179" t="e">
        <f t="shared" si="6"/>
        <v>#DIV/0!</v>
      </c>
      <c r="L50" s="159"/>
      <c r="M50" s="160"/>
      <c r="N50" s="152"/>
      <c r="O50" s="153"/>
      <c r="P50" s="154"/>
    </row>
    <row r="51" spans="1:16" s="193" customFormat="1" ht="33" customHeight="1">
      <c r="A51" s="131" t="s">
        <v>628</v>
      </c>
      <c r="B51" s="132" t="s">
        <v>629</v>
      </c>
      <c r="C51" s="133">
        <f>SUM(C52)</f>
        <v>78500</v>
      </c>
      <c r="D51" s="134">
        <f t="shared" si="4"/>
        <v>77370</v>
      </c>
      <c r="E51" s="135">
        <f t="shared" si="4"/>
        <v>60794</v>
      </c>
      <c r="F51" s="136">
        <f>E51/C51*100</f>
        <v>77.44458598726115</v>
      </c>
      <c r="G51" s="170">
        <f>E51/D51*100</f>
        <v>78.57567532635389</v>
      </c>
      <c r="H51" s="254">
        <f>E51/E79*100</f>
        <v>0.052248886834174335</v>
      </c>
      <c r="I51" s="135">
        <f>SUM(I52)</f>
        <v>77370</v>
      </c>
      <c r="J51" s="135">
        <f>SUM(J52)</f>
        <v>60794</v>
      </c>
      <c r="K51" s="139">
        <f t="shared" si="6"/>
        <v>78.57567532635389</v>
      </c>
      <c r="L51" s="168"/>
      <c r="M51" s="169"/>
      <c r="N51" s="173"/>
      <c r="O51" s="141"/>
      <c r="P51" s="142"/>
    </row>
    <row r="52" spans="1:15" s="154" customFormat="1" ht="13.5" customHeight="1">
      <c r="A52" s="143"/>
      <c r="B52" s="144" t="s">
        <v>597</v>
      </c>
      <c r="C52" s="145">
        <v>78500</v>
      </c>
      <c r="D52" s="146">
        <f t="shared" si="4"/>
        <v>77370</v>
      </c>
      <c r="E52" s="147">
        <f t="shared" si="4"/>
        <v>60794</v>
      </c>
      <c r="F52" s="177"/>
      <c r="G52" s="178"/>
      <c r="H52" s="179"/>
      <c r="I52" s="147">
        <v>77370</v>
      </c>
      <c r="J52" s="147">
        <v>60794</v>
      </c>
      <c r="K52" s="179"/>
      <c r="L52" s="147"/>
      <c r="M52" s="147"/>
      <c r="N52" s="152"/>
      <c r="O52" s="153"/>
    </row>
    <row r="53" spans="1:15" s="196" customFormat="1" ht="20.25" customHeight="1">
      <c r="A53" s="165" t="s">
        <v>630</v>
      </c>
      <c r="B53" s="194" t="s">
        <v>631</v>
      </c>
      <c r="C53" s="167">
        <f>SUM(C54:C55)</f>
        <v>1875700</v>
      </c>
      <c r="D53" s="168">
        <f t="shared" si="4"/>
        <v>4127410</v>
      </c>
      <c r="E53" s="169">
        <f t="shared" si="4"/>
        <v>1068071</v>
      </c>
      <c r="F53" s="136">
        <f>E53/C53*100</f>
        <v>56.94252812283415</v>
      </c>
      <c r="G53" s="170">
        <f t="shared" si="5"/>
        <v>25.877511562941407</v>
      </c>
      <c r="H53" s="254">
        <f>E53/E79*100</f>
        <v>0.9179445473215024</v>
      </c>
      <c r="I53" s="169">
        <f>SUM(I54:I55)</f>
        <v>4118410</v>
      </c>
      <c r="J53" s="169">
        <f>SUM(J54:J55)</f>
        <v>1064660</v>
      </c>
      <c r="K53" s="139">
        <f t="shared" si="6"/>
        <v>25.851238706199727</v>
      </c>
      <c r="L53" s="169">
        <f>SUM(L54:L55)</f>
        <v>9000</v>
      </c>
      <c r="M53" s="169">
        <f>SUM(M54:M55)</f>
        <v>3411</v>
      </c>
      <c r="N53" s="220">
        <f>M53/L53*100</f>
        <v>37.9</v>
      </c>
      <c r="O53" s="174"/>
    </row>
    <row r="54" spans="1:16" s="155" customFormat="1" ht="14.25">
      <c r="A54" s="143"/>
      <c r="B54" s="144" t="s">
        <v>597</v>
      </c>
      <c r="C54" s="145">
        <v>1866700</v>
      </c>
      <c r="D54" s="146">
        <f t="shared" si="4"/>
        <v>4118410</v>
      </c>
      <c r="E54" s="147">
        <f t="shared" si="4"/>
        <v>1064660</v>
      </c>
      <c r="F54" s="148">
        <f>E54/C54*100</f>
        <v>57.03433867252371</v>
      </c>
      <c r="G54" s="178">
        <f t="shared" si="5"/>
        <v>25.851238706199727</v>
      </c>
      <c r="H54" s="255"/>
      <c r="I54" s="147">
        <v>4118410</v>
      </c>
      <c r="J54" s="147">
        <v>1064660</v>
      </c>
      <c r="K54" s="179"/>
      <c r="L54" s="147"/>
      <c r="M54" s="147"/>
      <c r="N54" s="152"/>
      <c r="O54" s="153"/>
      <c r="P54" s="154"/>
    </row>
    <row r="55" spans="1:16" s="155" customFormat="1" ht="14.25">
      <c r="A55" s="143"/>
      <c r="B55" s="144" t="s">
        <v>598</v>
      </c>
      <c r="C55" s="145">
        <v>9000</v>
      </c>
      <c r="D55" s="146">
        <f t="shared" si="4"/>
        <v>9000</v>
      </c>
      <c r="E55" s="147">
        <f t="shared" si="4"/>
        <v>3411</v>
      </c>
      <c r="F55" s="148">
        <f>E55/C55*100</f>
        <v>37.9</v>
      </c>
      <c r="G55" s="178">
        <f t="shared" si="5"/>
        <v>37.9</v>
      </c>
      <c r="H55" s="239"/>
      <c r="I55" s="147"/>
      <c r="J55" s="147"/>
      <c r="K55" s="179"/>
      <c r="L55" s="147">
        <v>9000</v>
      </c>
      <c r="M55" s="147">
        <v>3411</v>
      </c>
      <c r="N55" s="152"/>
      <c r="O55" s="153"/>
      <c r="P55" s="154"/>
    </row>
    <row r="56" spans="1:15" s="154" customFormat="1" ht="14.25" hidden="1">
      <c r="A56" s="143"/>
      <c r="B56" s="157" t="s">
        <v>611</v>
      </c>
      <c r="C56" s="145"/>
      <c r="D56" s="146"/>
      <c r="E56" s="147"/>
      <c r="F56" s="177"/>
      <c r="G56" s="178"/>
      <c r="H56" s="254" t="e">
        <f>E56/#REF!*100</f>
        <v>#REF!</v>
      </c>
      <c r="I56" s="147"/>
      <c r="J56" s="147"/>
      <c r="K56" s="179"/>
      <c r="L56" s="147"/>
      <c r="M56" s="147"/>
      <c r="N56" s="152"/>
      <c r="O56" s="153"/>
    </row>
    <row r="57" spans="1:15" s="196" customFormat="1" ht="19.5" customHeight="1">
      <c r="A57" s="165" t="s">
        <v>632</v>
      </c>
      <c r="B57" s="194" t="s">
        <v>633</v>
      </c>
      <c r="C57" s="167">
        <f>SUM(C58:C60)</f>
        <v>38091002</v>
      </c>
      <c r="D57" s="168">
        <f aca="true" t="shared" si="7" ref="D57:E68">I57+L57</f>
        <v>41112338</v>
      </c>
      <c r="E57" s="169">
        <f t="shared" si="7"/>
        <v>20518819</v>
      </c>
      <c r="F57" s="136">
        <f>E57/C57*100</f>
        <v>53.86788984968156</v>
      </c>
      <c r="G57" s="170">
        <f aca="true" t="shared" si="8" ref="G57:G64">E57/D57*100</f>
        <v>49.90915135986672</v>
      </c>
      <c r="H57" s="254">
        <v>17.7</v>
      </c>
      <c r="I57" s="169">
        <f>SUM(I58:I60)</f>
        <v>36567997</v>
      </c>
      <c r="J57" s="169">
        <f>SUM(J58:J60)</f>
        <v>18496264</v>
      </c>
      <c r="K57" s="139">
        <f>J57/I57*100</f>
        <v>50.58046794304867</v>
      </c>
      <c r="L57" s="169">
        <f>SUM(L58:L60)</f>
        <v>4544341</v>
      </c>
      <c r="M57" s="169">
        <f>SUM(M58:M60)</f>
        <v>2022555</v>
      </c>
      <c r="N57" s="173">
        <f aca="true" t="shared" si="9" ref="N57:N64">M57/L57*100</f>
        <v>44.507113352629126</v>
      </c>
      <c r="O57" s="174"/>
    </row>
    <row r="58" spans="1:16" s="155" customFormat="1" ht="12.75" customHeight="1">
      <c r="A58" s="143"/>
      <c r="B58" s="144" t="s">
        <v>597</v>
      </c>
      <c r="C58" s="145">
        <v>19170002</v>
      </c>
      <c r="D58" s="146">
        <f t="shared" si="7"/>
        <v>20932338</v>
      </c>
      <c r="E58" s="147">
        <f t="shared" si="7"/>
        <v>10643545</v>
      </c>
      <c r="F58" s="148">
        <f>E58/C58*100</f>
        <v>55.521877358176596</v>
      </c>
      <c r="G58" s="178">
        <f t="shared" si="8"/>
        <v>50.84737787054652</v>
      </c>
      <c r="H58" s="179"/>
      <c r="I58" s="147">
        <v>16401997</v>
      </c>
      <c r="J58" s="147">
        <v>8634990</v>
      </c>
      <c r="K58" s="179">
        <f>J58/I58*100</f>
        <v>52.645967439208775</v>
      </c>
      <c r="L58" s="147">
        <v>4530341</v>
      </c>
      <c r="M58" s="147">
        <v>2008555</v>
      </c>
      <c r="N58" s="251">
        <f t="shared" si="9"/>
        <v>44.33562506663405</v>
      </c>
      <c r="O58" s="153"/>
      <c r="P58" s="154"/>
    </row>
    <row r="59" spans="1:15" s="154" customFormat="1" ht="15" customHeight="1">
      <c r="A59" s="156"/>
      <c r="B59" s="157" t="s">
        <v>598</v>
      </c>
      <c r="C59" s="158">
        <v>18921000</v>
      </c>
      <c r="D59" s="159">
        <f t="shared" si="7"/>
        <v>20180000</v>
      </c>
      <c r="E59" s="160">
        <f t="shared" si="7"/>
        <v>9875274</v>
      </c>
      <c r="F59" s="198">
        <f>E59/C59*100</f>
        <v>52.192135722213415</v>
      </c>
      <c r="G59" s="161">
        <f t="shared" si="8"/>
        <v>48.93594648166501</v>
      </c>
      <c r="H59" s="197"/>
      <c r="I59" s="160">
        <v>20166000</v>
      </c>
      <c r="J59" s="160">
        <v>9861274</v>
      </c>
      <c r="K59" s="197">
        <f>J59/I59*100</f>
        <v>48.90049588416146</v>
      </c>
      <c r="L59" s="160">
        <v>14000</v>
      </c>
      <c r="M59" s="160">
        <v>14000</v>
      </c>
      <c r="N59" s="219">
        <f t="shared" si="9"/>
        <v>100</v>
      </c>
      <c r="O59" s="153"/>
    </row>
    <row r="60" spans="1:15" s="154" customFormat="1" ht="13.5" hidden="1">
      <c r="A60" s="156"/>
      <c r="B60" s="157" t="s">
        <v>611</v>
      </c>
      <c r="C60" s="158"/>
      <c r="D60" s="146">
        <f t="shared" si="7"/>
        <v>0</v>
      </c>
      <c r="E60" s="147">
        <f t="shared" si="7"/>
        <v>0</v>
      </c>
      <c r="F60" s="198" t="e">
        <f>E60/C60*100</f>
        <v>#DIV/0!</v>
      </c>
      <c r="G60" s="178" t="e">
        <f t="shared" si="8"/>
        <v>#DIV/0!</v>
      </c>
      <c r="H60" s="197"/>
      <c r="I60" s="160"/>
      <c r="J60" s="160"/>
      <c r="K60" s="197"/>
      <c r="L60" s="160"/>
      <c r="M60" s="160"/>
      <c r="N60" s="219" t="e">
        <f t="shared" si="9"/>
        <v>#DIV/0!</v>
      </c>
      <c r="O60" s="153"/>
    </row>
    <row r="61" spans="1:15" s="175" customFormat="1" ht="53.25" customHeight="1">
      <c r="A61" s="232" t="s">
        <v>634</v>
      </c>
      <c r="B61" s="233" t="s">
        <v>635</v>
      </c>
      <c r="C61" s="234">
        <f>SUM(C62:C63)</f>
        <v>2066665</v>
      </c>
      <c r="D61" s="256">
        <f t="shared" si="7"/>
        <v>2084665</v>
      </c>
      <c r="E61" s="238">
        <f t="shared" si="7"/>
        <v>1019652</v>
      </c>
      <c r="F61" s="236"/>
      <c r="G61" s="257">
        <f t="shared" si="8"/>
        <v>48.91203142951026</v>
      </c>
      <c r="H61" s="254">
        <f>E61/E79*100</f>
        <v>0.8763312491074701</v>
      </c>
      <c r="I61" s="238">
        <f>SUM(I62:I63)</f>
        <v>1945500</v>
      </c>
      <c r="J61" s="238">
        <f>SUM(J62:J63)</f>
        <v>944998</v>
      </c>
      <c r="K61" s="239">
        <f>J61/I61*100</f>
        <v>48.57352865587253</v>
      </c>
      <c r="L61" s="238">
        <f>SUM(L62:L63)</f>
        <v>139165</v>
      </c>
      <c r="M61" s="238">
        <f>SUM(M62:M63)</f>
        <v>74654</v>
      </c>
      <c r="N61" s="258">
        <f t="shared" si="9"/>
        <v>53.64423526030252</v>
      </c>
      <c r="O61" s="174"/>
    </row>
    <row r="62" spans="1:15" s="154" customFormat="1" ht="14.25">
      <c r="A62" s="143"/>
      <c r="B62" s="144" t="s">
        <v>597</v>
      </c>
      <c r="C62" s="145">
        <v>1960665</v>
      </c>
      <c r="D62" s="146">
        <f t="shared" si="7"/>
        <v>1978665</v>
      </c>
      <c r="E62" s="147">
        <f t="shared" si="7"/>
        <v>962581</v>
      </c>
      <c r="F62" s="148"/>
      <c r="G62" s="178">
        <f t="shared" si="8"/>
        <v>48.64800256738761</v>
      </c>
      <c r="H62" s="255"/>
      <c r="I62" s="147">
        <v>1945500</v>
      </c>
      <c r="J62" s="147">
        <v>944998</v>
      </c>
      <c r="K62" s="179"/>
      <c r="L62" s="147">
        <v>33165</v>
      </c>
      <c r="M62" s="147">
        <v>17583</v>
      </c>
      <c r="N62" s="259">
        <f t="shared" si="9"/>
        <v>53.01673450927182</v>
      </c>
      <c r="O62" s="153"/>
    </row>
    <row r="63" spans="1:15" s="154" customFormat="1" ht="14.25">
      <c r="A63" s="143"/>
      <c r="B63" s="144" t="s">
        <v>598</v>
      </c>
      <c r="C63" s="145">
        <v>106000</v>
      </c>
      <c r="D63" s="146">
        <f t="shared" si="7"/>
        <v>106000</v>
      </c>
      <c r="E63" s="147">
        <f t="shared" si="7"/>
        <v>57071</v>
      </c>
      <c r="F63" s="148"/>
      <c r="G63" s="178">
        <f t="shared" si="8"/>
        <v>53.84056603773585</v>
      </c>
      <c r="H63" s="260"/>
      <c r="I63" s="147"/>
      <c r="J63" s="147"/>
      <c r="K63" s="179"/>
      <c r="L63" s="147">
        <v>106000</v>
      </c>
      <c r="M63" s="147">
        <v>57071</v>
      </c>
      <c r="N63" s="259">
        <f t="shared" si="9"/>
        <v>53.84056603773585</v>
      </c>
      <c r="O63" s="153"/>
    </row>
    <row r="64" spans="1:15" s="196" customFormat="1" ht="40.5" customHeight="1">
      <c r="A64" s="165" t="s">
        <v>636</v>
      </c>
      <c r="B64" s="194" t="s">
        <v>637</v>
      </c>
      <c r="C64" s="167">
        <f>SUM(C65:C66)</f>
        <v>8683160</v>
      </c>
      <c r="D64" s="168">
        <f t="shared" si="7"/>
        <v>9059001</v>
      </c>
      <c r="E64" s="169">
        <f t="shared" si="7"/>
        <v>4889621</v>
      </c>
      <c r="F64" s="136">
        <f>E64/C64*100</f>
        <v>56.31153865643383</v>
      </c>
      <c r="G64" s="170">
        <f t="shared" si="8"/>
        <v>53.975278289515586</v>
      </c>
      <c r="H64" s="254">
        <f>E64/E79*100</f>
        <v>4.202343229447024</v>
      </c>
      <c r="I64" s="169">
        <f>SUM(I65:I66)</f>
        <v>1786016</v>
      </c>
      <c r="J64" s="169">
        <f>SUM(J65:J66)</f>
        <v>1001702</v>
      </c>
      <c r="K64" s="139">
        <f>J64/I64*100</f>
        <v>56.08583573719385</v>
      </c>
      <c r="L64" s="169">
        <f>SUM(L65:L66)</f>
        <v>7272985</v>
      </c>
      <c r="M64" s="169">
        <f>SUM(M65:M66)</f>
        <v>3887919</v>
      </c>
      <c r="N64" s="173">
        <f t="shared" si="9"/>
        <v>53.456991867850675</v>
      </c>
      <c r="O64" s="174"/>
    </row>
    <row r="65" spans="1:15" s="154" customFormat="1" ht="12.75" customHeight="1">
      <c r="A65" s="156"/>
      <c r="B65" s="157" t="s">
        <v>597</v>
      </c>
      <c r="C65" s="158">
        <v>8683160</v>
      </c>
      <c r="D65" s="159">
        <f t="shared" si="7"/>
        <v>9059001</v>
      </c>
      <c r="E65" s="160">
        <f t="shared" si="7"/>
        <v>4889621</v>
      </c>
      <c r="F65" s="185"/>
      <c r="G65" s="261"/>
      <c r="H65" s="197"/>
      <c r="I65" s="160">
        <v>1786016</v>
      </c>
      <c r="J65" s="160">
        <v>1001702</v>
      </c>
      <c r="K65" s="197"/>
      <c r="L65" s="160">
        <v>7272985</v>
      </c>
      <c r="M65" s="160">
        <v>3887919</v>
      </c>
      <c r="N65" s="164"/>
      <c r="O65" s="153"/>
    </row>
    <row r="66" spans="1:16" s="192" customFormat="1" ht="15" hidden="1">
      <c r="A66" s="180"/>
      <c r="B66" s="181" t="s">
        <v>598</v>
      </c>
      <c r="C66" s="182"/>
      <c r="D66" s="183">
        <f t="shared" si="7"/>
        <v>0</v>
      </c>
      <c r="E66" s="184">
        <f t="shared" si="7"/>
        <v>0</v>
      </c>
      <c r="F66" s="185"/>
      <c r="G66" s="186" t="e">
        <f aca="true" t="shared" si="10" ref="G66:G73">E66/D66*100</f>
        <v>#DIV/0!</v>
      </c>
      <c r="H66" s="188"/>
      <c r="I66" s="184"/>
      <c r="J66" s="184"/>
      <c r="K66" s="188"/>
      <c r="L66" s="184"/>
      <c r="M66" s="184"/>
      <c r="N66" s="189"/>
      <c r="O66" s="190"/>
      <c r="P66" s="191"/>
    </row>
    <row r="67" spans="1:15" s="196" customFormat="1" ht="61.5" customHeight="1">
      <c r="A67" s="165" t="s">
        <v>638</v>
      </c>
      <c r="B67" s="194" t="s">
        <v>639</v>
      </c>
      <c r="C67" s="167">
        <f>SUM(C68:C69)</f>
        <v>9122418</v>
      </c>
      <c r="D67" s="168">
        <f>I67+L67</f>
        <v>10279018</v>
      </c>
      <c r="E67" s="169">
        <f>J67+M67</f>
        <v>3923466</v>
      </c>
      <c r="F67" s="136">
        <f>E67/C67*100</f>
        <v>43.00905746700053</v>
      </c>
      <c r="G67" s="170">
        <f t="shared" si="10"/>
        <v>38.169657840856004</v>
      </c>
      <c r="H67" s="254">
        <f>E67/E79*100</f>
        <v>3.371989522514239</v>
      </c>
      <c r="I67" s="169">
        <f>SUM(I68:I69)</f>
        <v>7179018</v>
      </c>
      <c r="J67" s="169">
        <f>SUM(J68:J69)</f>
        <v>2444292</v>
      </c>
      <c r="K67" s="139">
        <f>J67/I67*100</f>
        <v>34.04772073283561</v>
      </c>
      <c r="L67" s="169">
        <f>SUM(L68:L69)</f>
        <v>3100000</v>
      </c>
      <c r="M67" s="169">
        <f>SUM(M68:M69)</f>
        <v>1479174</v>
      </c>
      <c r="N67" s="173">
        <f>M67/L67*100</f>
        <v>47.71529032258064</v>
      </c>
      <c r="O67" s="174"/>
    </row>
    <row r="68" spans="1:15" s="154" customFormat="1" ht="17.25" customHeight="1">
      <c r="A68" s="156"/>
      <c r="B68" s="157" t="s">
        <v>597</v>
      </c>
      <c r="C68" s="158">
        <v>9122418</v>
      </c>
      <c r="D68" s="159">
        <f aca="true" t="shared" si="11" ref="D68:D73">I68+L68</f>
        <v>10279018</v>
      </c>
      <c r="E68" s="160">
        <f t="shared" si="7"/>
        <v>3923466</v>
      </c>
      <c r="F68" s="198">
        <f>E68/C68*100</f>
        <v>43.00905746700053</v>
      </c>
      <c r="G68" s="335">
        <f t="shared" si="10"/>
        <v>38.169657840856004</v>
      </c>
      <c r="H68" s="197"/>
      <c r="I68" s="160">
        <v>7179018</v>
      </c>
      <c r="J68" s="160">
        <v>2444292</v>
      </c>
      <c r="K68" s="197">
        <f>J68/I68*100</f>
        <v>34.04772073283561</v>
      </c>
      <c r="L68" s="160">
        <v>3100000</v>
      </c>
      <c r="M68" s="160">
        <v>1479174</v>
      </c>
      <c r="N68" s="164"/>
      <c r="O68" s="153"/>
    </row>
    <row r="69" spans="1:16" s="155" customFormat="1" ht="13.5" hidden="1">
      <c r="A69" s="156"/>
      <c r="B69" s="157" t="s">
        <v>598</v>
      </c>
      <c r="C69" s="158"/>
      <c r="D69" s="159">
        <f t="shared" si="11"/>
        <v>0</v>
      </c>
      <c r="E69" s="160">
        <f>J69+M69</f>
        <v>0</v>
      </c>
      <c r="F69" s="148" t="e">
        <f>E69/C69*100</f>
        <v>#DIV/0!</v>
      </c>
      <c r="G69" s="161" t="e">
        <f t="shared" si="10"/>
        <v>#DIV/0!</v>
      </c>
      <c r="H69" s="197"/>
      <c r="I69" s="160">
        <v>0</v>
      </c>
      <c r="J69" s="160"/>
      <c r="K69" s="197" t="e">
        <f>J69/I69*100</f>
        <v>#DIV/0!</v>
      </c>
      <c r="L69" s="160"/>
      <c r="M69" s="160"/>
      <c r="N69" s="164"/>
      <c r="O69" s="153"/>
      <c r="P69" s="154"/>
    </row>
    <row r="70" spans="1:15" s="196" customFormat="1" ht="57">
      <c r="A70" s="165" t="s">
        <v>640</v>
      </c>
      <c r="B70" s="194" t="s">
        <v>641</v>
      </c>
      <c r="C70" s="167">
        <f>SUM(C71:C73)</f>
        <v>11993840</v>
      </c>
      <c r="D70" s="168">
        <f t="shared" si="11"/>
        <v>12801780</v>
      </c>
      <c r="E70" s="169">
        <f>J70+M70</f>
        <v>6679045</v>
      </c>
      <c r="F70" s="136">
        <f>E70/C70*100</f>
        <v>55.68729447783195</v>
      </c>
      <c r="G70" s="170">
        <f t="shared" si="10"/>
        <v>52.17278378475493</v>
      </c>
      <c r="H70" s="254">
        <f>E70/E79*100</f>
        <v>5.740248484478039</v>
      </c>
      <c r="I70" s="169">
        <f>SUM(I71:I73)</f>
        <v>4000640</v>
      </c>
      <c r="J70" s="169">
        <f>SUM(J71:J73)</f>
        <v>2074244</v>
      </c>
      <c r="K70" s="139">
        <f>J70/I70*100</f>
        <v>51.84780435130379</v>
      </c>
      <c r="L70" s="169">
        <f>SUM(L71:L73)</f>
        <v>8801140</v>
      </c>
      <c r="M70" s="169">
        <f>SUM(M71:M72)</f>
        <v>4604801</v>
      </c>
      <c r="N70" s="173">
        <f>M70/L70*100</f>
        <v>52.320506207150444</v>
      </c>
      <c r="O70" s="174"/>
    </row>
    <row r="71" spans="1:15" s="154" customFormat="1" ht="13.5">
      <c r="A71" s="156"/>
      <c r="B71" s="157" t="s">
        <v>597</v>
      </c>
      <c r="C71" s="158">
        <v>11993840</v>
      </c>
      <c r="D71" s="159">
        <f t="shared" si="11"/>
        <v>12448780</v>
      </c>
      <c r="E71" s="160">
        <f>J71+M71</f>
        <v>6679045</v>
      </c>
      <c r="F71" s="198">
        <f>E71/C71*100</f>
        <v>55.68729447783195</v>
      </c>
      <c r="G71" s="335">
        <f t="shared" si="10"/>
        <v>53.65220527634034</v>
      </c>
      <c r="H71" s="197"/>
      <c r="I71" s="160">
        <v>3997640</v>
      </c>
      <c r="J71" s="160">
        <v>2074244</v>
      </c>
      <c r="K71" s="197">
        <f>J71/I71*100</f>
        <v>51.886713160764856</v>
      </c>
      <c r="L71" s="160">
        <v>8451140</v>
      </c>
      <c r="M71" s="160">
        <v>4604801</v>
      </c>
      <c r="N71" s="219">
        <f>M71/L71*100</f>
        <v>54.48733543640266</v>
      </c>
      <c r="O71" s="153"/>
    </row>
    <row r="72" spans="1:16" s="155" customFormat="1" ht="14.25" customHeight="1">
      <c r="A72" s="143"/>
      <c r="B72" s="144" t="s">
        <v>598</v>
      </c>
      <c r="C72" s="145"/>
      <c r="D72" s="146">
        <f t="shared" si="11"/>
        <v>3000</v>
      </c>
      <c r="E72" s="147">
        <f>J72+M72</f>
        <v>0</v>
      </c>
      <c r="F72" s="148"/>
      <c r="G72" s="149">
        <f t="shared" si="10"/>
        <v>0</v>
      </c>
      <c r="H72" s="179"/>
      <c r="I72" s="147">
        <v>3000</v>
      </c>
      <c r="J72" s="147"/>
      <c r="K72" s="179"/>
      <c r="L72" s="147"/>
      <c r="M72" s="147"/>
      <c r="N72" s="152"/>
      <c r="O72" s="153"/>
      <c r="P72" s="154"/>
    </row>
    <row r="73" spans="1:15" s="154" customFormat="1" ht="14.25" customHeight="1">
      <c r="A73" s="156"/>
      <c r="B73" s="157" t="s">
        <v>611</v>
      </c>
      <c r="C73" s="158"/>
      <c r="D73" s="159">
        <f t="shared" si="11"/>
        <v>350000</v>
      </c>
      <c r="E73" s="160">
        <f>J73+M73</f>
        <v>0</v>
      </c>
      <c r="F73" s="198" t="e">
        <f>E73/C73*100</f>
        <v>#DIV/0!</v>
      </c>
      <c r="G73" s="161">
        <f t="shared" si="10"/>
        <v>0</v>
      </c>
      <c r="H73" s="197"/>
      <c r="I73" s="160"/>
      <c r="J73" s="160"/>
      <c r="K73" s="197"/>
      <c r="L73" s="160">
        <v>350000</v>
      </c>
      <c r="M73" s="160"/>
      <c r="N73" s="164"/>
      <c r="O73" s="153"/>
    </row>
    <row r="74" spans="1:15" s="271" customFormat="1" ht="96.75" customHeight="1" hidden="1">
      <c r="A74" s="262" t="s">
        <v>642</v>
      </c>
      <c r="B74" s="194" t="s">
        <v>643</v>
      </c>
      <c r="C74" s="263">
        <f>SUM(C75:C76)</f>
        <v>0</v>
      </c>
      <c r="D74" s="264"/>
      <c r="E74" s="265"/>
      <c r="F74" s="253"/>
      <c r="G74" s="266"/>
      <c r="H74" s="267"/>
      <c r="I74" s="265"/>
      <c r="J74" s="265"/>
      <c r="K74" s="268"/>
      <c r="L74" s="265"/>
      <c r="M74" s="265"/>
      <c r="N74" s="269"/>
      <c r="O74" s="270"/>
    </row>
    <row r="75" spans="1:15" s="191" customFormat="1" ht="15" hidden="1">
      <c r="A75" s="210"/>
      <c r="B75" s="211" t="s">
        <v>597</v>
      </c>
      <c r="C75" s="212"/>
      <c r="D75" s="213"/>
      <c r="E75" s="214"/>
      <c r="F75" s="177"/>
      <c r="G75" s="272"/>
      <c r="H75" s="217"/>
      <c r="I75" s="214"/>
      <c r="J75" s="214"/>
      <c r="K75" s="217"/>
      <c r="L75" s="214"/>
      <c r="M75" s="214"/>
      <c r="N75" s="273"/>
      <c r="O75" s="190"/>
    </row>
    <row r="76" spans="1:16" s="155" customFormat="1" ht="13.5" hidden="1">
      <c r="A76" s="156"/>
      <c r="B76" s="157" t="s">
        <v>598</v>
      </c>
      <c r="C76" s="158"/>
      <c r="D76" s="159"/>
      <c r="E76" s="147"/>
      <c r="F76" s="177"/>
      <c r="G76" s="161"/>
      <c r="H76" s="197"/>
      <c r="I76" s="160"/>
      <c r="J76" s="160"/>
      <c r="K76" s="197"/>
      <c r="L76" s="160"/>
      <c r="M76" s="160"/>
      <c r="N76" s="164"/>
      <c r="O76" s="153"/>
      <c r="P76" s="154"/>
    </row>
    <row r="77" spans="1:16" s="193" customFormat="1" ht="39" customHeight="1">
      <c r="A77" s="131" t="s">
        <v>644</v>
      </c>
      <c r="B77" s="132" t="s">
        <v>645</v>
      </c>
      <c r="C77" s="133">
        <f>SUM(C78)</f>
        <v>8433720</v>
      </c>
      <c r="D77" s="134">
        <f>I77+L77</f>
        <v>10566560</v>
      </c>
      <c r="E77" s="135">
        <f>J77+M77</f>
        <v>4415597</v>
      </c>
      <c r="F77" s="136">
        <f>E77/C77*100</f>
        <v>52.35645717429557</v>
      </c>
      <c r="G77" s="170">
        <f>E77/D77*100</f>
        <v>41.78840606592874</v>
      </c>
      <c r="H77" s="274">
        <f>E77/E79*100</f>
        <v>3.7949473296430516</v>
      </c>
      <c r="I77" s="135">
        <f>SUM(I78)</f>
        <v>10566560</v>
      </c>
      <c r="J77" s="135">
        <f>SUM(J78)</f>
        <v>4415597</v>
      </c>
      <c r="K77" s="139">
        <f>J77/I77*100</f>
        <v>41.78840606592874</v>
      </c>
      <c r="L77" s="168"/>
      <c r="M77" s="169"/>
      <c r="N77" s="173"/>
      <c r="O77" s="141"/>
      <c r="P77" s="142"/>
    </row>
    <row r="78" spans="1:15" s="154" customFormat="1" ht="13.5" customHeight="1" thickBot="1">
      <c r="A78" s="143"/>
      <c r="B78" s="144" t="s">
        <v>597</v>
      </c>
      <c r="C78" s="145">
        <v>8433720</v>
      </c>
      <c r="D78" s="146">
        <f>I78+L78</f>
        <v>10566560</v>
      </c>
      <c r="E78" s="147">
        <f>J78+M78</f>
        <v>4415597</v>
      </c>
      <c r="F78" s="177"/>
      <c r="G78" s="178"/>
      <c r="H78" s="275"/>
      <c r="I78" s="147">
        <v>10566560</v>
      </c>
      <c r="J78" s="147">
        <v>4415597</v>
      </c>
      <c r="K78" s="179"/>
      <c r="L78" s="276"/>
      <c r="M78" s="277"/>
      <c r="N78" s="259"/>
      <c r="O78" s="153"/>
    </row>
    <row r="79" spans="1:15" s="290" customFormat="1" ht="18" thickTop="1">
      <c r="A79" s="278"/>
      <c r="B79" s="279" t="s">
        <v>582</v>
      </c>
      <c r="C79" s="280">
        <f>C8+C11+C20+C23+C27+C31+C41+C36+C44+C47+C53+C57+C64+C67+C70+C74+C16+C77+C51+C18+C14+C39+C61+C34</f>
        <v>272216724</v>
      </c>
      <c r="D79" s="281">
        <f>D8+D11+D20+D23+D27+D31+D41+D36+D44+D47+D53+D57+D64+D67+D70+D74+D16+D77+D51+D18+D14+D39+D61+D34</f>
        <v>292002592</v>
      </c>
      <c r="E79" s="282">
        <f>E8+E11+E20+E23+E27+E31+E41+E36+E44+E47+E53+E57+E64+E67+E70+E74+E16+E77+E51+E18+E14+E39+E61+E34</f>
        <v>116354632</v>
      </c>
      <c r="F79" s="283">
        <f>E79/C79*100</f>
        <v>42.74338118917338</v>
      </c>
      <c r="G79" s="284">
        <f>E79/D79*100</f>
        <v>39.84712300088076</v>
      </c>
      <c r="H79" s="285">
        <f>E79/E79*100</f>
        <v>100</v>
      </c>
      <c r="I79" s="286">
        <f>I8+I11+I20+I23+I27+I31+I41+I36+I44+I47+I53+I57+I64+I67+I70+I74+I16+I77+I51+I18+I14+I39+I61+I34</f>
        <v>180499370</v>
      </c>
      <c r="J79" s="282">
        <f>J8+J11+J20+J23+J27+J31+J41+J36+J44+J47+J53+J57+J64+J67+J70+J74+J16+J77+J51+J18+J14+J39+J61+J34</f>
        <v>77361899</v>
      </c>
      <c r="K79" s="287">
        <f>J79/I79*100</f>
        <v>42.859927433541735</v>
      </c>
      <c r="L79" s="286">
        <f>L8+L11+L20+L23+L27+L31+L41+L36+L44+L47+L53+L57+L64+L67+L70+L74+L16+L77+L51+L18+L14+L39+L61+L34</f>
        <v>111503222</v>
      </c>
      <c r="M79" s="282">
        <f>M8+M11+M20+M23+M27+M31+M41+M36+M44+M47+M53+M57+M64+M67+M70+M74+M16+M77+M51+M18+M14+M39+M61+M34</f>
        <v>38992733</v>
      </c>
      <c r="N79" s="288">
        <f>M79/L79*100</f>
        <v>34.9700504618602</v>
      </c>
      <c r="O79" s="289"/>
    </row>
    <row r="80" spans="1:15" s="302" customFormat="1" ht="15">
      <c r="A80" s="291"/>
      <c r="B80" s="292" t="s">
        <v>597</v>
      </c>
      <c r="C80" s="293">
        <f>C9+C12+C21+C24+C28+C32+C42+C37+C45+C48+C54+C58+C65+C68+C71+C75+C17+C78+C52+C19+C15+C40+C62</f>
        <v>246845928</v>
      </c>
      <c r="D80" s="294">
        <f>D9+D12+D21+D24+D28+D32+D42+D37+D45+D48+D54+D58+D65+D68+D71+D75+D17+D78+D52+D19+D15+D40+D62</f>
        <v>265004796</v>
      </c>
      <c r="E80" s="295">
        <f>E9+E12+E21+E24+E28+E32+E42+E37+E45+E48+E54+E58+E65+E68+E71+E75+E17+E78+E52+E19+E15+E40+E62</f>
        <v>103279399</v>
      </c>
      <c r="F80" s="296">
        <f>E80/C80*100</f>
        <v>41.83962029950926</v>
      </c>
      <c r="G80" s="296">
        <f>E80/D80*100</f>
        <v>38.9726527817255</v>
      </c>
      <c r="H80" s="297">
        <f>E80/E79*100</f>
        <v>88.76260207672695</v>
      </c>
      <c r="I80" s="298">
        <f>I9+I12+I21+I24+I28+I32+I42+I37+I45+I48+I54+I58+I65+I68+I71+I75+I17+I78+I52+I19+I15+I40+I62</f>
        <v>159559774</v>
      </c>
      <c r="J80" s="299">
        <f>J9+J12+J21+J24+J28+J32+J42+J37+J45+J48+J54+J58+J65+J68+J71+J75+J17+J78+J52+J19+J15+J40+J62</f>
        <v>67121920</v>
      </c>
      <c r="K80" s="300">
        <f>J80/I80*100</f>
        <v>42.06694351422182</v>
      </c>
      <c r="L80" s="298">
        <f>L9+L12+L21+L24+L28+L32+L42+L37+L45+L48+L54+L58+L65+L68+L71+L75+L17+L78+L52+L19+L15+L40+L62</f>
        <v>105445022</v>
      </c>
      <c r="M80" s="299">
        <f>M9+M12+M21+M24+M28+M32+M42+M37+M45+M48+M54+M58+M65+M68+M71+M75+M17+M78+M52+M19+M15+M40+M62</f>
        <v>36157479</v>
      </c>
      <c r="N80" s="258">
        <f>M80/L80*100</f>
        <v>34.29036128419604</v>
      </c>
      <c r="O80" s="301"/>
    </row>
    <row r="81" spans="1:15" s="302" customFormat="1" ht="12" customHeight="1">
      <c r="A81" s="291"/>
      <c r="B81" s="292" t="s">
        <v>598</v>
      </c>
      <c r="C81" s="293">
        <f>C10+C13+C22+C25+C29+C33+C43+C38+C46+C49+C55+C59+C66+C69+C72+C76+C63+C35</f>
        <v>25345696</v>
      </c>
      <c r="D81" s="294">
        <f>D10+D13+D22+D25+D29+D33+D43+D38+D46+D49+D55+D59+D66+D69+D72+D76+D63+D35</f>
        <v>26607696</v>
      </c>
      <c r="E81" s="295">
        <f>E10+E13+E22+E25+E29+E33+E43+E38+E46+E49+E55+E59+E66+E69+E72+E76+E63+E35</f>
        <v>13049950</v>
      </c>
      <c r="F81" s="296">
        <f>E81/C81*100</f>
        <v>51.48783446309779</v>
      </c>
      <c r="G81" s="296">
        <f>E81/D81*100</f>
        <v>49.045772320910466</v>
      </c>
      <c r="H81" s="297">
        <f>E81/E79*100</f>
        <v>11.215668663710785</v>
      </c>
      <c r="I81" s="298">
        <f>I10+I13+I22+I25+I29+I33+I43+I38+I46+I49+I55+I59+I66+I69+I72+I76+I63+I35</f>
        <v>20907996</v>
      </c>
      <c r="J81" s="299">
        <f>J10+J13+J22+J25+J29+J33+J43+J38+J46+J49+J55+J59+J66+J69+J72+J76+J63+J35</f>
        <v>10223182</v>
      </c>
      <c r="K81" s="300">
        <f>J81/I81*100</f>
        <v>48.896039582177075</v>
      </c>
      <c r="L81" s="298">
        <f>L10+L13+L22+L25+L29+L33+L43+L38+L46+L49+L55+L59+L66+L69+L72+L76+L63+L35</f>
        <v>5699700</v>
      </c>
      <c r="M81" s="299">
        <f>M10+M13+M22+M25+M29+M33+M43+M38+M46+M49+M55+M59+M66+M69+M72+M76+M63+M35</f>
        <v>2826768</v>
      </c>
      <c r="N81" s="258">
        <f>M81/L81*100</f>
        <v>49.59503131743776</v>
      </c>
      <c r="O81" s="301"/>
    </row>
    <row r="82" spans="1:15" s="316" customFormat="1" ht="14.25" customHeight="1" thickBot="1">
      <c r="A82" s="303"/>
      <c r="B82" s="304" t="s">
        <v>611</v>
      </c>
      <c r="C82" s="305">
        <f>C26+C30+C73+C60</f>
        <v>25100</v>
      </c>
      <c r="D82" s="306">
        <f>D26+D30+D73+D60+D50</f>
        <v>390100</v>
      </c>
      <c r="E82" s="307">
        <f>E26+E30+E73+E60+E50</f>
        <v>25283</v>
      </c>
      <c r="F82" s="308">
        <f>E82/C82*100</f>
        <v>100.72908366533864</v>
      </c>
      <c r="G82" s="309">
        <f>E82/D82*100</f>
        <v>6.48115867726224</v>
      </c>
      <c r="H82" s="310">
        <f>E82/E80*100</f>
        <v>0.024480196675040682</v>
      </c>
      <c r="I82" s="311">
        <f>I26+I30+I73+I60+I50</f>
        <v>31600</v>
      </c>
      <c r="J82" s="312">
        <f>J26+J30+J73+J60+J50</f>
        <v>16797</v>
      </c>
      <c r="K82" s="313">
        <f>J82/I82*100</f>
        <v>53.155063291139236</v>
      </c>
      <c r="L82" s="311">
        <f>L26+L30+L73+L60+L50</f>
        <v>358500</v>
      </c>
      <c r="M82" s="312">
        <f>M26+M30+M73+M60+M50</f>
        <v>8486</v>
      </c>
      <c r="N82" s="314">
        <f>M82/L82*100</f>
        <v>2.3670850767085074</v>
      </c>
      <c r="O82" s="315"/>
    </row>
    <row r="83" spans="1:15" s="323" customFormat="1" ht="21.75" customHeight="1">
      <c r="A83" s="317"/>
      <c r="B83" s="318"/>
      <c r="C83" s="318"/>
      <c r="D83" s="319"/>
      <c r="E83" s="319"/>
      <c r="F83" s="319"/>
      <c r="G83" s="320"/>
      <c r="H83" s="321"/>
      <c r="I83" s="319"/>
      <c r="J83" s="319"/>
      <c r="K83" s="320"/>
      <c r="L83" s="322"/>
      <c r="M83" s="322"/>
      <c r="N83" s="320"/>
      <c r="O83" s="319"/>
    </row>
    <row r="84" spans="1:15" s="325" customFormat="1" ht="18" customHeight="1">
      <c r="A84" s="324"/>
      <c r="D84" s="326"/>
      <c r="E84" s="326"/>
      <c r="F84" s="326"/>
      <c r="G84" s="327"/>
      <c r="H84" s="328"/>
      <c r="I84" s="326"/>
      <c r="J84" s="326"/>
      <c r="K84" s="327"/>
      <c r="L84" s="326"/>
      <c r="M84" s="326"/>
      <c r="N84" s="320"/>
      <c r="O84" s="319"/>
    </row>
    <row r="85" spans="1:15" ht="12.75">
      <c r="A85" s="82"/>
      <c r="D85" s="329"/>
      <c r="E85" s="329"/>
      <c r="F85" s="329"/>
      <c r="G85" s="330"/>
      <c r="H85" s="331"/>
      <c r="I85" s="329"/>
      <c r="J85" s="329"/>
      <c r="K85" s="330"/>
      <c r="L85" s="329"/>
      <c r="M85" s="329"/>
      <c r="N85" s="330"/>
      <c r="O85" s="332"/>
    </row>
    <row r="86" spans="1:15" ht="12.75">
      <c r="A86" s="82"/>
      <c r="D86" s="329"/>
      <c r="E86" s="329"/>
      <c r="F86" s="329"/>
      <c r="G86" s="330"/>
      <c r="H86" s="331"/>
      <c r="I86" s="329"/>
      <c r="J86" s="329"/>
      <c r="K86" s="330"/>
      <c r="L86" s="329"/>
      <c r="M86" s="329"/>
      <c r="N86" s="330"/>
      <c r="O86" s="332"/>
    </row>
    <row r="87" spans="1:15" ht="12.75">
      <c r="A87" s="82"/>
      <c r="D87" s="329"/>
      <c r="E87" s="329"/>
      <c r="F87" s="329"/>
      <c r="G87" s="330"/>
      <c r="H87" s="331"/>
      <c r="I87" s="329"/>
      <c r="J87" s="329"/>
      <c r="K87" s="330"/>
      <c r="L87" s="329"/>
      <c r="M87" s="329"/>
      <c r="N87" s="330"/>
      <c r="O87" s="332"/>
    </row>
    <row r="88" ht="12.75">
      <c r="A88" s="82"/>
    </row>
    <row r="89" ht="12.75">
      <c r="A89" s="82"/>
    </row>
    <row r="90" ht="12.75">
      <c r="A90" s="82"/>
    </row>
    <row r="91" ht="12.75">
      <c r="A91" s="82"/>
    </row>
    <row r="92" ht="12.75">
      <c r="A92" s="82"/>
    </row>
    <row r="93" ht="12.75">
      <c r="A93" s="82"/>
    </row>
    <row r="94" ht="12.75">
      <c r="A94" s="82"/>
    </row>
    <row r="95" ht="12.75">
      <c r="A95" s="82"/>
    </row>
    <row r="96" ht="12.75">
      <c r="A96" s="82"/>
    </row>
    <row r="97" ht="12.75">
      <c r="A97" s="82"/>
    </row>
    <row r="98" ht="12.75">
      <c r="A98" s="82"/>
    </row>
    <row r="99" ht="12.75">
      <c r="A99" s="82"/>
    </row>
    <row r="100" ht="12.75">
      <c r="A100" s="82"/>
    </row>
    <row r="101" ht="12.75">
      <c r="A101" s="82"/>
    </row>
    <row r="102" ht="12.75">
      <c r="A102" s="82"/>
    </row>
    <row r="103" ht="12.75">
      <c r="A103" s="82"/>
    </row>
    <row r="104" ht="12.75">
      <c r="A104" s="82"/>
    </row>
    <row r="105" ht="12.75">
      <c r="A105" s="82"/>
    </row>
    <row r="106" ht="12.75">
      <c r="A106" s="82"/>
    </row>
    <row r="107" ht="12.75">
      <c r="A107" s="82"/>
    </row>
    <row r="108" ht="12.75">
      <c r="A108" s="82"/>
    </row>
    <row r="109" ht="12.75">
      <c r="A109" s="82"/>
    </row>
    <row r="110" ht="12.75">
      <c r="A110" s="82"/>
    </row>
    <row r="111" ht="12.75">
      <c r="A111" s="82"/>
    </row>
    <row r="112" ht="12.75">
      <c r="A112" s="82"/>
    </row>
    <row r="113" ht="12.75">
      <c r="A113" s="82"/>
    </row>
    <row r="114" ht="12.75">
      <c r="A114" s="82"/>
    </row>
    <row r="115" ht="12.75">
      <c r="A115" s="82"/>
    </row>
    <row r="116" ht="12.75">
      <c r="A116" s="82"/>
    </row>
    <row r="117" ht="12.75">
      <c r="A117" s="82"/>
    </row>
    <row r="118" ht="12.75">
      <c r="A118" s="82"/>
    </row>
    <row r="119" ht="12.75">
      <c r="A119" s="82"/>
    </row>
    <row r="120" ht="12.75">
      <c r="A120" s="82"/>
    </row>
    <row r="121" ht="12.75">
      <c r="A121" s="82"/>
    </row>
    <row r="122" ht="12.75">
      <c r="A122" s="82"/>
    </row>
    <row r="123" ht="12.75">
      <c r="A123" s="82"/>
    </row>
    <row r="124" ht="12.75">
      <c r="A124" s="82"/>
    </row>
    <row r="125" ht="12.75">
      <c r="A125" s="82"/>
    </row>
    <row r="126" ht="12.75">
      <c r="A126" s="82"/>
    </row>
    <row r="127" ht="12.75">
      <c r="A127" s="82"/>
    </row>
    <row r="128" ht="12.75">
      <c r="A128" s="82"/>
    </row>
    <row r="129" ht="12.75">
      <c r="A129" s="82"/>
    </row>
    <row r="130" ht="12.75">
      <c r="A130" s="82"/>
    </row>
    <row r="131" ht="12.75">
      <c r="A131" s="82"/>
    </row>
    <row r="132" ht="12.75">
      <c r="A132" s="82"/>
    </row>
    <row r="133" ht="12.75">
      <c r="A133" s="82"/>
    </row>
    <row r="134" ht="12.75">
      <c r="A134" s="82"/>
    </row>
    <row r="135" ht="12.75">
      <c r="A135" s="82"/>
    </row>
    <row r="136" ht="12.75">
      <c r="A136" s="82"/>
    </row>
    <row r="137" ht="12.75">
      <c r="A137" s="82"/>
    </row>
    <row r="138" ht="12.75">
      <c r="A138" s="82"/>
    </row>
    <row r="139" ht="12.75">
      <c r="A139" s="82"/>
    </row>
    <row r="140" ht="12.75">
      <c r="A140" s="82"/>
    </row>
    <row r="141" ht="12.75">
      <c r="A141" s="82"/>
    </row>
    <row r="142" ht="12.75">
      <c r="A142" s="82"/>
    </row>
    <row r="143" ht="12.75">
      <c r="A143" s="82"/>
    </row>
    <row r="144" ht="12.75">
      <c r="A144" s="82"/>
    </row>
    <row r="145" ht="12.75">
      <c r="A145" s="82"/>
    </row>
    <row r="146" ht="12.75">
      <c r="A146" s="82"/>
    </row>
    <row r="147" ht="12.75">
      <c r="A147" s="82"/>
    </row>
    <row r="148" ht="12.75">
      <c r="A148" s="82"/>
    </row>
    <row r="149" ht="12.75">
      <c r="A149" s="82"/>
    </row>
    <row r="150" ht="12.75">
      <c r="A150" s="82"/>
    </row>
    <row r="151" ht="12.75">
      <c r="A151" s="82"/>
    </row>
    <row r="152" ht="12.75">
      <c r="A152" s="82"/>
    </row>
    <row r="153" ht="12.75">
      <c r="A153" s="82"/>
    </row>
    <row r="154" ht="12.75">
      <c r="A154" s="82"/>
    </row>
    <row r="155" ht="12.75">
      <c r="A155" s="82"/>
    </row>
    <row r="156" ht="12.75">
      <c r="A156" s="82"/>
    </row>
    <row r="157" ht="12.75">
      <c r="A157" s="82"/>
    </row>
    <row r="158" ht="12.75">
      <c r="A158" s="82"/>
    </row>
    <row r="159" ht="12.75">
      <c r="A159" s="82"/>
    </row>
    <row r="160" ht="12.75">
      <c r="A160" s="82"/>
    </row>
    <row r="161" ht="12.75">
      <c r="A161" s="82"/>
    </row>
    <row r="162" ht="12.75">
      <c r="A162" s="82"/>
    </row>
    <row r="163" ht="12.75">
      <c r="A163" s="82"/>
    </row>
    <row r="164" ht="12.75">
      <c r="A164" s="82"/>
    </row>
    <row r="165" ht="12.75">
      <c r="A165" s="82"/>
    </row>
    <row r="166" ht="12.75">
      <c r="A166" s="82"/>
    </row>
    <row r="167" ht="12.75">
      <c r="A167" s="82"/>
    </row>
    <row r="168" ht="12.75">
      <c r="A168" s="82"/>
    </row>
    <row r="169" ht="12.75">
      <c r="A169" s="82"/>
    </row>
    <row r="170" ht="12.75">
      <c r="A170" s="82"/>
    </row>
    <row r="171" ht="12.75">
      <c r="A171" s="82"/>
    </row>
    <row r="172" ht="12.75">
      <c r="A172" s="82"/>
    </row>
    <row r="173" ht="12.75">
      <c r="A173" s="82"/>
    </row>
    <row r="174" ht="12.75">
      <c r="A174" s="82"/>
    </row>
    <row r="175" ht="12.75">
      <c r="A175" s="82"/>
    </row>
    <row r="176" ht="12.75">
      <c r="A176" s="82"/>
    </row>
    <row r="177" ht="12.75">
      <c r="A177" s="82"/>
    </row>
    <row r="178" ht="12.75">
      <c r="A178" s="82"/>
    </row>
    <row r="179" ht="12.75">
      <c r="A179" s="82"/>
    </row>
    <row r="180" ht="12.75">
      <c r="A180" s="82"/>
    </row>
    <row r="181" ht="12.75">
      <c r="A181" s="82"/>
    </row>
    <row r="182" ht="12.75">
      <c r="A182" s="82"/>
    </row>
    <row r="183" ht="12.75">
      <c r="A183" s="82"/>
    </row>
    <row r="184" ht="12.75">
      <c r="A184" s="82"/>
    </row>
    <row r="185" ht="12.75">
      <c r="A185" s="82"/>
    </row>
    <row r="186" ht="12.75">
      <c r="A186" s="82"/>
    </row>
    <row r="187" ht="12.75">
      <c r="A187" s="82"/>
    </row>
    <row r="188" ht="12.75">
      <c r="A188" s="82"/>
    </row>
    <row r="189" ht="12.75">
      <c r="A189" s="82"/>
    </row>
    <row r="190" ht="12.75">
      <c r="A190" s="82"/>
    </row>
    <row r="191" ht="12.75">
      <c r="A191" s="82"/>
    </row>
    <row r="192" ht="12.75">
      <c r="A192" s="82"/>
    </row>
    <row r="193" ht="12.75">
      <c r="A193" s="82"/>
    </row>
    <row r="194" ht="12.75">
      <c r="A194" s="82"/>
    </row>
    <row r="195" ht="12.75">
      <c r="A195" s="82"/>
    </row>
    <row r="196" ht="12.75">
      <c r="A196" s="82"/>
    </row>
    <row r="197" ht="12.75">
      <c r="A197" s="82"/>
    </row>
    <row r="198" ht="12.75">
      <c r="A198" s="82"/>
    </row>
    <row r="199" ht="12.75">
      <c r="A199" s="82"/>
    </row>
    <row r="200" ht="12.75">
      <c r="A200" s="82"/>
    </row>
    <row r="201" ht="12.75">
      <c r="A201" s="82"/>
    </row>
    <row r="202" ht="12.75">
      <c r="A202" s="82"/>
    </row>
    <row r="203" ht="12.75">
      <c r="A203" s="82"/>
    </row>
    <row r="204" ht="12.75">
      <c r="A204" s="82"/>
    </row>
    <row r="205" ht="12.75">
      <c r="A205" s="82"/>
    </row>
    <row r="206" ht="12.75">
      <c r="A206" s="82"/>
    </row>
    <row r="207" ht="12.75">
      <c r="A207" s="82"/>
    </row>
    <row r="208" ht="12.75">
      <c r="A208" s="82"/>
    </row>
    <row r="209" ht="12.75">
      <c r="A209" s="82"/>
    </row>
    <row r="210" ht="12.75">
      <c r="A210" s="82"/>
    </row>
    <row r="211" ht="12.75">
      <c r="A211" s="82"/>
    </row>
    <row r="212" ht="12.75">
      <c r="A212" s="82"/>
    </row>
    <row r="213" ht="12.75">
      <c r="A213" s="82"/>
    </row>
    <row r="214" ht="12.75">
      <c r="A214" s="82"/>
    </row>
    <row r="215" ht="12.75">
      <c r="A215" s="82"/>
    </row>
    <row r="216" ht="12.75">
      <c r="A216" s="82"/>
    </row>
    <row r="217" ht="12.75">
      <c r="A217" s="82"/>
    </row>
    <row r="218" ht="12.75">
      <c r="A218" s="82"/>
    </row>
    <row r="219" ht="12.75">
      <c r="A219" s="82"/>
    </row>
    <row r="220" ht="12.75">
      <c r="A220" s="82"/>
    </row>
    <row r="221" ht="12.75">
      <c r="A221" s="82"/>
    </row>
    <row r="222" ht="12.75">
      <c r="A222" s="82"/>
    </row>
    <row r="223" ht="12.75">
      <c r="A223" s="82"/>
    </row>
    <row r="224" ht="12.75">
      <c r="A224" s="82"/>
    </row>
    <row r="225" ht="12.75">
      <c r="A225" s="82"/>
    </row>
    <row r="226" ht="12.75">
      <c r="A226" s="82"/>
    </row>
    <row r="227" ht="12.75">
      <c r="A227" s="82"/>
    </row>
    <row r="228" ht="12.75">
      <c r="A228" s="82"/>
    </row>
    <row r="229" ht="12.75">
      <c r="A229" s="82"/>
    </row>
    <row r="230" ht="12.75">
      <c r="A230" s="82"/>
    </row>
    <row r="231" ht="12.75">
      <c r="A231" s="82"/>
    </row>
    <row r="232" ht="12.75">
      <c r="A232" s="82"/>
    </row>
    <row r="233" ht="12.75">
      <c r="A233" s="82"/>
    </row>
    <row r="234" ht="12.75">
      <c r="A234" s="82"/>
    </row>
    <row r="235" ht="12.75">
      <c r="A235" s="82"/>
    </row>
    <row r="236" ht="12.75">
      <c r="A236" s="82"/>
    </row>
    <row r="237" ht="12.75">
      <c r="A237" s="82"/>
    </row>
    <row r="238" ht="12.75">
      <c r="A238" s="82"/>
    </row>
    <row r="239" ht="12.75">
      <c r="A239" s="82"/>
    </row>
    <row r="240" ht="12.75">
      <c r="A240" s="82"/>
    </row>
    <row r="241" ht="12.75">
      <c r="A241" s="82"/>
    </row>
    <row r="242" ht="12.75">
      <c r="A242" s="82"/>
    </row>
    <row r="243" ht="12.75">
      <c r="A243" s="82"/>
    </row>
    <row r="244" ht="12.75">
      <c r="A244" s="82"/>
    </row>
    <row r="245" ht="12.75">
      <c r="A245" s="82"/>
    </row>
    <row r="246" ht="12.75">
      <c r="A246" s="82"/>
    </row>
    <row r="247" ht="12.75">
      <c r="A247" s="82"/>
    </row>
    <row r="248" ht="12.75">
      <c r="A248" s="82"/>
    </row>
    <row r="249" ht="12.75">
      <c r="A249" s="82"/>
    </row>
    <row r="250" ht="12.75">
      <c r="A250" s="82"/>
    </row>
    <row r="251" ht="12.75">
      <c r="A251" s="82"/>
    </row>
    <row r="252" ht="12.75">
      <c r="A252" s="82"/>
    </row>
    <row r="253" ht="12.75">
      <c r="A253" s="82"/>
    </row>
    <row r="254" ht="12.75">
      <c r="A254" s="82"/>
    </row>
    <row r="255" ht="12.75">
      <c r="A255" s="82"/>
    </row>
    <row r="256" ht="12.75">
      <c r="A256" s="82"/>
    </row>
    <row r="257" ht="12.75">
      <c r="A257" s="82"/>
    </row>
    <row r="258" ht="12.75">
      <c r="A258" s="82"/>
    </row>
    <row r="259" ht="12.75">
      <c r="A259" s="82"/>
    </row>
    <row r="260" ht="12.75">
      <c r="A260" s="82"/>
    </row>
    <row r="261" ht="12.75">
      <c r="A261" s="82"/>
    </row>
    <row r="262" ht="12.75">
      <c r="A262" s="82"/>
    </row>
    <row r="263" ht="12.75">
      <c r="A263" s="82"/>
    </row>
    <row r="264" ht="12.75">
      <c r="A264" s="82"/>
    </row>
    <row r="265" ht="12.75">
      <c r="A265" s="82"/>
    </row>
    <row r="266" ht="12.75">
      <c r="A266" s="82"/>
    </row>
    <row r="267" ht="12.75">
      <c r="A267" s="82"/>
    </row>
    <row r="268" ht="12.75">
      <c r="A268" s="82"/>
    </row>
    <row r="269" ht="12.75">
      <c r="A269" s="82"/>
    </row>
    <row r="270" ht="12.75">
      <c r="A270" s="82"/>
    </row>
    <row r="271" ht="12.75">
      <c r="A271" s="82"/>
    </row>
    <row r="272" ht="12.75">
      <c r="A272" s="82"/>
    </row>
    <row r="273" ht="12.75">
      <c r="A273" s="82"/>
    </row>
    <row r="274" ht="12.75">
      <c r="A274" s="82"/>
    </row>
    <row r="275" ht="12.75">
      <c r="A275" s="82"/>
    </row>
    <row r="276" ht="12.75">
      <c r="A276" s="82"/>
    </row>
    <row r="277" ht="12.75">
      <c r="A277" s="82"/>
    </row>
    <row r="278" ht="12.75">
      <c r="A278" s="82"/>
    </row>
    <row r="279" ht="12.75">
      <c r="A279" s="82"/>
    </row>
    <row r="280" ht="12.75">
      <c r="A280" s="82"/>
    </row>
    <row r="281" ht="12.75">
      <c r="A281" s="82"/>
    </row>
    <row r="282" ht="12.75">
      <c r="A282" s="82"/>
    </row>
    <row r="283" ht="12.75">
      <c r="A283" s="82"/>
    </row>
  </sheetData>
  <printOptions horizontalCentered="1"/>
  <pageMargins left="0" right="0" top="0.984251968503937" bottom="0.5905511811023623" header="0.5118110236220472" footer="0.5118110236220472"/>
  <pageSetup firstPageNumber="22" useFirstPageNumber="1" horizontalDpi="600" verticalDpi="600" orientation="landscape" paperSize="9" scale="90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G7" sqref="G7"/>
    </sheetView>
  </sheetViews>
  <sheetFormatPr defaultColWidth="9.00390625" defaultRowHeight="12.75"/>
  <cols>
    <col min="1" max="1" width="6.125" style="530" customWidth="1"/>
    <col min="2" max="2" width="20.75390625" style="531" customWidth="1"/>
    <col min="3" max="3" width="12.875" style="531" hidden="1" customWidth="1"/>
    <col min="4" max="4" width="15.25390625" style="532" customWidth="1"/>
    <col min="5" max="5" width="14.125" style="533" customWidth="1"/>
    <col min="6" max="6" width="2.25390625" style="533" hidden="1" customWidth="1"/>
    <col min="7" max="7" width="5.75390625" style="533" customWidth="1"/>
    <col min="8" max="8" width="12.75390625" style="533" customWidth="1"/>
    <col min="9" max="9" width="12.375" style="533" customWidth="1"/>
    <col min="10" max="10" width="12.625" style="533" customWidth="1"/>
    <col min="11" max="11" width="11.75390625" style="533" customWidth="1"/>
    <col min="12" max="12" width="11.25390625" style="533" bestFit="1" customWidth="1"/>
    <col min="13" max="13" width="11.375" style="79" customWidth="1"/>
    <col min="14" max="15" width="11.375" style="533" customWidth="1"/>
    <col min="16" max="16384" width="11.375" style="79" customWidth="1"/>
  </cols>
  <sheetData>
    <row r="1" spans="1:15" s="341" customFormat="1" ht="15" customHeight="1">
      <c r="A1" s="336" t="s">
        <v>648</v>
      </c>
      <c r="B1" s="337"/>
      <c r="C1" s="337"/>
      <c r="D1" s="338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s="341" customFormat="1" ht="15" customHeight="1">
      <c r="A2" s="336" t="s">
        <v>649</v>
      </c>
      <c r="B2" s="337"/>
      <c r="C2" s="337"/>
      <c r="D2" s="338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42" t="s">
        <v>581</v>
      </c>
    </row>
    <row r="3" spans="1:15" s="82" customFormat="1" ht="19.5" customHeight="1" thickBot="1">
      <c r="A3" s="343"/>
      <c r="B3" s="344"/>
      <c r="C3" s="344"/>
      <c r="D3" s="345"/>
      <c r="E3" s="344"/>
      <c r="F3" s="344"/>
      <c r="G3" s="344"/>
      <c r="H3" s="342"/>
      <c r="I3" s="342"/>
      <c r="J3" s="342"/>
      <c r="K3" s="342"/>
      <c r="L3" s="344"/>
      <c r="N3" s="344"/>
      <c r="O3" s="346" t="s">
        <v>541</v>
      </c>
    </row>
    <row r="4" spans="1:15" s="357" customFormat="1" ht="28.5" customHeight="1" thickBot="1">
      <c r="A4" s="347"/>
      <c r="B4" s="348"/>
      <c r="C4" s="349" t="s">
        <v>582</v>
      </c>
      <c r="D4" s="350" t="s">
        <v>582</v>
      </c>
      <c r="E4" s="351"/>
      <c r="F4" s="351"/>
      <c r="G4" s="352"/>
      <c r="H4" s="351" t="s">
        <v>650</v>
      </c>
      <c r="I4" s="352"/>
      <c r="J4" s="351" t="s">
        <v>651</v>
      </c>
      <c r="K4" s="353"/>
      <c r="L4" s="354" t="s">
        <v>652</v>
      </c>
      <c r="M4" s="355"/>
      <c r="N4" s="351" t="s">
        <v>653</v>
      </c>
      <c r="O4" s="356"/>
    </row>
    <row r="5" spans="1:15" s="367" customFormat="1" ht="47.25" customHeight="1" thickBot="1" thickTop="1">
      <c r="A5" s="358" t="s">
        <v>585</v>
      </c>
      <c r="B5" s="359" t="s">
        <v>586</v>
      </c>
      <c r="C5" s="360" t="s">
        <v>654</v>
      </c>
      <c r="D5" s="361" t="s">
        <v>655</v>
      </c>
      <c r="E5" s="362" t="s">
        <v>656</v>
      </c>
      <c r="F5" s="116" t="s">
        <v>657</v>
      </c>
      <c r="G5" s="363" t="s">
        <v>658</v>
      </c>
      <c r="H5" s="364" t="s">
        <v>655</v>
      </c>
      <c r="I5" s="365" t="s">
        <v>659</v>
      </c>
      <c r="J5" s="364" t="s">
        <v>655</v>
      </c>
      <c r="K5" s="365" t="s">
        <v>660</v>
      </c>
      <c r="L5" s="364" t="s">
        <v>655</v>
      </c>
      <c r="M5" s="365" t="s">
        <v>659</v>
      </c>
      <c r="N5" s="364" t="s">
        <v>655</v>
      </c>
      <c r="O5" s="366" t="s">
        <v>661</v>
      </c>
    </row>
    <row r="6" spans="1:15" s="378" customFormat="1" ht="9.75" customHeight="1" thickBot="1" thickTop="1">
      <c r="A6" s="368">
        <v>1</v>
      </c>
      <c r="B6" s="369">
        <v>2</v>
      </c>
      <c r="C6" s="369">
        <v>3</v>
      </c>
      <c r="D6" s="370">
        <v>4</v>
      </c>
      <c r="E6" s="371">
        <v>5</v>
      </c>
      <c r="F6" s="372">
        <v>6</v>
      </c>
      <c r="G6" s="373">
        <v>7</v>
      </c>
      <c r="H6" s="374">
        <v>8</v>
      </c>
      <c r="I6" s="375">
        <v>9</v>
      </c>
      <c r="J6" s="376">
        <v>10</v>
      </c>
      <c r="K6" s="375">
        <v>11</v>
      </c>
      <c r="L6" s="376">
        <v>12</v>
      </c>
      <c r="M6" s="375">
        <v>13</v>
      </c>
      <c r="N6" s="376">
        <v>14</v>
      </c>
      <c r="O6" s="377">
        <v>15</v>
      </c>
    </row>
    <row r="7" spans="1:15" s="389" customFormat="1" ht="27" customHeight="1" thickTop="1">
      <c r="A7" s="379" t="s">
        <v>595</v>
      </c>
      <c r="B7" s="380" t="s">
        <v>596</v>
      </c>
      <c r="C7" s="381">
        <f>SUM(C8:C9)</f>
        <v>1113044</v>
      </c>
      <c r="D7" s="382">
        <f aca="true" t="shared" si="0" ref="D7:E23">H7+L7+N7+J7</f>
        <v>1600</v>
      </c>
      <c r="E7" s="383">
        <f>I7+M7+O7+K7</f>
        <v>478</v>
      </c>
      <c r="F7" s="384">
        <f>E7/C7*100</f>
        <v>0.0429452923693942</v>
      </c>
      <c r="G7" s="385">
        <f aca="true" t="shared" si="1" ref="G7:G12">E7/D7*100</f>
        <v>29.875</v>
      </c>
      <c r="H7" s="386">
        <f>SUM(H8)</f>
        <v>1600</v>
      </c>
      <c r="I7" s="381">
        <f>SUM(I8)</f>
        <v>478</v>
      </c>
      <c r="J7" s="387"/>
      <c r="K7" s="381"/>
      <c r="L7" s="386"/>
      <c r="M7" s="381"/>
      <c r="N7" s="387"/>
      <c r="O7" s="388"/>
    </row>
    <row r="8" spans="1:15" s="399" customFormat="1" ht="11.25" customHeight="1">
      <c r="A8" s="390"/>
      <c r="B8" s="391" t="s">
        <v>662</v>
      </c>
      <c r="C8" s="392">
        <v>1107044</v>
      </c>
      <c r="D8" s="393">
        <f t="shared" si="0"/>
        <v>1600</v>
      </c>
      <c r="E8" s="394">
        <f t="shared" si="0"/>
        <v>478</v>
      </c>
      <c r="F8" s="395">
        <f>E8/C8*100</f>
        <v>0.04317804893030448</v>
      </c>
      <c r="G8" s="396">
        <f t="shared" si="1"/>
        <v>29.875</v>
      </c>
      <c r="H8" s="397">
        <v>1600</v>
      </c>
      <c r="I8" s="392">
        <v>478</v>
      </c>
      <c r="J8" s="397"/>
      <c r="K8" s="392"/>
      <c r="L8" s="397"/>
      <c r="M8" s="392"/>
      <c r="N8" s="397"/>
      <c r="O8" s="398"/>
    </row>
    <row r="9" spans="1:15" s="399" customFormat="1" ht="14.25" customHeight="1" hidden="1">
      <c r="A9" s="390"/>
      <c r="B9" s="391" t="s">
        <v>663</v>
      </c>
      <c r="C9" s="392">
        <v>6000</v>
      </c>
      <c r="D9" s="393">
        <f>H9+L9+N9+J9</f>
        <v>0</v>
      </c>
      <c r="E9" s="394">
        <f>I9+M9+O9+K9</f>
        <v>0</v>
      </c>
      <c r="F9" s="395">
        <f>E9/C9*100</f>
        <v>0</v>
      </c>
      <c r="G9" s="400" t="s">
        <v>664</v>
      </c>
      <c r="H9" s="397"/>
      <c r="I9" s="392"/>
      <c r="J9" s="397"/>
      <c r="K9" s="392"/>
      <c r="L9" s="397"/>
      <c r="M9" s="392"/>
      <c r="N9" s="397"/>
      <c r="O9" s="398"/>
    </row>
    <row r="10" spans="1:15" s="389" customFormat="1" ht="13.5" customHeight="1" hidden="1">
      <c r="A10" s="401" t="s">
        <v>599</v>
      </c>
      <c r="B10" s="380" t="s">
        <v>600</v>
      </c>
      <c r="C10" s="381">
        <f>SUM(C11)</f>
        <v>1000</v>
      </c>
      <c r="D10" s="382">
        <f t="shared" si="0"/>
        <v>0</v>
      </c>
      <c r="E10" s="383">
        <f>I10+M10+O10+K10</f>
        <v>0</v>
      </c>
      <c r="F10" s="384">
        <f>E10/C10*100</f>
        <v>0</v>
      </c>
      <c r="G10" s="385" t="e">
        <f t="shared" si="1"/>
        <v>#DIV/0!</v>
      </c>
      <c r="H10" s="386"/>
      <c r="I10" s="381"/>
      <c r="J10" s="386">
        <f>SUM(J11)</f>
        <v>0</v>
      </c>
      <c r="K10" s="381">
        <f>SUM(K11)</f>
        <v>0</v>
      </c>
      <c r="L10" s="386"/>
      <c r="M10" s="381"/>
      <c r="N10" s="386"/>
      <c r="O10" s="388"/>
    </row>
    <row r="11" spans="1:15" s="399" customFormat="1" ht="15.75" customHeight="1" hidden="1">
      <c r="A11" s="390"/>
      <c r="B11" s="391" t="s">
        <v>662</v>
      </c>
      <c r="C11" s="392">
        <v>1000</v>
      </c>
      <c r="D11" s="393">
        <f t="shared" si="0"/>
        <v>0</v>
      </c>
      <c r="E11" s="394">
        <f t="shared" si="0"/>
        <v>0</v>
      </c>
      <c r="F11" s="395"/>
      <c r="G11" s="396"/>
      <c r="H11" s="397"/>
      <c r="I11" s="392"/>
      <c r="J11" s="397"/>
      <c r="K11" s="392"/>
      <c r="L11" s="397"/>
      <c r="M11" s="392"/>
      <c r="N11" s="397"/>
      <c r="O11" s="398"/>
    </row>
    <row r="12" spans="1:15" s="389" customFormat="1" ht="16.5" customHeight="1">
      <c r="A12" s="401" t="s">
        <v>601</v>
      </c>
      <c r="B12" s="380" t="s">
        <v>665</v>
      </c>
      <c r="C12" s="381">
        <f>SUM(C13)</f>
        <v>132684</v>
      </c>
      <c r="D12" s="382">
        <f t="shared" si="0"/>
        <v>294000</v>
      </c>
      <c r="E12" s="383">
        <f t="shared" si="0"/>
        <v>224690</v>
      </c>
      <c r="F12" s="384"/>
      <c r="G12" s="385">
        <f t="shared" si="1"/>
        <v>76.42517006802721</v>
      </c>
      <c r="H12" s="386">
        <f>SUM(H13)</f>
        <v>294000</v>
      </c>
      <c r="I12" s="381">
        <f>SUM(I13)</f>
        <v>224690</v>
      </c>
      <c r="J12" s="386"/>
      <c r="K12" s="381"/>
      <c r="L12" s="386"/>
      <c r="M12" s="381"/>
      <c r="N12" s="386"/>
      <c r="O12" s="388"/>
    </row>
    <row r="13" spans="1:15" s="399" customFormat="1" ht="12.75" customHeight="1">
      <c r="A13" s="390"/>
      <c r="B13" s="391" t="s">
        <v>662</v>
      </c>
      <c r="C13" s="392">
        <v>132684</v>
      </c>
      <c r="D13" s="393">
        <f t="shared" si="0"/>
        <v>294000</v>
      </c>
      <c r="E13" s="394">
        <f t="shared" si="0"/>
        <v>224690</v>
      </c>
      <c r="F13" s="395"/>
      <c r="G13" s="396"/>
      <c r="H13" s="397">
        <v>294000</v>
      </c>
      <c r="I13" s="392">
        <v>224690</v>
      </c>
      <c r="J13" s="397"/>
      <c r="K13" s="392"/>
      <c r="L13" s="397"/>
      <c r="M13" s="392"/>
      <c r="N13" s="397"/>
      <c r="O13" s="398"/>
    </row>
    <row r="14" spans="1:15" s="389" customFormat="1" ht="27" customHeight="1">
      <c r="A14" s="401" t="s">
        <v>603</v>
      </c>
      <c r="B14" s="380" t="s">
        <v>666</v>
      </c>
      <c r="C14" s="381">
        <f>SUM(C15:C17)</f>
        <v>13679038</v>
      </c>
      <c r="D14" s="382">
        <f t="shared" si="0"/>
        <v>50930470</v>
      </c>
      <c r="E14" s="383">
        <f t="shared" si="0"/>
        <v>6393049</v>
      </c>
      <c r="F14" s="384">
        <f>E14/C14*100</f>
        <v>46.73610088662667</v>
      </c>
      <c r="G14" s="385">
        <f>E14/D14*100</f>
        <v>12.55250344243829</v>
      </c>
      <c r="H14" s="386">
        <f>SUM(H15:H17)</f>
        <v>12247640</v>
      </c>
      <c r="I14" s="381">
        <f>SUM(I15:I17)</f>
        <v>3609365</v>
      </c>
      <c r="J14" s="386">
        <f>SUM(J15:J17)</f>
        <v>38682830</v>
      </c>
      <c r="K14" s="381">
        <f>SUM(K15:K17)</f>
        <v>2783684</v>
      </c>
      <c r="L14" s="386"/>
      <c r="M14" s="381"/>
      <c r="N14" s="386"/>
      <c r="O14" s="388"/>
    </row>
    <row r="15" spans="1:15" s="399" customFormat="1" ht="13.5" customHeight="1">
      <c r="A15" s="390"/>
      <c r="B15" s="391" t="s">
        <v>662</v>
      </c>
      <c r="C15" s="392">
        <v>10509305</v>
      </c>
      <c r="D15" s="393">
        <f t="shared" si="0"/>
        <v>12029140</v>
      </c>
      <c r="E15" s="394">
        <f t="shared" si="0"/>
        <v>4302966</v>
      </c>
      <c r="F15" s="395">
        <f>E15/C15*100</f>
        <v>40.94434408364778</v>
      </c>
      <c r="G15" s="396">
        <f>E15/D15*100</f>
        <v>35.7711856375435</v>
      </c>
      <c r="H15" s="397">
        <v>8434140</v>
      </c>
      <c r="I15" s="392">
        <v>3382812</v>
      </c>
      <c r="J15" s="397">
        <v>3595000</v>
      </c>
      <c r="K15" s="392">
        <v>920154</v>
      </c>
      <c r="L15" s="397"/>
      <c r="M15" s="392"/>
      <c r="N15" s="397"/>
      <c r="O15" s="398"/>
    </row>
    <row r="16" spans="1:15" s="399" customFormat="1" ht="13.5" customHeight="1">
      <c r="A16" s="390"/>
      <c r="B16" s="391" t="s">
        <v>663</v>
      </c>
      <c r="C16" s="392">
        <v>33563</v>
      </c>
      <c r="D16" s="393">
        <f>H16+L16+N16+J16</f>
        <v>47500</v>
      </c>
      <c r="E16" s="394">
        <f>I16+M16+O16+K16</f>
        <v>7712</v>
      </c>
      <c r="F16" s="395">
        <f>E16/C16*100</f>
        <v>22.977683758901172</v>
      </c>
      <c r="G16" s="396">
        <f>E16/D16*100</f>
        <v>16.23578947368421</v>
      </c>
      <c r="H16" s="397">
        <v>47500</v>
      </c>
      <c r="I16" s="392">
        <v>7712</v>
      </c>
      <c r="J16" s="397"/>
      <c r="K16" s="392"/>
      <c r="L16" s="397"/>
      <c r="M16" s="392"/>
      <c r="N16" s="397"/>
      <c r="O16" s="398"/>
    </row>
    <row r="17" spans="1:15" s="399" customFormat="1" ht="13.5" customHeight="1">
      <c r="A17" s="390"/>
      <c r="B17" s="391" t="s">
        <v>667</v>
      </c>
      <c r="C17" s="392">
        <v>3136170</v>
      </c>
      <c r="D17" s="393">
        <f t="shared" si="0"/>
        <v>38853830</v>
      </c>
      <c r="E17" s="394">
        <f t="shared" si="0"/>
        <v>2082371</v>
      </c>
      <c r="F17" s="395">
        <f>E17/C17*100</f>
        <v>66.3985370691002</v>
      </c>
      <c r="G17" s="396">
        <f>E17/D17*100</f>
        <v>5.3594999514848345</v>
      </c>
      <c r="H17" s="397">
        <v>3766000</v>
      </c>
      <c r="I17" s="392">
        <v>218841</v>
      </c>
      <c r="J17" s="397">
        <v>35087830</v>
      </c>
      <c r="K17" s="392">
        <v>1863530</v>
      </c>
      <c r="L17" s="397"/>
      <c r="M17" s="392"/>
      <c r="N17" s="397"/>
      <c r="O17" s="398"/>
    </row>
    <row r="18" spans="1:15" s="389" customFormat="1" ht="14.25" customHeight="1">
      <c r="A18" s="401" t="s">
        <v>605</v>
      </c>
      <c r="B18" s="380" t="s">
        <v>606</v>
      </c>
      <c r="C18" s="381">
        <f>SUM(C19)</f>
        <v>197142</v>
      </c>
      <c r="D18" s="382">
        <f t="shared" si="0"/>
        <v>131500</v>
      </c>
      <c r="E18" s="383">
        <f t="shared" si="0"/>
        <v>57955</v>
      </c>
      <c r="F18" s="384">
        <f>E18/C18*100</f>
        <v>29.397591583731526</v>
      </c>
      <c r="G18" s="385">
        <f>E18/D18*100</f>
        <v>44.0722433460076</v>
      </c>
      <c r="H18" s="386">
        <f>SUM(H19)</f>
        <v>131500</v>
      </c>
      <c r="I18" s="381">
        <f>SUM(I19)</f>
        <v>57955</v>
      </c>
      <c r="J18" s="386"/>
      <c r="K18" s="381"/>
      <c r="L18" s="386"/>
      <c r="M18" s="381"/>
      <c r="N18" s="386"/>
      <c r="O18" s="388"/>
    </row>
    <row r="19" spans="1:15" s="399" customFormat="1" ht="14.25" customHeight="1">
      <c r="A19" s="390"/>
      <c r="B19" s="391" t="s">
        <v>662</v>
      </c>
      <c r="C19" s="392">
        <v>197142</v>
      </c>
      <c r="D19" s="393">
        <f t="shared" si="0"/>
        <v>131500</v>
      </c>
      <c r="E19" s="394">
        <f t="shared" si="0"/>
        <v>57955</v>
      </c>
      <c r="F19" s="395"/>
      <c r="G19" s="396"/>
      <c r="H19" s="397">
        <v>131500</v>
      </c>
      <c r="I19" s="392">
        <v>57955</v>
      </c>
      <c r="J19" s="397"/>
      <c r="K19" s="392"/>
      <c r="L19" s="397"/>
      <c r="M19" s="392"/>
      <c r="N19" s="397"/>
      <c r="O19" s="398"/>
    </row>
    <row r="20" spans="1:15" s="389" customFormat="1" ht="28.5" customHeight="1">
      <c r="A20" s="401" t="s">
        <v>607</v>
      </c>
      <c r="B20" s="380" t="s">
        <v>608</v>
      </c>
      <c r="C20" s="402">
        <f>SUM(C21:C24)</f>
        <v>9005875</v>
      </c>
      <c r="D20" s="382">
        <f t="shared" si="0"/>
        <v>15690350</v>
      </c>
      <c r="E20" s="383">
        <f t="shared" si="0"/>
        <v>1318537</v>
      </c>
      <c r="F20" s="384">
        <f aca="true" t="shared" si="2" ref="F20:F26">E20/C20*100</f>
        <v>14.640853887045957</v>
      </c>
      <c r="G20" s="385">
        <f aca="true" t="shared" si="3" ref="G20:G35">E20/D20*100</f>
        <v>8.40349004324314</v>
      </c>
      <c r="H20" s="403">
        <f>SUM(H21:H24)</f>
        <v>15645350</v>
      </c>
      <c r="I20" s="404">
        <f>SUM(I21:I24)</f>
        <v>1312302</v>
      </c>
      <c r="J20" s="386"/>
      <c r="K20" s="381"/>
      <c r="L20" s="386"/>
      <c r="M20" s="381"/>
      <c r="N20" s="386">
        <f>SUM(N21:N23)</f>
        <v>45000</v>
      </c>
      <c r="O20" s="405">
        <f>SUM(O21:O23)</f>
        <v>6235</v>
      </c>
    </row>
    <row r="21" spans="1:15" s="399" customFormat="1" ht="12" customHeight="1">
      <c r="A21" s="390"/>
      <c r="B21" s="391" t="s">
        <v>662</v>
      </c>
      <c r="C21" s="392">
        <v>5534630</v>
      </c>
      <c r="D21" s="393">
        <f t="shared" si="0"/>
        <v>3102738</v>
      </c>
      <c r="E21" s="394">
        <f t="shared" si="0"/>
        <v>543903</v>
      </c>
      <c r="F21" s="395">
        <f t="shared" si="2"/>
        <v>9.82726939289528</v>
      </c>
      <c r="G21" s="396">
        <f t="shared" si="3"/>
        <v>17.529775314576995</v>
      </c>
      <c r="H21" s="397">
        <v>3057738</v>
      </c>
      <c r="I21" s="392">
        <v>537668</v>
      </c>
      <c r="J21" s="397"/>
      <c r="K21" s="392"/>
      <c r="L21" s="397"/>
      <c r="M21" s="392"/>
      <c r="N21" s="397">
        <v>45000</v>
      </c>
      <c r="O21" s="398">
        <v>6235</v>
      </c>
    </row>
    <row r="22" spans="1:15" s="399" customFormat="1" ht="12" customHeight="1">
      <c r="A22" s="390"/>
      <c r="B22" s="391" t="s">
        <v>668</v>
      </c>
      <c r="C22" s="392">
        <v>515496</v>
      </c>
      <c r="D22" s="393">
        <f t="shared" si="0"/>
        <v>2972480</v>
      </c>
      <c r="E22" s="394">
        <f t="shared" si="0"/>
        <v>62002</v>
      </c>
      <c r="F22" s="395">
        <f t="shared" si="2"/>
        <v>12.02763939972376</v>
      </c>
      <c r="G22" s="396">
        <f t="shared" si="3"/>
        <v>2.08586769297018</v>
      </c>
      <c r="H22" s="397">
        <v>2972480</v>
      </c>
      <c r="I22" s="392">
        <v>62002</v>
      </c>
      <c r="J22" s="397"/>
      <c r="K22" s="392"/>
      <c r="L22" s="397"/>
      <c r="M22" s="392"/>
      <c r="N22" s="397"/>
      <c r="O22" s="398"/>
    </row>
    <row r="23" spans="1:15" s="399" customFormat="1" ht="12" customHeight="1">
      <c r="A23" s="390"/>
      <c r="B23" s="391" t="s">
        <v>667</v>
      </c>
      <c r="C23" s="392">
        <v>2335749</v>
      </c>
      <c r="D23" s="393">
        <f t="shared" si="0"/>
        <v>6255132</v>
      </c>
      <c r="E23" s="394">
        <f t="shared" si="0"/>
        <v>712632</v>
      </c>
      <c r="F23" s="395">
        <f t="shared" si="2"/>
        <v>30.509785083928108</v>
      </c>
      <c r="G23" s="396">
        <f t="shared" si="3"/>
        <v>11.392757179224995</v>
      </c>
      <c r="H23" s="397">
        <v>6255132</v>
      </c>
      <c r="I23" s="392">
        <v>712632</v>
      </c>
      <c r="J23" s="397"/>
      <c r="K23" s="392"/>
      <c r="L23" s="397"/>
      <c r="M23" s="392"/>
      <c r="N23" s="397"/>
      <c r="O23" s="398"/>
    </row>
    <row r="24" spans="1:15" s="399" customFormat="1" ht="12" customHeight="1">
      <c r="A24" s="390"/>
      <c r="B24" s="391" t="s">
        <v>669</v>
      </c>
      <c r="C24" s="392">
        <v>620000</v>
      </c>
      <c r="D24" s="393">
        <f aca="true" t="shared" si="4" ref="D24:E45">H24+L24+N24+J24</f>
        <v>3360000</v>
      </c>
      <c r="E24" s="394">
        <f t="shared" si="4"/>
        <v>0</v>
      </c>
      <c r="F24" s="395">
        <f t="shared" si="2"/>
        <v>0</v>
      </c>
      <c r="G24" s="396">
        <f t="shared" si="3"/>
        <v>0</v>
      </c>
      <c r="H24" s="397">
        <v>3360000</v>
      </c>
      <c r="I24" s="392">
        <v>0</v>
      </c>
      <c r="J24" s="397"/>
      <c r="K24" s="392"/>
      <c r="L24" s="397"/>
      <c r="M24" s="392"/>
      <c r="N24" s="406"/>
      <c r="O24" s="407"/>
    </row>
    <row r="25" spans="1:15" s="389" customFormat="1" ht="26.25" customHeight="1">
      <c r="A25" s="408" t="s">
        <v>609</v>
      </c>
      <c r="B25" s="380" t="s">
        <v>610</v>
      </c>
      <c r="C25" s="381">
        <f>C26+C28+C29</f>
        <v>871686</v>
      </c>
      <c r="D25" s="382">
        <f t="shared" si="4"/>
        <v>2458022</v>
      </c>
      <c r="E25" s="383">
        <f>I25+M25+O25+K25</f>
        <v>687518</v>
      </c>
      <c r="F25" s="384">
        <f t="shared" si="2"/>
        <v>78.87220857051737</v>
      </c>
      <c r="G25" s="385">
        <f t="shared" si="3"/>
        <v>27.97037618052239</v>
      </c>
      <c r="H25" s="386">
        <f>H26+H28+H29</f>
        <v>2063322</v>
      </c>
      <c r="I25" s="381">
        <f>I26+I28+I29</f>
        <v>536420</v>
      </c>
      <c r="J25" s="386">
        <f>SUM(J26)</f>
        <v>141000</v>
      </c>
      <c r="K25" s="381">
        <f>SUM(K26)</f>
        <v>58445</v>
      </c>
      <c r="L25" s="386"/>
      <c r="M25" s="381"/>
      <c r="N25" s="386">
        <f>SUM(N26:N28)</f>
        <v>253700</v>
      </c>
      <c r="O25" s="409">
        <f>SUM(O26:O28)</f>
        <v>92653</v>
      </c>
    </row>
    <row r="26" spans="1:15" s="399" customFormat="1" ht="12.75" customHeight="1">
      <c r="A26" s="390"/>
      <c r="B26" s="391" t="s">
        <v>662</v>
      </c>
      <c r="C26" s="392">
        <v>728057</v>
      </c>
      <c r="D26" s="393">
        <f t="shared" si="4"/>
        <v>2458022</v>
      </c>
      <c r="E26" s="394">
        <f t="shared" si="4"/>
        <v>687518</v>
      </c>
      <c r="F26" s="395">
        <f t="shared" si="2"/>
        <v>94.43189200845539</v>
      </c>
      <c r="G26" s="396">
        <f t="shared" si="3"/>
        <v>27.97037618052239</v>
      </c>
      <c r="H26" s="397">
        <v>2063322</v>
      </c>
      <c r="I26" s="392">
        <v>536420</v>
      </c>
      <c r="J26" s="397">
        <v>141000</v>
      </c>
      <c r="K26" s="392">
        <v>58445</v>
      </c>
      <c r="L26" s="397"/>
      <c r="M26" s="392"/>
      <c r="N26" s="397">
        <v>253700</v>
      </c>
      <c r="O26" s="398">
        <v>92653</v>
      </c>
    </row>
    <row r="27" spans="1:15" s="417" customFormat="1" ht="24.75" customHeight="1">
      <c r="A27" s="410"/>
      <c r="B27" s="411" t="s">
        <v>670</v>
      </c>
      <c r="C27" s="412">
        <v>16977</v>
      </c>
      <c r="D27" s="413">
        <f>H27+L27+N27+J27</f>
        <v>16600</v>
      </c>
      <c r="E27" s="414">
        <f>I27+M27+O27+K27</f>
        <v>2886</v>
      </c>
      <c r="F27" s="395">
        <f>E27/C27*100</f>
        <v>16.999469871001942</v>
      </c>
      <c r="G27" s="396">
        <f>E27/D27*100</f>
        <v>17.385542168674696</v>
      </c>
      <c r="H27" s="415">
        <v>16600</v>
      </c>
      <c r="I27" s="412">
        <v>2886</v>
      </c>
      <c r="J27" s="415"/>
      <c r="K27" s="412"/>
      <c r="L27" s="415"/>
      <c r="M27" s="412"/>
      <c r="N27" s="415"/>
      <c r="O27" s="416"/>
    </row>
    <row r="28" spans="1:15" s="399" customFormat="1" ht="12.75" customHeight="1" hidden="1">
      <c r="A28" s="390"/>
      <c r="B28" s="391" t="s">
        <v>668</v>
      </c>
      <c r="C28" s="392">
        <v>3629</v>
      </c>
      <c r="D28" s="393">
        <f t="shared" si="4"/>
        <v>0</v>
      </c>
      <c r="E28" s="394">
        <f t="shared" si="4"/>
        <v>0</v>
      </c>
      <c r="F28" s="395">
        <f>E28/C28*100</f>
        <v>0</v>
      </c>
      <c r="G28" s="396" t="e">
        <f>E28/D28*100</f>
        <v>#DIV/0!</v>
      </c>
      <c r="H28" s="397"/>
      <c r="I28" s="392"/>
      <c r="J28" s="397"/>
      <c r="K28" s="392"/>
      <c r="L28" s="397"/>
      <c r="M28" s="392"/>
      <c r="N28" s="397"/>
      <c r="O28" s="398"/>
    </row>
    <row r="29" spans="1:15" s="399" customFormat="1" ht="12.75" customHeight="1" hidden="1">
      <c r="A29" s="390"/>
      <c r="B29" s="391" t="s">
        <v>669</v>
      </c>
      <c r="C29" s="392">
        <v>140000</v>
      </c>
      <c r="D29" s="393">
        <f>H29+L29+N29+J29</f>
        <v>0</v>
      </c>
      <c r="E29" s="394">
        <f>I29+M29+O29+K29</f>
        <v>0</v>
      </c>
      <c r="F29" s="418" t="s">
        <v>664</v>
      </c>
      <c r="G29" s="400" t="s">
        <v>664</v>
      </c>
      <c r="H29" s="397"/>
      <c r="I29" s="392"/>
      <c r="J29" s="397"/>
      <c r="K29" s="392"/>
      <c r="L29" s="397"/>
      <c r="M29" s="392"/>
      <c r="N29" s="406"/>
      <c r="O29" s="407"/>
    </row>
    <row r="30" spans="1:15" s="389" customFormat="1" ht="27" customHeight="1">
      <c r="A30" s="408" t="s">
        <v>612</v>
      </c>
      <c r="B30" s="419" t="s">
        <v>613</v>
      </c>
      <c r="C30" s="381">
        <f>C31+C33+C34</f>
        <v>21287464</v>
      </c>
      <c r="D30" s="382">
        <f t="shared" si="4"/>
        <v>23835516</v>
      </c>
      <c r="E30" s="383">
        <f t="shared" si="4"/>
        <v>11246901</v>
      </c>
      <c r="F30" s="384">
        <f aca="true" t="shared" si="5" ref="F30:F35">E30/C30*100</f>
        <v>52.833446952629025</v>
      </c>
      <c r="G30" s="385">
        <f t="shared" si="3"/>
        <v>47.18547314016613</v>
      </c>
      <c r="H30" s="386">
        <f aca="true" t="shared" si="6" ref="H30:N30">H31+H33+H34</f>
        <v>21232156</v>
      </c>
      <c r="I30" s="381">
        <f t="shared" si="6"/>
        <v>9990722</v>
      </c>
      <c r="J30" s="386">
        <f t="shared" si="6"/>
        <v>1622960</v>
      </c>
      <c r="K30" s="381">
        <f t="shared" si="6"/>
        <v>752415</v>
      </c>
      <c r="L30" s="386">
        <f t="shared" si="6"/>
        <v>715400</v>
      </c>
      <c r="M30" s="381">
        <f t="shared" si="6"/>
        <v>357700</v>
      </c>
      <c r="N30" s="420">
        <f t="shared" si="6"/>
        <v>265000</v>
      </c>
      <c r="O30" s="388">
        <f>SUM(O31:O32)</f>
        <v>146064</v>
      </c>
    </row>
    <row r="31" spans="1:15" s="399" customFormat="1" ht="12.75" customHeight="1">
      <c r="A31" s="390"/>
      <c r="B31" s="391" t="s">
        <v>662</v>
      </c>
      <c r="C31" s="392">
        <v>20748086</v>
      </c>
      <c r="D31" s="393">
        <f t="shared" si="4"/>
        <v>23130516</v>
      </c>
      <c r="E31" s="394">
        <f t="shared" si="4"/>
        <v>11210649</v>
      </c>
      <c r="F31" s="395">
        <f t="shared" si="5"/>
        <v>54.03220807933802</v>
      </c>
      <c r="G31" s="396">
        <f t="shared" si="3"/>
        <v>48.466921360509204</v>
      </c>
      <c r="H31" s="397">
        <v>20527156</v>
      </c>
      <c r="I31" s="392">
        <v>9954470</v>
      </c>
      <c r="J31" s="397">
        <v>1622960</v>
      </c>
      <c r="K31" s="392">
        <v>752415</v>
      </c>
      <c r="L31" s="397">
        <v>715400</v>
      </c>
      <c r="M31" s="392">
        <v>357700</v>
      </c>
      <c r="N31" s="397">
        <v>265000</v>
      </c>
      <c r="O31" s="398">
        <v>146064</v>
      </c>
    </row>
    <row r="32" spans="1:15" s="399" customFormat="1" ht="24.75" customHeight="1">
      <c r="A32" s="390"/>
      <c r="B32" s="411" t="s">
        <v>670</v>
      </c>
      <c r="C32" s="392">
        <v>9460</v>
      </c>
      <c r="D32" s="414">
        <f>H32+L32+N32+J32</f>
        <v>23500</v>
      </c>
      <c r="E32" s="414">
        <f>I32+M32+O32+K32</f>
        <v>22397</v>
      </c>
      <c r="F32" s="395">
        <f t="shared" si="5"/>
        <v>236.75475687103594</v>
      </c>
      <c r="G32" s="396">
        <f t="shared" si="3"/>
        <v>95.3063829787234</v>
      </c>
      <c r="H32" s="397">
        <v>15000</v>
      </c>
      <c r="I32" s="392">
        <v>13911</v>
      </c>
      <c r="J32" s="397">
        <v>8500</v>
      </c>
      <c r="K32" s="392">
        <v>8486</v>
      </c>
      <c r="L32" s="397"/>
      <c r="M32" s="392"/>
      <c r="N32" s="397"/>
      <c r="O32" s="398"/>
    </row>
    <row r="33" spans="1:15" s="399" customFormat="1" ht="11.25" customHeight="1">
      <c r="A33" s="390"/>
      <c r="B33" s="391" t="s">
        <v>668</v>
      </c>
      <c r="C33" s="392">
        <v>539378</v>
      </c>
      <c r="D33" s="393">
        <f t="shared" si="4"/>
        <v>580000</v>
      </c>
      <c r="E33" s="394">
        <f t="shared" si="4"/>
        <v>36252</v>
      </c>
      <c r="F33" s="395">
        <f t="shared" si="5"/>
        <v>6.721075016036991</v>
      </c>
      <c r="G33" s="396">
        <f t="shared" si="3"/>
        <v>6.250344827586208</v>
      </c>
      <c r="H33" s="397">
        <v>580000</v>
      </c>
      <c r="I33" s="392">
        <v>36252</v>
      </c>
      <c r="J33" s="397"/>
      <c r="K33" s="392"/>
      <c r="L33" s="397"/>
      <c r="M33" s="392"/>
      <c r="N33" s="421"/>
      <c r="O33" s="398"/>
    </row>
    <row r="34" spans="1:15" s="399" customFormat="1" ht="14.25" customHeight="1">
      <c r="A34" s="390"/>
      <c r="B34" s="391" t="s">
        <v>671</v>
      </c>
      <c r="C34" s="392"/>
      <c r="D34" s="393">
        <f>H34+L34+N34+J34</f>
        <v>125000</v>
      </c>
      <c r="E34" s="394">
        <f>I34+M34+O34+K34</f>
        <v>0</v>
      </c>
      <c r="F34" s="395" t="e">
        <f t="shared" si="5"/>
        <v>#DIV/0!</v>
      </c>
      <c r="G34" s="396">
        <f>E34/D34*100</f>
        <v>0</v>
      </c>
      <c r="H34" s="397">
        <v>125000</v>
      </c>
      <c r="I34" s="422">
        <v>0</v>
      </c>
      <c r="J34" s="397"/>
      <c r="K34" s="422"/>
      <c r="L34" s="397"/>
      <c r="M34" s="422"/>
      <c r="N34" s="421"/>
      <c r="O34" s="398"/>
    </row>
    <row r="35" spans="1:15" s="389" customFormat="1" ht="102" customHeight="1">
      <c r="A35" s="401" t="s">
        <v>614</v>
      </c>
      <c r="B35" s="380" t="s">
        <v>615</v>
      </c>
      <c r="C35" s="381">
        <f>SUM(C36)</f>
        <v>150745</v>
      </c>
      <c r="D35" s="382">
        <f>H35+L35+N35+J35</f>
        <v>17596</v>
      </c>
      <c r="E35" s="383">
        <f t="shared" si="4"/>
        <v>4208</v>
      </c>
      <c r="F35" s="384">
        <f t="shared" si="5"/>
        <v>2.791469037115659</v>
      </c>
      <c r="G35" s="385">
        <f t="shared" si="3"/>
        <v>23.914526028642875</v>
      </c>
      <c r="H35" s="386"/>
      <c r="I35" s="381"/>
      <c r="J35" s="386"/>
      <c r="K35" s="381"/>
      <c r="L35" s="386">
        <f>SUM(L36)</f>
        <v>17596</v>
      </c>
      <c r="M35" s="381">
        <f>SUM(M36)</f>
        <v>4208</v>
      </c>
      <c r="N35" s="387"/>
      <c r="O35" s="423"/>
    </row>
    <row r="36" spans="1:15" s="399" customFormat="1" ht="12.75" customHeight="1">
      <c r="A36" s="390"/>
      <c r="B36" s="391" t="s">
        <v>662</v>
      </c>
      <c r="C36" s="392">
        <v>150745</v>
      </c>
      <c r="D36" s="393">
        <f t="shared" si="4"/>
        <v>17596</v>
      </c>
      <c r="E36" s="394">
        <f t="shared" si="4"/>
        <v>4208</v>
      </c>
      <c r="F36" s="395"/>
      <c r="G36" s="396"/>
      <c r="H36" s="397"/>
      <c r="I36" s="392"/>
      <c r="J36" s="397"/>
      <c r="K36" s="392"/>
      <c r="L36" s="397">
        <v>17596</v>
      </c>
      <c r="M36" s="392">
        <v>4208</v>
      </c>
      <c r="N36" s="421"/>
      <c r="O36" s="398"/>
    </row>
    <row r="37" spans="1:15" s="389" customFormat="1" ht="22.5" customHeight="1">
      <c r="A37" s="401" t="s">
        <v>616</v>
      </c>
      <c r="B37" s="380" t="s">
        <v>617</v>
      </c>
      <c r="C37" s="381">
        <f>SUM(C38)</f>
        <v>150745</v>
      </c>
      <c r="D37" s="382">
        <f>H37+L37+N37+J37</f>
        <v>1000</v>
      </c>
      <c r="E37" s="383">
        <f>I37+M37+O37+K37</f>
        <v>0</v>
      </c>
      <c r="F37" s="384">
        <f>E37/C37*100</f>
        <v>0</v>
      </c>
      <c r="G37" s="385">
        <f>E37/D37*100</f>
        <v>0</v>
      </c>
      <c r="H37" s="386"/>
      <c r="I37" s="381"/>
      <c r="J37" s="386"/>
      <c r="K37" s="381"/>
      <c r="L37" s="386"/>
      <c r="M37" s="381"/>
      <c r="N37" s="386">
        <f>SUM(N38)</f>
        <v>1000</v>
      </c>
      <c r="O37" s="405">
        <f>SUM(O38)</f>
        <v>0</v>
      </c>
    </row>
    <row r="38" spans="1:15" s="399" customFormat="1" ht="12.75" customHeight="1">
      <c r="A38" s="390"/>
      <c r="B38" s="391" t="s">
        <v>662</v>
      </c>
      <c r="C38" s="392">
        <v>150745</v>
      </c>
      <c r="D38" s="393">
        <f>H38+L38+N38+J38</f>
        <v>2000</v>
      </c>
      <c r="E38" s="394">
        <f>I38+M38+O38+K38</f>
        <v>0</v>
      </c>
      <c r="F38" s="395"/>
      <c r="G38" s="396"/>
      <c r="H38" s="397"/>
      <c r="I38" s="392"/>
      <c r="J38" s="397"/>
      <c r="K38" s="392"/>
      <c r="L38" s="397">
        <v>1000</v>
      </c>
      <c r="M38" s="392">
        <v>0</v>
      </c>
      <c r="N38" s="397">
        <v>1000</v>
      </c>
      <c r="O38" s="424">
        <v>0</v>
      </c>
    </row>
    <row r="39" spans="1:15" s="389" customFormat="1" ht="51.75" customHeight="1">
      <c r="A39" s="401" t="s">
        <v>618</v>
      </c>
      <c r="B39" s="380" t="s">
        <v>619</v>
      </c>
      <c r="C39" s="381">
        <f>SUM(C40:C42)</f>
        <v>21696179</v>
      </c>
      <c r="D39" s="382">
        <f t="shared" si="4"/>
        <v>5521370</v>
      </c>
      <c r="E39" s="383">
        <f t="shared" si="4"/>
        <v>2803688</v>
      </c>
      <c r="F39" s="384">
        <f>E39/C39*100</f>
        <v>12.922496629475633</v>
      </c>
      <c r="G39" s="385">
        <f aca="true" t="shared" si="7" ref="G39:G46">E39/D39*100</f>
        <v>50.77884655438777</v>
      </c>
      <c r="H39" s="386">
        <f aca="true" t="shared" si="8" ref="H39:O39">SUM(H40:H42)</f>
        <v>195970</v>
      </c>
      <c r="I39" s="381">
        <f t="shared" si="8"/>
        <v>129354</v>
      </c>
      <c r="J39" s="386">
        <f t="shared" si="8"/>
        <v>313400</v>
      </c>
      <c r="K39" s="381">
        <f t="shared" si="8"/>
        <v>167000</v>
      </c>
      <c r="L39" s="386">
        <f t="shared" si="8"/>
        <v>6000</v>
      </c>
      <c r="M39" s="381">
        <f t="shared" si="8"/>
        <v>0</v>
      </c>
      <c r="N39" s="387">
        <f t="shared" si="8"/>
        <v>5006000</v>
      </c>
      <c r="O39" s="405">
        <f t="shared" si="8"/>
        <v>2507334</v>
      </c>
    </row>
    <row r="40" spans="1:15" s="399" customFormat="1" ht="11.25" customHeight="1">
      <c r="A40" s="390"/>
      <c r="B40" s="391" t="s">
        <v>672</v>
      </c>
      <c r="C40" s="392">
        <v>21530998</v>
      </c>
      <c r="D40" s="393">
        <f t="shared" si="4"/>
        <v>5281370</v>
      </c>
      <c r="E40" s="394">
        <f t="shared" si="4"/>
        <v>2681932</v>
      </c>
      <c r="F40" s="395">
        <f>E40/C40*100</f>
        <v>12.4561434634846</v>
      </c>
      <c r="G40" s="396">
        <f t="shared" si="7"/>
        <v>50.78099053843984</v>
      </c>
      <c r="H40" s="397">
        <v>55970</v>
      </c>
      <c r="I40" s="392">
        <v>7598</v>
      </c>
      <c r="J40" s="397">
        <v>313400</v>
      </c>
      <c r="K40" s="392">
        <v>167000</v>
      </c>
      <c r="L40" s="397">
        <v>6000</v>
      </c>
      <c r="M40" s="392"/>
      <c r="N40" s="421">
        <v>4906000</v>
      </c>
      <c r="O40" s="398">
        <v>2507334</v>
      </c>
    </row>
    <row r="41" spans="1:15" s="399" customFormat="1" ht="12.75" customHeight="1">
      <c r="A41" s="390"/>
      <c r="B41" s="391" t="s">
        <v>668</v>
      </c>
      <c r="C41" s="392">
        <v>165181</v>
      </c>
      <c r="D41" s="393">
        <f t="shared" si="4"/>
        <v>140000</v>
      </c>
      <c r="E41" s="394">
        <f t="shared" si="4"/>
        <v>121756</v>
      </c>
      <c r="F41" s="395">
        <f>E41/C41*100</f>
        <v>73.71065679466767</v>
      </c>
      <c r="G41" s="396">
        <f t="shared" si="7"/>
        <v>86.96857142857142</v>
      </c>
      <c r="H41" s="397">
        <v>140000</v>
      </c>
      <c r="I41" s="392">
        <v>121756</v>
      </c>
      <c r="J41" s="397"/>
      <c r="K41" s="392"/>
      <c r="L41" s="397"/>
      <c r="M41" s="392"/>
      <c r="N41" s="421"/>
      <c r="O41" s="398"/>
    </row>
    <row r="42" spans="1:15" s="399" customFormat="1" ht="11.25" customHeight="1">
      <c r="A42" s="390"/>
      <c r="B42" s="391" t="s">
        <v>667</v>
      </c>
      <c r="C42" s="392"/>
      <c r="D42" s="393">
        <f t="shared" si="4"/>
        <v>100000</v>
      </c>
      <c r="E42" s="394">
        <f t="shared" si="4"/>
        <v>0</v>
      </c>
      <c r="F42" s="418" t="s">
        <v>664</v>
      </c>
      <c r="G42" s="396">
        <f t="shared" si="7"/>
        <v>0</v>
      </c>
      <c r="H42" s="397"/>
      <c r="I42" s="392"/>
      <c r="J42" s="397"/>
      <c r="K42" s="392"/>
      <c r="L42" s="397"/>
      <c r="M42" s="392"/>
      <c r="N42" s="421">
        <v>100000</v>
      </c>
      <c r="O42" s="398">
        <v>0</v>
      </c>
    </row>
    <row r="43" spans="1:15" s="389" customFormat="1" ht="102">
      <c r="A43" s="425" t="s">
        <v>620</v>
      </c>
      <c r="B43" s="426" t="s">
        <v>673</v>
      </c>
      <c r="C43" s="427"/>
      <c r="D43" s="403">
        <f t="shared" si="4"/>
        <v>459200</v>
      </c>
      <c r="E43" s="383">
        <f t="shared" si="4"/>
        <v>185152</v>
      </c>
      <c r="F43" s="428"/>
      <c r="G43" s="429">
        <f t="shared" si="7"/>
        <v>40.3205574912892</v>
      </c>
      <c r="H43" s="386">
        <f>H44</f>
        <v>459200</v>
      </c>
      <c r="I43" s="381">
        <f>I44</f>
        <v>185152</v>
      </c>
      <c r="J43" s="420"/>
      <c r="K43" s="381"/>
      <c r="L43" s="420"/>
      <c r="M43" s="381"/>
      <c r="N43" s="420"/>
      <c r="O43" s="388"/>
    </row>
    <row r="44" spans="1:15" s="399" customFormat="1" ht="11.25" customHeight="1">
      <c r="A44" s="390"/>
      <c r="B44" s="391" t="s">
        <v>672</v>
      </c>
      <c r="C44" s="392"/>
      <c r="D44" s="393">
        <f t="shared" si="4"/>
        <v>459200</v>
      </c>
      <c r="E44" s="394">
        <f t="shared" si="4"/>
        <v>185152</v>
      </c>
      <c r="F44" s="418"/>
      <c r="G44" s="396">
        <f t="shared" si="7"/>
        <v>40.3205574912892</v>
      </c>
      <c r="H44" s="397">
        <v>459200</v>
      </c>
      <c r="I44" s="392">
        <v>185152</v>
      </c>
      <c r="J44" s="397"/>
      <c r="K44" s="392"/>
      <c r="L44" s="397"/>
      <c r="M44" s="392"/>
      <c r="N44" s="421"/>
      <c r="O44" s="398"/>
    </row>
    <row r="45" spans="1:15" s="389" customFormat="1" ht="24.75" customHeight="1">
      <c r="A45" s="401" t="s">
        <v>622</v>
      </c>
      <c r="B45" s="380" t="s">
        <v>623</v>
      </c>
      <c r="C45" s="381">
        <f>C46+C47</f>
        <v>1224938</v>
      </c>
      <c r="D45" s="382">
        <f t="shared" si="4"/>
        <v>4050000</v>
      </c>
      <c r="E45" s="383">
        <f t="shared" si="4"/>
        <v>1323066</v>
      </c>
      <c r="F45" s="384">
        <f>E45/C45*100</f>
        <v>108.01085442691793</v>
      </c>
      <c r="G45" s="385">
        <f t="shared" si="7"/>
        <v>32.6682962962963</v>
      </c>
      <c r="H45" s="386">
        <f>H46+H47</f>
        <v>4050000</v>
      </c>
      <c r="I45" s="381">
        <f>I46+I47</f>
        <v>1323066</v>
      </c>
      <c r="J45" s="386"/>
      <c r="K45" s="381"/>
      <c r="L45" s="386"/>
      <c r="M45" s="381"/>
      <c r="N45" s="387"/>
      <c r="O45" s="405"/>
    </row>
    <row r="46" spans="1:15" s="431" customFormat="1" ht="12" customHeight="1">
      <c r="A46" s="390"/>
      <c r="B46" s="391" t="s">
        <v>662</v>
      </c>
      <c r="C46" s="392">
        <v>1224938</v>
      </c>
      <c r="D46" s="393">
        <f aca="true" t="shared" si="9" ref="D46:E58">H46+L46+N46+J46</f>
        <v>4050000</v>
      </c>
      <c r="E46" s="394">
        <f t="shared" si="9"/>
        <v>1323066</v>
      </c>
      <c r="F46" s="395"/>
      <c r="G46" s="396">
        <f t="shared" si="7"/>
        <v>32.6682962962963</v>
      </c>
      <c r="H46" s="430">
        <v>4050000</v>
      </c>
      <c r="I46" s="392">
        <v>1323066</v>
      </c>
      <c r="J46" s="430"/>
      <c r="K46" s="392"/>
      <c r="L46" s="430"/>
      <c r="M46" s="392"/>
      <c r="N46" s="421"/>
      <c r="O46" s="398"/>
    </row>
    <row r="47" spans="1:15" s="441" customFormat="1" ht="12.75" customHeight="1" hidden="1">
      <c r="A47" s="432"/>
      <c r="B47" s="433" t="s">
        <v>668</v>
      </c>
      <c r="C47" s="434"/>
      <c r="D47" s="435">
        <f t="shared" si="9"/>
        <v>0</v>
      </c>
      <c r="E47" s="436">
        <f t="shared" si="9"/>
        <v>0</v>
      </c>
      <c r="F47" s="395"/>
      <c r="G47" s="437"/>
      <c r="H47" s="438"/>
      <c r="I47" s="439"/>
      <c r="J47" s="438"/>
      <c r="K47" s="439"/>
      <c r="L47" s="438"/>
      <c r="M47" s="439"/>
      <c r="N47" s="440"/>
      <c r="O47" s="423"/>
    </row>
    <row r="48" spans="1:15" s="389" customFormat="1" ht="14.25" customHeight="1">
      <c r="A48" s="401" t="s">
        <v>624</v>
      </c>
      <c r="B48" s="380" t="s">
        <v>625</v>
      </c>
      <c r="C48" s="381">
        <f>SUM(C49:C49)</f>
        <v>0</v>
      </c>
      <c r="D48" s="382">
        <f t="shared" si="9"/>
        <v>3907438</v>
      </c>
      <c r="E48" s="383">
        <f t="shared" si="9"/>
        <v>869460</v>
      </c>
      <c r="F48" s="442" t="s">
        <v>664</v>
      </c>
      <c r="G48" s="385">
        <f aca="true" t="shared" si="10" ref="G48:G55">E48/D48*100</f>
        <v>22.25140872356772</v>
      </c>
      <c r="H48" s="386">
        <f>SUM(H49:H49)</f>
        <v>2168528</v>
      </c>
      <c r="I48" s="381">
        <f>SUM(I49:I49)</f>
        <v>0</v>
      </c>
      <c r="J48" s="386">
        <f>J49</f>
        <v>1738910</v>
      </c>
      <c r="K48" s="381">
        <f>K49</f>
        <v>869460</v>
      </c>
      <c r="L48" s="386"/>
      <c r="M48" s="381"/>
      <c r="N48" s="387"/>
      <c r="O48" s="405"/>
    </row>
    <row r="49" spans="1:15" s="399" customFormat="1" ht="12" customHeight="1">
      <c r="A49" s="390"/>
      <c r="B49" s="391" t="s">
        <v>662</v>
      </c>
      <c r="C49" s="392">
        <v>0</v>
      </c>
      <c r="D49" s="393">
        <f t="shared" si="9"/>
        <v>3907438</v>
      </c>
      <c r="E49" s="394">
        <f t="shared" si="9"/>
        <v>869460</v>
      </c>
      <c r="F49" s="395"/>
      <c r="G49" s="396"/>
      <c r="H49" s="397">
        <v>2168528</v>
      </c>
      <c r="I49" s="392"/>
      <c r="J49" s="397">
        <v>1738910</v>
      </c>
      <c r="K49" s="392">
        <v>869460</v>
      </c>
      <c r="L49" s="397"/>
      <c r="M49" s="392"/>
      <c r="N49" s="421"/>
      <c r="O49" s="398"/>
    </row>
    <row r="50" spans="1:15" s="389" customFormat="1" ht="27" customHeight="1">
      <c r="A50" s="401" t="s">
        <v>626</v>
      </c>
      <c r="B50" s="380" t="s">
        <v>627</v>
      </c>
      <c r="C50" s="381">
        <f>SUM(C51:C54)</f>
        <v>71840954</v>
      </c>
      <c r="D50" s="382">
        <f t="shared" si="9"/>
        <v>94596388</v>
      </c>
      <c r="E50" s="383">
        <f t="shared" si="9"/>
        <v>48664865</v>
      </c>
      <c r="F50" s="384">
        <f>E50/C50*100</f>
        <v>67.73972544963699</v>
      </c>
      <c r="G50" s="385">
        <f t="shared" si="10"/>
        <v>51.44473909511217</v>
      </c>
      <c r="H50" s="386">
        <f>SUM(H51:H54)-H52</f>
        <v>55029597</v>
      </c>
      <c r="I50" s="381">
        <f>SUM(I51:I54)-I52</f>
        <v>29127936</v>
      </c>
      <c r="J50" s="386">
        <f>SUM(J51:J54)-J52</f>
        <v>39566791</v>
      </c>
      <c r="K50" s="381">
        <f>SUM(K51:K54)-K52</f>
        <v>19536929</v>
      </c>
      <c r="L50" s="386"/>
      <c r="M50" s="381"/>
      <c r="N50" s="387"/>
      <c r="O50" s="405"/>
    </row>
    <row r="51" spans="1:15" s="399" customFormat="1" ht="11.25" customHeight="1">
      <c r="A51" s="390"/>
      <c r="B51" s="391" t="s">
        <v>662</v>
      </c>
      <c r="C51" s="392">
        <v>70511255</v>
      </c>
      <c r="D51" s="393">
        <f t="shared" si="9"/>
        <v>93872505</v>
      </c>
      <c r="E51" s="394">
        <f t="shared" si="9"/>
        <v>48631828</v>
      </c>
      <c r="F51" s="395">
        <f>E51/C51*100</f>
        <v>68.97030552072857</v>
      </c>
      <c r="G51" s="396">
        <f t="shared" si="10"/>
        <v>51.80625359896383</v>
      </c>
      <c r="H51" s="397">
        <v>55002505</v>
      </c>
      <c r="I51" s="392">
        <v>29105844</v>
      </c>
      <c r="J51" s="397">
        <v>38870000</v>
      </c>
      <c r="K51" s="392">
        <v>19525984</v>
      </c>
      <c r="L51" s="397"/>
      <c r="M51" s="392"/>
      <c r="N51" s="421"/>
      <c r="O51" s="398"/>
    </row>
    <row r="52" spans="1:15" s="399" customFormat="1" ht="24" hidden="1">
      <c r="A52" s="390"/>
      <c r="B52" s="411" t="s">
        <v>670</v>
      </c>
      <c r="C52" s="392"/>
      <c r="D52" s="393">
        <f t="shared" si="9"/>
        <v>0</v>
      </c>
      <c r="E52" s="394">
        <f t="shared" si="9"/>
        <v>0</v>
      </c>
      <c r="F52" s="418" t="s">
        <v>664</v>
      </c>
      <c r="G52" s="396" t="e">
        <f t="shared" si="10"/>
        <v>#DIV/0!</v>
      </c>
      <c r="H52" s="397">
        <v>0</v>
      </c>
      <c r="I52" s="392"/>
      <c r="J52" s="397"/>
      <c r="K52" s="392"/>
      <c r="L52" s="397"/>
      <c r="M52" s="392"/>
      <c r="N52" s="421"/>
      <c r="O52" s="398"/>
    </row>
    <row r="53" spans="1:15" s="399" customFormat="1" ht="12">
      <c r="A53" s="390"/>
      <c r="B53" s="391" t="s">
        <v>668</v>
      </c>
      <c r="C53" s="392"/>
      <c r="D53" s="393">
        <f t="shared" si="9"/>
        <v>718883</v>
      </c>
      <c r="E53" s="393">
        <f t="shared" si="9"/>
        <v>33037</v>
      </c>
      <c r="F53" s="418"/>
      <c r="G53" s="396">
        <f t="shared" si="10"/>
        <v>4.595601787773532</v>
      </c>
      <c r="H53" s="397">
        <v>22092</v>
      </c>
      <c r="I53" s="392">
        <v>22092</v>
      </c>
      <c r="J53" s="397">
        <v>696791</v>
      </c>
      <c r="K53" s="392">
        <v>10945</v>
      </c>
      <c r="L53" s="397"/>
      <c r="M53" s="392"/>
      <c r="N53" s="421"/>
      <c r="O53" s="398"/>
    </row>
    <row r="54" spans="1:15" s="399" customFormat="1" ht="12.75" customHeight="1">
      <c r="A54" s="390"/>
      <c r="B54" s="391" t="s">
        <v>667</v>
      </c>
      <c r="C54" s="392">
        <v>1329699</v>
      </c>
      <c r="D54" s="393">
        <f t="shared" si="9"/>
        <v>5000</v>
      </c>
      <c r="E54" s="394">
        <f t="shared" si="9"/>
        <v>0</v>
      </c>
      <c r="F54" s="395">
        <f>E54/C54*100</f>
        <v>0</v>
      </c>
      <c r="G54" s="396">
        <f t="shared" si="10"/>
        <v>0</v>
      </c>
      <c r="H54" s="397">
        <v>5000</v>
      </c>
      <c r="I54" s="392">
        <v>0</v>
      </c>
      <c r="J54" s="397"/>
      <c r="K54" s="392"/>
      <c r="L54" s="397"/>
      <c r="M54" s="392"/>
      <c r="N54" s="421"/>
      <c r="O54" s="398"/>
    </row>
    <row r="55" spans="1:15" s="389" customFormat="1" ht="24" customHeight="1">
      <c r="A55" s="401" t="s">
        <v>628</v>
      </c>
      <c r="B55" s="380" t="s">
        <v>629</v>
      </c>
      <c r="C55" s="381">
        <f>SUM(C56)</f>
        <v>7420</v>
      </c>
      <c r="D55" s="382">
        <f t="shared" si="9"/>
        <v>77370</v>
      </c>
      <c r="E55" s="383">
        <f t="shared" si="9"/>
        <v>60794</v>
      </c>
      <c r="F55" s="384">
        <f>E55/C55*100</f>
        <v>819.3261455525607</v>
      </c>
      <c r="G55" s="385">
        <f t="shared" si="10"/>
        <v>78.57567532635389</v>
      </c>
      <c r="H55" s="386">
        <f>SUM(H56)</f>
        <v>77370</v>
      </c>
      <c r="I55" s="381">
        <f>SUM(I56)</f>
        <v>60794</v>
      </c>
      <c r="J55" s="386"/>
      <c r="K55" s="381"/>
      <c r="L55" s="386"/>
      <c r="M55" s="381"/>
      <c r="N55" s="387"/>
      <c r="O55" s="405"/>
    </row>
    <row r="56" spans="1:15" s="399" customFormat="1" ht="16.5" customHeight="1">
      <c r="A56" s="390"/>
      <c r="B56" s="443" t="s">
        <v>662</v>
      </c>
      <c r="C56" s="444">
        <v>7420</v>
      </c>
      <c r="D56" s="445">
        <f t="shared" si="9"/>
        <v>77370</v>
      </c>
      <c r="E56" s="446">
        <f t="shared" si="9"/>
        <v>60794</v>
      </c>
      <c r="F56" s="447"/>
      <c r="G56" s="448"/>
      <c r="H56" s="449">
        <v>77370</v>
      </c>
      <c r="I56" s="444">
        <v>60794</v>
      </c>
      <c r="J56" s="449"/>
      <c r="K56" s="444"/>
      <c r="L56" s="449"/>
      <c r="M56" s="444"/>
      <c r="N56" s="450"/>
      <c r="O56" s="451"/>
    </row>
    <row r="57" spans="1:15" s="389" customFormat="1" ht="14.25" customHeight="1">
      <c r="A57" s="401" t="s">
        <v>630</v>
      </c>
      <c r="B57" s="452" t="s">
        <v>631</v>
      </c>
      <c r="C57" s="427">
        <f>SUM(C58:C59)</f>
        <v>2692095</v>
      </c>
      <c r="D57" s="453">
        <f t="shared" si="9"/>
        <v>4127410</v>
      </c>
      <c r="E57" s="454">
        <f t="shared" si="9"/>
        <v>1068071</v>
      </c>
      <c r="F57" s="455">
        <f>E57/C57*100</f>
        <v>39.67434284451329</v>
      </c>
      <c r="G57" s="456">
        <f aca="true" t="shared" si="11" ref="G57:G79">E57/D57*100</f>
        <v>25.877511562941407</v>
      </c>
      <c r="H57" s="457">
        <f>SUM(H58:H59)</f>
        <v>4118410</v>
      </c>
      <c r="I57" s="427">
        <f>SUM(I58:I59)</f>
        <v>1064660</v>
      </c>
      <c r="J57" s="457"/>
      <c r="K57" s="427"/>
      <c r="L57" s="457"/>
      <c r="M57" s="427"/>
      <c r="N57" s="458">
        <f>SUM(N58:N59)</f>
        <v>9000</v>
      </c>
      <c r="O57" s="459">
        <f>SUM(O58:O59)</f>
        <v>3411</v>
      </c>
    </row>
    <row r="58" spans="1:15" s="399" customFormat="1" ht="11.25" customHeight="1">
      <c r="A58" s="390"/>
      <c r="B58" s="391" t="s">
        <v>662</v>
      </c>
      <c r="C58" s="392">
        <v>2692095</v>
      </c>
      <c r="D58" s="393">
        <f t="shared" si="9"/>
        <v>3997410</v>
      </c>
      <c r="E58" s="394">
        <f t="shared" si="9"/>
        <v>1017071</v>
      </c>
      <c r="F58" s="395">
        <f>E58/C58*100</f>
        <v>37.77990746983298</v>
      </c>
      <c r="G58" s="396">
        <f t="shared" si="11"/>
        <v>25.443249504053878</v>
      </c>
      <c r="H58" s="397">
        <v>3988410</v>
      </c>
      <c r="I58" s="392">
        <v>1013660</v>
      </c>
      <c r="J58" s="397"/>
      <c r="K58" s="392"/>
      <c r="L58" s="397"/>
      <c r="M58" s="392"/>
      <c r="N58" s="421">
        <v>9000</v>
      </c>
      <c r="O58" s="398">
        <v>3411</v>
      </c>
    </row>
    <row r="59" spans="1:15" s="399" customFormat="1" ht="11.25" customHeight="1">
      <c r="A59" s="460"/>
      <c r="B59" s="391" t="s">
        <v>667</v>
      </c>
      <c r="C59" s="444"/>
      <c r="D59" s="393">
        <f>H59+L59+N59+J59</f>
        <v>130000</v>
      </c>
      <c r="E59" s="394">
        <f>I59+M59+O59+K59</f>
        <v>51000</v>
      </c>
      <c r="F59" s="461"/>
      <c r="G59" s="396">
        <f t="shared" si="11"/>
        <v>39.23076923076923</v>
      </c>
      <c r="H59" s="449">
        <v>130000</v>
      </c>
      <c r="I59" s="444">
        <v>51000</v>
      </c>
      <c r="J59" s="449"/>
      <c r="K59" s="444"/>
      <c r="L59" s="449"/>
      <c r="M59" s="444"/>
      <c r="N59" s="450"/>
      <c r="O59" s="451"/>
    </row>
    <row r="60" spans="1:15" s="389" customFormat="1" ht="18" customHeight="1">
      <c r="A60" s="401" t="s">
        <v>632</v>
      </c>
      <c r="B60" s="380" t="s">
        <v>633</v>
      </c>
      <c r="C60" s="381">
        <f>C61+C63+C64</f>
        <v>25325112</v>
      </c>
      <c r="D60" s="382">
        <f aca="true" t="shared" si="12" ref="D60:E91">H60+L60+N60+J60</f>
        <v>41112338</v>
      </c>
      <c r="E60" s="383">
        <f t="shared" si="12"/>
        <v>20518819</v>
      </c>
      <c r="F60" s="384">
        <f aca="true" t="shared" si="13" ref="F60:F69">E60/C60*100</f>
        <v>81.02163180956514</v>
      </c>
      <c r="G60" s="385">
        <f t="shared" si="11"/>
        <v>49.90915135986672</v>
      </c>
      <c r="H60" s="386">
        <f>H61+H63+H64</f>
        <v>16401997</v>
      </c>
      <c r="I60" s="381">
        <f>I61+I63+I64</f>
        <v>8634990</v>
      </c>
      <c r="J60" s="386">
        <f>J61+J63</f>
        <v>4530341</v>
      </c>
      <c r="K60" s="381">
        <f>K61+K63</f>
        <v>2008555</v>
      </c>
      <c r="L60" s="386">
        <f>L61+L63+L64</f>
        <v>20166000</v>
      </c>
      <c r="M60" s="381">
        <f>M61+M63+M64</f>
        <v>9861274</v>
      </c>
      <c r="N60" s="387">
        <f>SUM(N61:N63)</f>
        <v>14000</v>
      </c>
      <c r="O60" s="405">
        <f>SUM(O61:O63)</f>
        <v>14000</v>
      </c>
    </row>
    <row r="61" spans="1:15" s="399" customFormat="1" ht="12" customHeight="1">
      <c r="A61" s="390"/>
      <c r="B61" s="391" t="s">
        <v>662</v>
      </c>
      <c r="C61" s="392">
        <v>24482518</v>
      </c>
      <c r="D61" s="393">
        <f t="shared" si="12"/>
        <v>41082338</v>
      </c>
      <c r="E61" s="394">
        <f t="shared" si="12"/>
        <v>20518819</v>
      </c>
      <c r="F61" s="395">
        <f t="shared" si="13"/>
        <v>83.81008440389995</v>
      </c>
      <c r="G61" s="396">
        <f t="shared" si="11"/>
        <v>49.94559705925208</v>
      </c>
      <c r="H61" s="397">
        <v>16381997</v>
      </c>
      <c r="I61" s="392">
        <v>8634990</v>
      </c>
      <c r="J61" s="397">
        <v>4520341</v>
      </c>
      <c r="K61" s="392">
        <v>2008555</v>
      </c>
      <c r="L61" s="397">
        <v>20166000</v>
      </c>
      <c r="M61" s="392">
        <v>9861274</v>
      </c>
      <c r="N61" s="421">
        <v>14000</v>
      </c>
      <c r="O61" s="398">
        <v>14000</v>
      </c>
    </row>
    <row r="62" spans="1:15" s="399" customFormat="1" ht="24.75" customHeight="1" hidden="1">
      <c r="A62" s="390"/>
      <c r="B62" s="411" t="s">
        <v>670</v>
      </c>
      <c r="C62" s="392">
        <v>23666</v>
      </c>
      <c r="D62" s="413">
        <f>H62+L62+N62+J62</f>
        <v>0</v>
      </c>
      <c r="E62" s="414">
        <f>I62+M62+O62+K62</f>
        <v>0</v>
      </c>
      <c r="F62" s="395">
        <f t="shared" si="13"/>
        <v>0</v>
      </c>
      <c r="G62" s="396" t="e">
        <f t="shared" si="11"/>
        <v>#DIV/0!</v>
      </c>
      <c r="H62" s="397"/>
      <c r="I62" s="392"/>
      <c r="J62" s="397"/>
      <c r="K62" s="392"/>
      <c r="L62" s="397"/>
      <c r="M62" s="392"/>
      <c r="N62" s="421"/>
      <c r="O62" s="398"/>
    </row>
    <row r="63" spans="1:15" s="399" customFormat="1" ht="15" customHeight="1">
      <c r="A63" s="390"/>
      <c r="B63" s="391" t="s">
        <v>668</v>
      </c>
      <c r="C63" s="392">
        <v>27040</v>
      </c>
      <c r="D63" s="393">
        <f t="shared" si="12"/>
        <v>30000</v>
      </c>
      <c r="E63" s="394">
        <f t="shared" si="12"/>
        <v>0</v>
      </c>
      <c r="F63" s="395">
        <f t="shared" si="13"/>
        <v>0</v>
      </c>
      <c r="G63" s="396">
        <f t="shared" si="11"/>
        <v>0</v>
      </c>
      <c r="H63" s="397">
        <v>20000</v>
      </c>
      <c r="I63" s="392">
        <v>0</v>
      </c>
      <c r="J63" s="397">
        <v>10000</v>
      </c>
      <c r="K63" s="392">
        <v>0</v>
      </c>
      <c r="L63" s="397"/>
      <c r="M63" s="392"/>
      <c r="N63" s="421"/>
      <c r="O63" s="398"/>
    </row>
    <row r="64" spans="1:15" s="399" customFormat="1" ht="15" customHeight="1" hidden="1">
      <c r="A64" s="390"/>
      <c r="B64" s="391" t="s">
        <v>667</v>
      </c>
      <c r="C64" s="392">
        <v>815554</v>
      </c>
      <c r="D64" s="393">
        <f t="shared" si="12"/>
        <v>0</v>
      </c>
      <c r="E64" s="394">
        <f t="shared" si="12"/>
        <v>0</v>
      </c>
      <c r="F64" s="395">
        <f t="shared" si="13"/>
        <v>0</v>
      </c>
      <c r="G64" s="396" t="e">
        <f t="shared" si="11"/>
        <v>#DIV/0!</v>
      </c>
      <c r="H64" s="397">
        <v>0</v>
      </c>
      <c r="I64" s="392"/>
      <c r="J64" s="397"/>
      <c r="K64" s="392"/>
      <c r="L64" s="397"/>
      <c r="M64" s="392"/>
      <c r="N64" s="421"/>
      <c r="O64" s="398"/>
    </row>
    <row r="65" spans="1:15" s="389" customFormat="1" ht="51">
      <c r="A65" s="401" t="s">
        <v>634</v>
      </c>
      <c r="B65" s="426" t="s">
        <v>635</v>
      </c>
      <c r="C65" s="427"/>
      <c r="D65" s="403">
        <f t="shared" si="12"/>
        <v>2084665</v>
      </c>
      <c r="E65" s="462">
        <f t="shared" si="12"/>
        <v>1019652</v>
      </c>
      <c r="F65" s="463"/>
      <c r="G65" s="429">
        <f t="shared" si="11"/>
        <v>48.91203142951026</v>
      </c>
      <c r="H65" s="420">
        <f>H66</f>
        <v>1945500</v>
      </c>
      <c r="I65" s="381">
        <f>I66</f>
        <v>944998</v>
      </c>
      <c r="J65" s="420">
        <f>SUM(J66:J67)</f>
        <v>33165</v>
      </c>
      <c r="K65" s="381">
        <f>SUM(K66:K67)</f>
        <v>17583</v>
      </c>
      <c r="L65" s="420"/>
      <c r="M65" s="381"/>
      <c r="N65" s="420">
        <f>N66</f>
        <v>106000</v>
      </c>
      <c r="O65" s="388">
        <f>O66</f>
        <v>57071</v>
      </c>
    </row>
    <row r="66" spans="1:15" s="399" customFormat="1" ht="15" customHeight="1">
      <c r="A66" s="390"/>
      <c r="B66" s="391" t="s">
        <v>662</v>
      </c>
      <c r="C66" s="392"/>
      <c r="D66" s="393">
        <f t="shared" si="12"/>
        <v>2079665</v>
      </c>
      <c r="E66" s="394">
        <f t="shared" si="12"/>
        <v>1019652</v>
      </c>
      <c r="F66" s="395"/>
      <c r="G66" s="396">
        <f t="shared" si="11"/>
        <v>49.029627367869345</v>
      </c>
      <c r="H66" s="397">
        <v>1945500</v>
      </c>
      <c r="I66" s="392">
        <v>944998</v>
      </c>
      <c r="J66" s="397">
        <v>28165</v>
      </c>
      <c r="K66" s="392">
        <v>17583</v>
      </c>
      <c r="L66" s="397"/>
      <c r="M66" s="392"/>
      <c r="N66" s="421">
        <v>106000</v>
      </c>
      <c r="O66" s="398">
        <v>57071</v>
      </c>
    </row>
    <row r="67" spans="1:15" s="399" customFormat="1" ht="15" customHeight="1">
      <c r="A67" s="390"/>
      <c r="B67" s="391" t="s">
        <v>668</v>
      </c>
      <c r="C67" s="392">
        <v>27040</v>
      </c>
      <c r="D67" s="393">
        <f>H67+L67+N67+J67</f>
        <v>5000</v>
      </c>
      <c r="E67" s="394">
        <f>I67+M67+O67+K67</f>
        <v>0</v>
      </c>
      <c r="F67" s="395">
        <f>E67/C67*100</f>
        <v>0</v>
      </c>
      <c r="G67" s="396">
        <f>E67/D67*100</f>
        <v>0</v>
      </c>
      <c r="H67" s="397"/>
      <c r="I67" s="392"/>
      <c r="J67" s="397">
        <v>5000</v>
      </c>
      <c r="K67" s="392">
        <v>0</v>
      </c>
      <c r="L67" s="397"/>
      <c r="M67" s="392"/>
      <c r="N67" s="421"/>
      <c r="O67" s="398"/>
    </row>
    <row r="68" spans="1:15" s="389" customFormat="1" ht="27.75" customHeight="1">
      <c r="A68" s="401" t="s">
        <v>636</v>
      </c>
      <c r="B68" s="380" t="s">
        <v>637</v>
      </c>
      <c r="C68" s="381">
        <f>SUM(C69:C71)</f>
        <v>16526185</v>
      </c>
      <c r="D68" s="382">
        <f t="shared" si="12"/>
        <v>9059001</v>
      </c>
      <c r="E68" s="383">
        <f t="shared" si="12"/>
        <v>4889621</v>
      </c>
      <c r="F68" s="384">
        <f t="shared" si="13"/>
        <v>29.587112815208105</v>
      </c>
      <c r="G68" s="385">
        <f t="shared" si="11"/>
        <v>53.975278289515586</v>
      </c>
      <c r="H68" s="386">
        <f>SUM(H69:H71)</f>
        <v>1786016</v>
      </c>
      <c r="I68" s="381">
        <f>SUM(I69:I71)</f>
        <v>1001702</v>
      </c>
      <c r="J68" s="386">
        <f>SUM(J69:J71)</f>
        <v>7272985</v>
      </c>
      <c r="K68" s="381">
        <f>SUM(K69:K71)</f>
        <v>3887919</v>
      </c>
      <c r="L68" s="386"/>
      <c r="M68" s="381"/>
      <c r="N68" s="387"/>
      <c r="O68" s="405"/>
    </row>
    <row r="69" spans="1:15" s="399" customFormat="1" ht="9.75" customHeight="1">
      <c r="A69" s="390"/>
      <c r="B69" s="391" t="s">
        <v>662</v>
      </c>
      <c r="C69" s="392">
        <v>16526185</v>
      </c>
      <c r="D69" s="393">
        <f t="shared" si="12"/>
        <v>9025001</v>
      </c>
      <c r="E69" s="394">
        <f t="shared" si="12"/>
        <v>4860234</v>
      </c>
      <c r="F69" s="464">
        <f t="shared" si="13"/>
        <v>29.409291981180168</v>
      </c>
      <c r="G69" s="396">
        <f t="shared" si="11"/>
        <v>53.85300234315763</v>
      </c>
      <c r="H69" s="430">
        <v>1786016</v>
      </c>
      <c r="I69" s="392">
        <v>1001702</v>
      </c>
      <c r="J69" s="430">
        <v>7238985</v>
      </c>
      <c r="K69" s="392">
        <v>3858532</v>
      </c>
      <c r="L69" s="430"/>
      <c r="M69" s="392"/>
      <c r="N69" s="421"/>
      <c r="O69" s="398"/>
    </row>
    <row r="70" spans="1:15" s="399" customFormat="1" ht="12.75" customHeight="1">
      <c r="A70" s="390"/>
      <c r="B70" s="391" t="s">
        <v>668</v>
      </c>
      <c r="C70" s="422"/>
      <c r="D70" s="393">
        <f t="shared" si="12"/>
        <v>34000</v>
      </c>
      <c r="E70" s="394">
        <f t="shared" si="12"/>
        <v>29387</v>
      </c>
      <c r="F70" s="395"/>
      <c r="G70" s="396">
        <f t="shared" si="11"/>
        <v>86.43235294117648</v>
      </c>
      <c r="H70" s="430"/>
      <c r="I70" s="392"/>
      <c r="J70" s="430">
        <v>34000</v>
      </c>
      <c r="K70" s="392">
        <v>29387</v>
      </c>
      <c r="L70" s="430"/>
      <c r="M70" s="392"/>
      <c r="N70" s="421"/>
      <c r="O70" s="398"/>
    </row>
    <row r="71" spans="1:15" s="399" customFormat="1" ht="12.75" customHeight="1" hidden="1">
      <c r="A71" s="465"/>
      <c r="B71" s="391" t="s">
        <v>667</v>
      </c>
      <c r="C71" s="466"/>
      <c r="D71" s="393">
        <f t="shared" si="12"/>
        <v>0</v>
      </c>
      <c r="E71" s="394">
        <f t="shared" si="12"/>
        <v>0</v>
      </c>
      <c r="F71" s="395"/>
      <c r="G71" s="396" t="e">
        <f t="shared" si="11"/>
        <v>#DIV/0!</v>
      </c>
      <c r="H71" s="430"/>
      <c r="I71" s="392"/>
      <c r="J71" s="430"/>
      <c r="K71" s="392"/>
      <c r="L71" s="430"/>
      <c r="M71" s="392"/>
      <c r="N71" s="421"/>
      <c r="O71" s="398"/>
    </row>
    <row r="72" spans="1:15" s="467" customFormat="1" ht="50.25" customHeight="1">
      <c r="A72" s="401" t="s">
        <v>638</v>
      </c>
      <c r="B72" s="380" t="s">
        <v>639</v>
      </c>
      <c r="C72" s="402">
        <f>SUM(C73:C76)</f>
        <v>12319589</v>
      </c>
      <c r="D72" s="382">
        <f t="shared" si="12"/>
        <v>10279018</v>
      </c>
      <c r="E72" s="383">
        <f t="shared" si="12"/>
        <v>3923466</v>
      </c>
      <c r="F72" s="384">
        <f aca="true" t="shared" si="14" ref="F72:F81">E72/C72*100</f>
        <v>31.847377375982266</v>
      </c>
      <c r="G72" s="385">
        <f t="shared" si="11"/>
        <v>38.169657840856004</v>
      </c>
      <c r="H72" s="386">
        <f aca="true" t="shared" si="15" ref="H72:M72">SUM(H73:H76)</f>
        <v>7179018</v>
      </c>
      <c r="I72" s="381">
        <f t="shared" si="15"/>
        <v>2444292</v>
      </c>
      <c r="J72" s="386">
        <f t="shared" si="15"/>
        <v>3100000</v>
      </c>
      <c r="K72" s="381">
        <f t="shared" si="15"/>
        <v>1479174</v>
      </c>
      <c r="L72" s="386">
        <f t="shared" si="15"/>
        <v>0</v>
      </c>
      <c r="M72" s="381">
        <f t="shared" si="15"/>
        <v>0</v>
      </c>
      <c r="N72" s="387"/>
      <c r="O72" s="405"/>
    </row>
    <row r="73" spans="1:15" s="399" customFormat="1" ht="10.5" customHeight="1">
      <c r="A73" s="390"/>
      <c r="B73" s="391" t="s">
        <v>662</v>
      </c>
      <c r="C73" s="392">
        <v>7396799</v>
      </c>
      <c r="D73" s="393">
        <f t="shared" si="12"/>
        <v>8138318</v>
      </c>
      <c r="E73" s="394">
        <f t="shared" si="12"/>
        <v>3763997</v>
      </c>
      <c r="F73" s="395">
        <f t="shared" si="14"/>
        <v>50.88683631933218</v>
      </c>
      <c r="G73" s="396">
        <f t="shared" si="11"/>
        <v>46.250306267216395</v>
      </c>
      <c r="H73" s="397">
        <v>5038318</v>
      </c>
      <c r="I73" s="392">
        <v>2284823</v>
      </c>
      <c r="J73" s="397">
        <v>3100000</v>
      </c>
      <c r="K73" s="392">
        <v>1479174</v>
      </c>
      <c r="L73" s="397">
        <v>0</v>
      </c>
      <c r="M73" s="392"/>
      <c r="N73" s="421"/>
      <c r="O73" s="398"/>
    </row>
    <row r="74" spans="1:15" s="399" customFormat="1" ht="12" customHeight="1">
      <c r="A74" s="390"/>
      <c r="B74" s="391" t="s">
        <v>668</v>
      </c>
      <c r="C74" s="392"/>
      <c r="D74" s="393">
        <f>H74+L74+N74+J74</f>
        <v>10700</v>
      </c>
      <c r="E74" s="394">
        <f>I74+M74+O74+K74</f>
        <v>0</v>
      </c>
      <c r="F74" s="395"/>
      <c r="G74" s="396"/>
      <c r="H74" s="397">
        <v>10700</v>
      </c>
      <c r="I74" s="392">
        <v>0</v>
      </c>
      <c r="J74" s="397"/>
      <c r="K74" s="392"/>
      <c r="L74" s="397"/>
      <c r="M74" s="392"/>
      <c r="N74" s="421"/>
      <c r="O74" s="398"/>
    </row>
    <row r="75" spans="1:15" s="399" customFormat="1" ht="12" customHeight="1">
      <c r="A75" s="465"/>
      <c r="B75" s="391" t="s">
        <v>667</v>
      </c>
      <c r="C75" s="392">
        <v>4722790</v>
      </c>
      <c r="D75" s="393">
        <f t="shared" si="12"/>
        <v>2130000</v>
      </c>
      <c r="E75" s="394">
        <f t="shared" si="12"/>
        <v>159469</v>
      </c>
      <c r="F75" s="395">
        <f t="shared" si="14"/>
        <v>3.3765846035923683</v>
      </c>
      <c r="G75" s="396">
        <f t="shared" si="11"/>
        <v>7.48680751173709</v>
      </c>
      <c r="H75" s="397">
        <v>2130000</v>
      </c>
      <c r="I75" s="392">
        <v>159469</v>
      </c>
      <c r="J75" s="397"/>
      <c r="K75" s="392"/>
      <c r="L75" s="397"/>
      <c r="M75" s="392"/>
      <c r="N75" s="421"/>
      <c r="O75" s="398"/>
    </row>
    <row r="76" spans="1:15" s="399" customFormat="1" ht="12" customHeight="1" hidden="1">
      <c r="A76" s="465"/>
      <c r="B76" s="391" t="s">
        <v>669</v>
      </c>
      <c r="C76" s="392">
        <v>200000</v>
      </c>
      <c r="D76" s="393">
        <f>H76+L76+N76+J76</f>
        <v>0</v>
      </c>
      <c r="E76" s="394">
        <f>I76+M76+O76+K76</f>
        <v>0</v>
      </c>
      <c r="F76" s="395">
        <f t="shared" si="14"/>
        <v>0</v>
      </c>
      <c r="G76" s="396"/>
      <c r="H76" s="397">
        <v>0</v>
      </c>
      <c r="I76" s="392"/>
      <c r="J76" s="397"/>
      <c r="K76" s="392"/>
      <c r="L76" s="397"/>
      <c r="M76" s="392"/>
      <c r="N76" s="421"/>
      <c r="O76" s="398"/>
    </row>
    <row r="77" spans="1:15" s="367" customFormat="1" ht="49.5" customHeight="1">
      <c r="A77" s="401" t="s">
        <v>640</v>
      </c>
      <c r="B77" s="380" t="s">
        <v>641</v>
      </c>
      <c r="C77" s="381">
        <f>C78+C80+C81</f>
        <v>15292097</v>
      </c>
      <c r="D77" s="382">
        <f t="shared" si="12"/>
        <v>12801780</v>
      </c>
      <c r="E77" s="383">
        <f t="shared" si="12"/>
        <v>6679045</v>
      </c>
      <c r="F77" s="384">
        <f t="shared" si="14"/>
        <v>43.67644934504404</v>
      </c>
      <c r="G77" s="385">
        <f t="shared" si="11"/>
        <v>52.17278378475493</v>
      </c>
      <c r="H77" s="386">
        <f>H78+H80+H81</f>
        <v>3997640</v>
      </c>
      <c r="I77" s="381">
        <f>I78+I80+I81</f>
        <v>2074244</v>
      </c>
      <c r="J77" s="386">
        <f>SUM(J78:J81)-J79</f>
        <v>8801140</v>
      </c>
      <c r="K77" s="381">
        <f>SUM(K78:K81)-K79</f>
        <v>4604801</v>
      </c>
      <c r="L77" s="386">
        <f>L78</f>
        <v>3000</v>
      </c>
      <c r="M77" s="381">
        <f>M78</f>
        <v>0</v>
      </c>
      <c r="N77" s="387"/>
      <c r="O77" s="405"/>
    </row>
    <row r="78" spans="1:15" s="431" customFormat="1" ht="13.5" customHeight="1">
      <c r="A78" s="465"/>
      <c r="B78" s="391" t="s">
        <v>672</v>
      </c>
      <c r="C78" s="392">
        <v>13241493</v>
      </c>
      <c r="D78" s="393">
        <f t="shared" si="12"/>
        <v>12349280</v>
      </c>
      <c r="E78" s="394">
        <f t="shared" si="12"/>
        <v>6545525</v>
      </c>
      <c r="F78" s="395">
        <f t="shared" si="14"/>
        <v>49.43192584099089</v>
      </c>
      <c r="G78" s="396">
        <f t="shared" si="11"/>
        <v>53.003292499643706</v>
      </c>
      <c r="H78" s="430">
        <v>3667140</v>
      </c>
      <c r="I78" s="392">
        <v>2005196</v>
      </c>
      <c r="J78" s="397">
        <v>8679140</v>
      </c>
      <c r="K78" s="392">
        <v>4540329</v>
      </c>
      <c r="L78" s="430">
        <v>3000</v>
      </c>
      <c r="M78" s="392"/>
      <c r="N78" s="421"/>
      <c r="O78" s="398"/>
    </row>
    <row r="79" spans="1:15" s="431" customFormat="1" ht="23.25" customHeight="1">
      <c r="A79" s="465"/>
      <c r="B79" s="411" t="s">
        <v>670</v>
      </c>
      <c r="C79" s="392">
        <v>50000</v>
      </c>
      <c r="D79" s="413">
        <f t="shared" si="12"/>
        <v>350000</v>
      </c>
      <c r="E79" s="414">
        <f t="shared" si="12"/>
        <v>0</v>
      </c>
      <c r="F79" s="395">
        <f t="shared" si="14"/>
        <v>0</v>
      </c>
      <c r="G79" s="396">
        <f t="shared" si="11"/>
        <v>0</v>
      </c>
      <c r="H79" s="430"/>
      <c r="I79" s="392"/>
      <c r="J79" s="430">
        <v>350000</v>
      </c>
      <c r="K79" s="392"/>
      <c r="L79" s="430"/>
      <c r="M79" s="392"/>
      <c r="N79" s="421"/>
      <c r="O79" s="398"/>
    </row>
    <row r="80" spans="1:15" s="399" customFormat="1" ht="13.5" customHeight="1">
      <c r="A80" s="390"/>
      <c r="B80" s="391" t="s">
        <v>668</v>
      </c>
      <c r="C80" s="392"/>
      <c r="D80" s="413">
        <f t="shared" si="12"/>
        <v>38000</v>
      </c>
      <c r="E80" s="414">
        <f t="shared" si="12"/>
        <v>19472</v>
      </c>
      <c r="F80" s="395"/>
      <c r="G80" s="396"/>
      <c r="H80" s="397">
        <v>18000</v>
      </c>
      <c r="I80" s="392">
        <v>0</v>
      </c>
      <c r="J80" s="397">
        <v>20000</v>
      </c>
      <c r="K80" s="392">
        <v>19472</v>
      </c>
      <c r="L80" s="397"/>
      <c r="M80" s="392"/>
      <c r="N80" s="421"/>
      <c r="O80" s="398"/>
    </row>
    <row r="81" spans="1:15" s="399" customFormat="1" ht="12.75" customHeight="1">
      <c r="A81" s="465"/>
      <c r="B81" s="391" t="s">
        <v>667</v>
      </c>
      <c r="C81" s="392">
        <v>2050604</v>
      </c>
      <c r="D81" s="393">
        <f>H81+L81+N81+J81</f>
        <v>414500</v>
      </c>
      <c r="E81" s="394">
        <f>I81+M81+O81+K81</f>
        <v>114048</v>
      </c>
      <c r="F81" s="395">
        <f t="shared" si="14"/>
        <v>5.561678412799351</v>
      </c>
      <c r="G81" s="396">
        <f>E81/D81*100</f>
        <v>27.5145958986731</v>
      </c>
      <c r="H81" s="397">
        <v>312500</v>
      </c>
      <c r="I81" s="392">
        <v>69048</v>
      </c>
      <c r="J81" s="397">
        <v>102000</v>
      </c>
      <c r="K81" s="392">
        <v>45000</v>
      </c>
      <c r="L81" s="397"/>
      <c r="M81" s="392"/>
      <c r="N81" s="421"/>
      <c r="O81" s="398"/>
    </row>
    <row r="82" spans="1:15" s="367" customFormat="1" ht="76.5" customHeight="1" hidden="1">
      <c r="A82" s="401" t="s">
        <v>642</v>
      </c>
      <c r="B82" s="380" t="s">
        <v>643</v>
      </c>
      <c r="C82" s="381">
        <f>SUM(C83)</f>
        <v>0</v>
      </c>
      <c r="D82" s="382"/>
      <c r="E82" s="383"/>
      <c r="F82" s="384"/>
      <c r="G82" s="385"/>
      <c r="H82" s="386"/>
      <c r="I82" s="381"/>
      <c r="J82" s="386"/>
      <c r="K82" s="381"/>
      <c r="L82" s="387"/>
      <c r="M82" s="381"/>
      <c r="N82" s="387"/>
      <c r="O82" s="405"/>
    </row>
    <row r="83" spans="1:15" s="431" customFormat="1" ht="12.75" customHeight="1" hidden="1">
      <c r="A83" s="465"/>
      <c r="B83" s="391" t="s">
        <v>672</v>
      </c>
      <c r="C83" s="392"/>
      <c r="D83" s="393"/>
      <c r="E83" s="394"/>
      <c r="F83" s="468"/>
      <c r="G83" s="469"/>
      <c r="H83" s="430"/>
      <c r="I83" s="392"/>
      <c r="J83" s="430"/>
      <c r="K83" s="392"/>
      <c r="L83" s="421"/>
      <c r="M83" s="392"/>
      <c r="N83" s="421"/>
      <c r="O83" s="398"/>
    </row>
    <row r="84" spans="1:15" s="475" customFormat="1" ht="27.75" customHeight="1">
      <c r="A84" s="408" t="s">
        <v>644</v>
      </c>
      <c r="B84" s="380" t="s">
        <v>645</v>
      </c>
      <c r="C84" s="470">
        <f>SUM(C85:C87)</f>
        <v>3970196</v>
      </c>
      <c r="D84" s="382">
        <f t="shared" si="12"/>
        <v>10566560</v>
      </c>
      <c r="E84" s="383">
        <f t="shared" si="12"/>
        <v>4415597</v>
      </c>
      <c r="F84" s="384">
        <f>E84/C84*100</f>
        <v>111.21861489961704</v>
      </c>
      <c r="G84" s="471">
        <f>E84/D84*100</f>
        <v>41.78840606592874</v>
      </c>
      <c r="H84" s="472">
        <f>SUM(H85:H87)</f>
        <v>10566560</v>
      </c>
      <c r="I84" s="470">
        <f>SUM(I85:I87)</f>
        <v>4415597</v>
      </c>
      <c r="J84" s="472"/>
      <c r="K84" s="470"/>
      <c r="L84" s="473"/>
      <c r="M84" s="470"/>
      <c r="N84" s="473"/>
      <c r="O84" s="474"/>
    </row>
    <row r="85" spans="1:15" s="399" customFormat="1" ht="13.5" customHeight="1">
      <c r="A85" s="390"/>
      <c r="B85" s="391" t="s">
        <v>662</v>
      </c>
      <c r="C85" s="392">
        <v>3704077</v>
      </c>
      <c r="D85" s="393">
        <f t="shared" si="12"/>
        <v>3966560</v>
      </c>
      <c r="E85" s="394">
        <f t="shared" si="12"/>
        <v>2238983</v>
      </c>
      <c r="F85" s="395">
        <f>E85/C85*100</f>
        <v>60.44644860244536</v>
      </c>
      <c r="G85" s="396">
        <f>E85/D85*100</f>
        <v>56.44646746803276</v>
      </c>
      <c r="H85" s="397">
        <v>3966560</v>
      </c>
      <c r="I85" s="392">
        <v>2238983</v>
      </c>
      <c r="J85" s="421"/>
      <c r="K85" s="392"/>
      <c r="L85" s="421"/>
      <c r="M85" s="392"/>
      <c r="N85" s="421"/>
      <c r="O85" s="398"/>
    </row>
    <row r="86" spans="1:15" s="399" customFormat="1" ht="10.5" customHeight="1" hidden="1">
      <c r="A86" s="390"/>
      <c r="B86" s="476" t="s">
        <v>674</v>
      </c>
      <c r="C86" s="392">
        <v>66119</v>
      </c>
      <c r="D86" s="393">
        <f t="shared" si="12"/>
        <v>0</v>
      </c>
      <c r="E86" s="394">
        <f t="shared" si="12"/>
        <v>0</v>
      </c>
      <c r="F86" s="395">
        <f>E86/C86*100</f>
        <v>0</v>
      </c>
      <c r="G86" s="396" t="e">
        <f>E86/D86*100</f>
        <v>#DIV/0!</v>
      </c>
      <c r="H86" s="397"/>
      <c r="I86" s="392"/>
      <c r="J86" s="397"/>
      <c r="K86" s="392"/>
      <c r="L86" s="397"/>
      <c r="M86" s="392"/>
      <c r="N86" s="421"/>
      <c r="O86" s="398"/>
    </row>
    <row r="87" spans="1:15" s="399" customFormat="1" ht="19.5" customHeight="1" thickBot="1">
      <c r="A87" s="465"/>
      <c r="B87" s="391" t="s">
        <v>667</v>
      </c>
      <c r="C87" s="392">
        <v>200000</v>
      </c>
      <c r="D87" s="393">
        <f t="shared" si="12"/>
        <v>6600000</v>
      </c>
      <c r="E87" s="394">
        <f t="shared" si="12"/>
        <v>2176614</v>
      </c>
      <c r="F87" s="395">
        <f>E87/C87*100</f>
        <v>1088.307</v>
      </c>
      <c r="G87" s="396">
        <f>E87/D87*100</f>
        <v>32.979</v>
      </c>
      <c r="H87" s="397">
        <v>6600000</v>
      </c>
      <c r="I87" s="392">
        <v>2176614</v>
      </c>
      <c r="J87" s="397"/>
      <c r="K87" s="392"/>
      <c r="L87" s="397"/>
      <c r="M87" s="392"/>
      <c r="N87" s="421"/>
      <c r="O87" s="398"/>
    </row>
    <row r="88" spans="1:15" s="196" customFormat="1" ht="15">
      <c r="A88" s="477"/>
      <c r="B88" s="478" t="s">
        <v>582</v>
      </c>
      <c r="C88" s="479">
        <f>C7+C10+C12+C14+C18+C20+C25+C30+C35+C39+C45+C48+C50+C55+C57+C60+C68+C72+C77+C82+C84</f>
        <v>217333443</v>
      </c>
      <c r="D88" s="480">
        <f t="shared" si="12"/>
        <v>292002592</v>
      </c>
      <c r="E88" s="481">
        <f t="shared" si="12"/>
        <v>116354632</v>
      </c>
      <c r="F88" s="482">
        <f aca="true" t="shared" si="16" ref="F88:F93">E88/C88*100</f>
        <v>53.53738034693538</v>
      </c>
      <c r="G88" s="483">
        <f aca="true" t="shared" si="17" ref="G88:G93">E88/D88*100</f>
        <v>39.84712300088076</v>
      </c>
      <c r="H88" s="484">
        <f>H7+H10+H12+H14+H18+H20+H25+H30+H35+H39+H45+H48+H50+H55+H57+H60+H68+H72+H77+H82+H84+H43+H65</f>
        <v>159591374</v>
      </c>
      <c r="I88" s="485">
        <f>I7+I10+I12+I14+I18+I20+I25+I30+I35+I39+I45+I48+I50+I55+I57+I60+I68+I72+I77+I82+I84+I43+I65</f>
        <v>67138717</v>
      </c>
      <c r="J88" s="486">
        <f>J7+J10+J12+J14+J18+J20+J25+J30+J35+J39+J45+J48+J50+J55+J57+J60+J68+J72+J77+J82+J84+J65</f>
        <v>105803522</v>
      </c>
      <c r="K88" s="479">
        <f>K7+K10+K12+K14+K18+K20+K25+K30+K35+K39+K45+K48+K50+K55+K57+K60+K68+K72+K77+K82+K84+K65</f>
        <v>36165965</v>
      </c>
      <c r="L88" s="487">
        <f>L7+L10+L12+L14+L18+L20+L25+L30+L35+L39+L45+L48+L50+L55+L57+L60+L68+L72+L77+L82+L84+L65</f>
        <v>20907996</v>
      </c>
      <c r="M88" s="479">
        <f>M7+M10+M12+M14+M18+M20+M25+M30+M35+M39+M45+M48+M50+M55+M57+M60+M68+M72+M77+M82+M84+M65</f>
        <v>10223182</v>
      </c>
      <c r="N88" s="488">
        <f>N7+N10+N12+N14+N18+N20+N25+N30+N35+N39+N45+N48+N50+N55+N57+N60+N68+N72+N77+N82+N84+N65+N37</f>
        <v>5699700</v>
      </c>
      <c r="O88" s="489">
        <f>O7+O10+O12+O14+O18+O20+O25+O30+O35+O39+O45+O48+O50+O55+O57+O60+O68+O72+O77+O82+O84+O65+O37</f>
        <v>2826768</v>
      </c>
    </row>
    <row r="89" spans="1:15" s="498" customFormat="1" ht="12.75">
      <c r="A89" s="490"/>
      <c r="B89" s="491" t="s">
        <v>662</v>
      </c>
      <c r="C89" s="492">
        <f>C8+C11+C13+C15+C19+C21+C26+C31+C36+C40+C46+C49+C51+C56+C58+C61+C69+C73+C78+C85+C83</f>
        <v>200426471</v>
      </c>
      <c r="D89" s="493">
        <f>H89+L89+N89+J89</f>
        <v>229452567</v>
      </c>
      <c r="E89" s="493">
        <f>I89+M89+O89+K89</f>
        <v>110748880</v>
      </c>
      <c r="F89" s="494">
        <f t="shared" si="16"/>
        <v>55.25661328437999</v>
      </c>
      <c r="G89" s="151">
        <f t="shared" si="17"/>
        <v>48.26656831431308</v>
      </c>
      <c r="H89" s="495">
        <f>H8+H11+H13+H15+H19+H21+H26+H31+H36+H40+H46+H49+H51+H56+H58+H61+H69+H73+H78+H85+H44+H66</f>
        <v>133096970</v>
      </c>
      <c r="I89" s="496">
        <f>I8+I11+I13+I15+I19+I21+I26+I31+I36+I40+I46+I49+I51+I56+I58+I61+I69+I73+I78+I85+I44+I66</f>
        <v>63501299</v>
      </c>
      <c r="J89" s="497">
        <f>J8+J11+J13+J15+J19+J21+J26+J31+J36+J40+J46+J49+J51+J56+J58+J61+J69+J73+J78+J85+J66</f>
        <v>69847901</v>
      </c>
      <c r="K89" s="492">
        <f>K8+K11+K13+K15+K19+K21+K26+K31+K36+K40+K46+K49+K51+K56+K58+K61+K69+K73+K78+K85+K66</f>
        <v>34197631</v>
      </c>
      <c r="L89" s="495">
        <f>L8+L11+L13+L15+L19+L21+L26+L31+L36+L40+L46+L49+L51+L56+L58+L61+L69+L73+L78+L85</f>
        <v>20907996</v>
      </c>
      <c r="M89" s="439">
        <f>M8+M11+M13+M15+M19+M21+M26+M31+M36+M40+M46+M49+M51+M56+M58+M61+M69+M73+M78+M83+M85</f>
        <v>10223182</v>
      </c>
      <c r="N89" s="435">
        <f>N8+N11+N13+N15+N19+N21+N26+N31+N36+N40+N46+N49+N51+N56+N58+N61+N69+N73+N78+N83+N85+N66+N38</f>
        <v>5599700</v>
      </c>
      <c r="O89" s="423">
        <f>O8+O11+O13+O15+O19+O21+O26+O31+O36+O40+O46+O49+O51+O56+O58+O61+O69+O73+O78+O83+O85+O66+O38</f>
        <v>2826768</v>
      </c>
    </row>
    <row r="90" spans="1:15" s="510" customFormat="1" ht="25.5">
      <c r="A90" s="499"/>
      <c r="B90" s="500" t="s">
        <v>675</v>
      </c>
      <c r="C90" s="501">
        <f>C27+C32+C79+C62</f>
        <v>100103</v>
      </c>
      <c r="D90" s="502">
        <f t="shared" si="12"/>
        <v>390100</v>
      </c>
      <c r="E90" s="502">
        <f t="shared" si="12"/>
        <v>25283</v>
      </c>
      <c r="F90" s="503">
        <f t="shared" si="16"/>
        <v>25.25698530513571</v>
      </c>
      <c r="G90" s="151">
        <f t="shared" si="17"/>
        <v>6.48115867726224</v>
      </c>
      <c r="H90" s="504">
        <f>H27+H32+H52+H62+H79</f>
        <v>31600</v>
      </c>
      <c r="I90" s="505">
        <f>I27+I32+I52+I62+I79</f>
        <v>16797</v>
      </c>
      <c r="J90" s="506">
        <f>J27+J32+J52+J62+J79</f>
        <v>358500</v>
      </c>
      <c r="K90" s="501">
        <f>K27+K32+K52+K62+K79</f>
        <v>8486</v>
      </c>
      <c r="L90" s="507"/>
      <c r="M90" s="501"/>
      <c r="N90" s="508"/>
      <c r="O90" s="509"/>
    </row>
    <row r="91" spans="1:15" s="517" customFormat="1" ht="12.75">
      <c r="A91" s="490"/>
      <c r="B91" s="511" t="s">
        <v>668</v>
      </c>
      <c r="C91" s="439">
        <f>C9+C16+C22+C28+C33+C41+C63+C80+C86</f>
        <v>1356406</v>
      </c>
      <c r="D91" s="493">
        <f t="shared" si="12"/>
        <v>4576563</v>
      </c>
      <c r="E91" s="436">
        <f>I91+M91+O91+K91</f>
        <v>309618</v>
      </c>
      <c r="F91" s="468">
        <f t="shared" si="16"/>
        <v>22.8263514021613</v>
      </c>
      <c r="G91" s="151">
        <f t="shared" si="17"/>
        <v>6.765295266338517</v>
      </c>
      <c r="H91" s="512">
        <f>H9+H16+H22+H33+H41+H63+H70+H80+H53+H67+H74</f>
        <v>3810772</v>
      </c>
      <c r="I91" s="513">
        <f>I9+I16+I22+I33+I41+I63+I70+I80+I53+I67+I74</f>
        <v>249814</v>
      </c>
      <c r="J91" s="514">
        <f>J9+J16+J22+J33+J41+J63+J80+J70+J53+J67+J74</f>
        <v>765791</v>
      </c>
      <c r="K91" s="515">
        <f>K9+K16+K22+K33+K41+K63+K80+K70+K53+K67+K74</f>
        <v>59804</v>
      </c>
      <c r="L91" s="512">
        <f>L9+L16+L22+L33+L41+L63+L70+L80+L53+L67+L74</f>
        <v>0</v>
      </c>
      <c r="M91" s="439">
        <f>M9+M16+M22+M33+M41+M63+M70+M80+M53+M67+M74</f>
        <v>0</v>
      </c>
      <c r="N91" s="495">
        <f>N9+N16+N22+N33+N41+N63+N70+N80+N53+N67+N74</f>
        <v>0</v>
      </c>
      <c r="O91" s="516">
        <f>O9+O16+O22+O33+O41+O63+O70+O80+O53+O67+O74</f>
        <v>0</v>
      </c>
    </row>
    <row r="92" spans="1:15" s="517" customFormat="1" ht="12.75">
      <c r="A92" s="490"/>
      <c r="B92" s="511" t="s">
        <v>667</v>
      </c>
      <c r="C92" s="439">
        <f>C17+C23+C34+C42+C54+C59+C71+C75+C81+C87+C64</f>
        <v>14590566</v>
      </c>
      <c r="D92" s="493">
        <f>H92+L92+N92+J92</f>
        <v>54613462</v>
      </c>
      <c r="E92" s="436">
        <f>I92+M92+O92+K92</f>
        <v>5296134</v>
      </c>
      <c r="F92" s="468">
        <f t="shared" si="16"/>
        <v>36.29834510875041</v>
      </c>
      <c r="G92" s="151">
        <f t="shared" si="17"/>
        <v>9.697488139462758</v>
      </c>
      <c r="H92" s="512">
        <f aca="true" t="shared" si="18" ref="H92:O92">H17+H23+H34+H42+H54+H59+H71+H75+H81+H87+H64</f>
        <v>19323632</v>
      </c>
      <c r="I92" s="513">
        <f t="shared" si="18"/>
        <v>3387604</v>
      </c>
      <c r="J92" s="497">
        <f t="shared" si="18"/>
        <v>35189830</v>
      </c>
      <c r="K92" s="492">
        <f t="shared" si="18"/>
        <v>1908530</v>
      </c>
      <c r="L92" s="497">
        <f t="shared" si="18"/>
        <v>0</v>
      </c>
      <c r="M92" s="492">
        <f t="shared" si="18"/>
        <v>0</v>
      </c>
      <c r="N92" s="497">
        <f t="shared" si="18"/>
        <v>100000</v>
      </c>
      <c r="O92" s="423">
        <f t="shared" si="18"/>
        <v>0</v>
      </c>
    </row>
    <row r="93" spans="1:15" s="529" customFormat="1" ht="13.5" thickBot="1">
      <c r="A93" s="518"/>
      <c r="B93" s="519" t="s">
        <v>674</v>
      </c>
      <c r="C93" s="520">
        <f>C24+C76+C29</f>
        <v>960000</v>
      </c>
      <c r="D93" s="521">
        <f>H93+L93+N93+J93</f>
        <v>3360000</v>
      </c>
      <c r="E93" s="522">
        <f>I93+M93+O93+K93</f>
        <v>0</v>
      </c>
      <c r="F93" s="523">
        <f t="shared" si="16"/>
        <v>0</v>
      </c>
      <c r="G93" s="524">
        <f t="shared" si="17"/>
        <v>0</v>
      </c>
      <c r="H93" s="525">
        <f>H24+H76+H29+H86</f>
        <v>3360000</v>
      </c>
      <c r="I93" s="526">
        <f>I24+I76+I29+I86</f>
        <v>0</v>
      </c>
      <c r="J93" s="527"/>
      <c r="K93" s="520"/>
      <c r="L93" s="525"/>
      <c r="M93" s="520"/>
      <c r="N93" s="525"/>
      <c r="O93" s="528"/>
    </row>
    <row r="94" ht="16.5" thickTop="1">
      <c r="O94" s="534"/>
    </row>
    <row r="95" ht="15.75">
      <c r="O95" s="342"/>
    </row>
  </sheetData>
  <printOptions horizontalCentered="1"/>
  <pageMargins left="0" right="0" top="0.7874015748031497" bottom="0.5905511811023623" header="0.5118110236220472" footer="0.5118110236220472"/>
  <pageSetup firstPageNumber="27" useFirstPageNumber="1" horizontalDpi="600" verticalDpi="600" orientation="landscape" paperSize="9" scale="90" r:id="rId1"/>
  <headerFooter alignWithMargins="0">
    <oddHeader>&amp;C 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IV16384"/>
    </sheetView>
  </sheetViews>
  <sheetFormatPr defaultColWidth="9.00390625" defaultRowHeight="12.75"/>
  <cols>
    <col min="1" max="1" width="5.875" style="681" customWidth="1"/>
    <col min="2" max="2" width="30.625" style="682" customWidth="1"/>
    <col min="3" max="4" width="11.625" style="683" customWidth="1"/>
    <col min="5" max="5" width="7.625" style="683" customWidth="1"/>
    <col min="6" max="7" width="11.125" style="683" customWidth="1"/>
    <col min="8" max="8" width="6.875" style="749" customWidth="1"/>
    <col min="9" max="16384" width="9.125" style="683" customWidth="1"/>
  </cols>
  <sheetData>
    <row r="1" spans="7:8" ht="15.75">
      <c r="G1" s="684" t="s">
        <v>729</v>
      </c>
      <c r="H1" s="684"/>
    </row>
    <row r="2" spans="1:8" ht="67.5" customHeight="1">
      <c r="A2" s="685" t="s">
        <v>730</v>
      </c>
      <c r="B2" s="686"/>
      <c r="C2" s="686"/>
      <c r="D2" s="686"/>
      <c r="E2" s="686"/>
      <c r="F2" s="686"/>
      <c r="G2" s="686"/>
      <c r="H2" s="686"/>
    </row>
    <row r="3" spans="7:8" ht="23.25" customHeight="1" thickBot="1">
      <c r="G3" s="681" t="s">
        <v>541</v>
      </c>
      <c r="H3" s="687"/>
    </row>
    <row r="4" spans="1:8" ht="21" customHeight="1" thickTop="1">
      <c r="A4" s="688"/>
      <c r="B4" s="689"/>
      <c r="C4" s="690" t="s">
        <v>731</v>
      </c>
      <c r="D4" s="690"/>
      <c r="E4" s="691"/>
      <c r="F4" s="692" t="s">
        <v>732</v>
      </c>
      <c r="G4" s="693"/>
      <c r="H4" s="694"/>
    </row>
    <row r="5" spans="1:8" ht="43.5">
      <c r="A5" s="695" t="s">
        <v>733</v>
      </c>
      <c r="B5" s="696" t="s">
        <v>586</v>
      </c>
      <c r="C5" s="697" t="s">
        <v>655</v>
      </c>
      <c r="D5" s="697" t="s">
        <v>734</v>
      </c>
      <c r="E5" s="698" t="s">
        <v>735</v>
      </c>
      <c r="F5" s="697" t="s">
        <v>655</v>
      </c>
      <c r="G5" s="697" t="s">
        <v>734</v>
      </c>
      <c r="H5" s="698" t="s">
        <v>736</v>
      </c>
    </row>
    <row r="6" spans="1:8" s="704" customFormat="1" ht="12" thickBot="1">
      <c r="A6" s="699">
        <v>1</v>
      </c>
      <c r="B6" s="700">
        <v>2</v>
      </c>
      <c r="C6" s="701">
        <v>3</v>
      </c>
      <c r="D6" s="701">
        <v>4</v>
      </c>
      <c r="E6" s="702">
        <v>5</v>
      </c>
      <c r="F6" s="703">
        <v>6</v>
      </c>
      <c r="G6" s="701">
        <v>7</v>
      </c>
      <c r="H6" s="702">
        <v>8</v>
      </c>
    </row>
    <row r="7" spans="1:8" s="709" customFormat="1" ht="21.75" customHeight="1" thickBot="1" thickTop="1">
      <c r="A7" s="705" t="s">
        <v>612</v>
      </c>
      <c r="B7" s="706" t="s">
        <v>613</v>
      </c>
      <c r="C7" s="707">
        <f>SUM(C8)</f>
        <v>715400</v>
      </c>
      <c r="D7" s="707">
        <f>SUM(D8)</f>
        <v>357700</v>
      </c>
      <c r="E7" s="708">
        <f aca="true" t="shared" si="0" ref="E7:E28">D7/C7*100</f>
        <v>50</v>
      </c>
      <c r="F7" s="707">
        <f>SUM(F8)</f>
        <v>715400</v>
      </c>
      <c r="G7" s="707">
        <f>SUM(G8)</f>
        <v>357700</v>
      </c>
      <c r="H7" s="708">
        <f aca="true" t="shared" si="1" ref="H7:H28">G7/F7*100</f>
        <v>50</v>
      </c>
    </row>
    <row r="8" spans="1:8" s="714" customFormat="1" ht="21.75" customHeight="1" thickTop="1">
      <c r="A8" s="710" t="s">
        <v>737</v>
      </c>
      <c r="B8" s="711" t="s">
        <v>738</v>
      </c>
      <c r="C8" s="712">
        <f>SUM(C9:C9)</f>
        <v>715400</v>
      </c>
      <c r="D8" s="712">
        <f>SUM(D9:D9)</f>
        <v>357700</v>
      </c>
      <c r="E8" s="713">
        <f t="shared" si="0"/>
        <v>50</v>
      </c>
      <c r="F8" s="712">
        <f>SUM(F9:F9)</f>
        <v>715400</v>
      </c>
      <c r="G8" s="712">
        <f>SUM(G9:G9)</f>
        <v>357700</v>
      </c>
      <c r="H8" s="713">
        <f t="shared" si="1"/>
        <v>50</v>
      </c>
    </row>
    <row r="9" spans="1:8" s="719" customFormat="1" ht="61.5" customHeight="1" thickBot="1">
      <c r="A9" s="715"/>
      <c r="B9" s="716" t="s">
        <v>739</v>
      </c>
      <c r="C9" s="717">
        <v>715400</v>
      </c>
      <c r="D9" s="717">
        <v>357700</v>
      </c>
      <c r="E9" s="718">
        <f t="shared" si="0"/>
        <v>50</v>
      </c>
      <c r="F9" s="717">
        <v>715400</v>
      </c>
      <c r="G9" s="717">
        <v>357700</v>
      </c>
      <c r="H9" s="718">
        <f t="shared" si="1"/>
        <v>50</v>
      </c>
    </row>
    <row r="10" spans="1:8" s="709" customFormat="1" ht="78" customHeight="1" thickBot="1" thickTop="1">
      <c r="A10" s="705" t="s">
        <v>614</v>
      </c>
      <c r="B10" s="706" t="s">
        <v>615</v>
      </c>
      <c r="C10" s="707">
        <f>C11</f>
        <v>17596</v>
      </c>
      <c r="D10" s="707">
        <f>D11</f>
        <v>8796</v>
      </c>
      <c r="E10" s="708">
        <f t="shared" si="0"/>
        <v>49.98863378040464</v>
      </c>
      <c r="F10" s="707">
        <f>F11</f>
        <v>17596</v>
      </c>
      <c r="G10" s="707">
        <f>G11</f>
        <v>4208</v>
      </c>
      <c r="H10" s="708">
        <f t="shared" si="1"/>
        <v>23.914526028642875</v>
      </c>
    </row>
    <row r="11" spans="1:8" s="714" customFormat="1" ht="29.25" customHeight="1" thickTop="1">
      <c r="A11" s="710" t="s">
        <v>740</v>
      </c>
      <c r="B11" s="711" t="s">
        <v>741</v>
      </c>
      <c r="C11" s="712">
        <f>SUM(C12)</f>
        <v>17596</v>
      </c>
      <c r="D11" s="712">
        <f>SUM(D12)</f>
        <v>8796</v>
      </c>
      <c r="E11" s="713">
        <f t="shared" si="0"/>
        <v>49.98863378040464</v>
      </c>
      <c r="F11" s="712">
        <f>SUM(F12)</f>
        <v>17596</v>
      </c>
      <c r="G11" s="712">
        <f>SUM(G12)</f>
        <v>4208</v>
      </c>
      <c r="H11" s="713">
        <f t="shared" si="1"/>
        <v>23.914526028642875</v>
      </c>
    </row>
    <row r="12" spans="1:8" s="720" customFormat="1" ht="46.5" customHeight="1" thickBot="1">
      <c r="A12" s="715"/>
      <c r="B12" s="716" t="s">
        <v>742</v>
      </c>
      <c r="C12" s="717">
        <v>17596</v>
      </c>
      <c r="D12" s="717">
        <v>8796</v>
      </c>
      <c r="E12" s="718">
        <f t="shared" si="0"/>
        <v>49.98863378040464</v>
      </c>
      <c r="F12" s="717">
        <v>17596</v>
      </c>
      <c r="G12" s="717">
        <v>4208</v>
      </c>
      <c r="H12" s="718">
        <f t="shared" si="1"/>
        <v>23.914526028642875</v>
      </c>
    </row>
    <row r="13" spans="1:8" s="709" customFormat="1" ht="33" customHeight="1" thickBot="1" thickTop="1">
      <c r="A13" s="705" t="s">
        <v>618</v>
      </c>
      <c r="B13" s="706" t="s">
        <v>619</v>
      </c>
      <c r="C13" s="707">
        <f>SUM(C14:C14)</f>
        <v>6000</v>
      </c>
      <c r="D13" s="707">
        <f aca="true" t="shared" si="2" ref="D13:G14">SUM(D14:D14)</f>
        <v>3000</v>
      </c>
      <c r="E13" s="708">
        <f t="shared" si="0"/>
        <v>50</v>
      </c>
      <c r="F13" s="707">
        <f t="shared" si="2"/>
        <v>6000</v>
      </c>
      <c r="G13" s="707">
        <f t="shared" si="2"/>
        <v>0</v>
      </c>
      <c r="H13" s="708">
        <f t="shared" si="1"/>
        <v>0</v>
      </c>
    </row>
    <row r="14" spans="1:8" s="709" customFormat="1" ht="17.25" customHeight="1" thickTop="1">
      <c r="A14" s="710" t="s">
        <v>743</v>
      </c>
      <c r="B14" s="711" t="s">
        <v>744</v>
      </c>
      <c r="C14" s="712">
        <f>SUM(C15:C15)</f>
        <v>6000</v>
      </c>
      <c r="D14" s="712">
        <f t="shared" si="2"/>
        <v>3000</v>
      </c>
      <c r="E14" s="713">
        <f t="shared" si="0"/>
        <v>50</v>
      </c>
      <c r="F14" s="712">
        <f t="shared" si="2"/>
        <v>6000</v>
      </c>
      <c r="G14" s="712">
        <f t="shared" si="2"/>
        <v>0</v>
      </c>
      <c r="H14" s="713">
        <f t="shared" si="1"/>
        <v>0</v>
      </c>
    </row>
    <row r="15" spans="1:8" s="720" customFormat="1" ht="42" customHeight="1" thickBot="1">
      <c r="A15" s="721"/>
      <c r="B15" s="722" t="s">
        <v>745</v>
      </c>
      <c r="C15" s="723">
        <v>6000</v>
      </c>
      <c r="D15" s="723">
        <v>3000</v>
      </c>
      <c r="E15" s="724">
        <f t="shared" si="0"/>
        <v>50</v>
      </c>
      <c r="F15" s="723">
        <v>6000</v>
      </c>
      <c r="G15" s="723">
        <v>0</v>
      </c>
      <c r="H15" s="724">
        <f t="shared" si="1"/>
        <v>0</v>
      </c>
    </row>
    <row r="16" spans="1:8" s="709" customFormat="1" ht="18.75" customHeight="1" thickBot="1" thickTop="1">
      <c r="A16" s="705" t="s">
        <v>632</v>
      </c>
      <c r="B16" s="706" t="s">
        <v>633</v>
      </c>
      <c r="C16" s="707">
        <f>C17+C23+C21+C19</f>
        <v>20166000</v>
      </c>
      <c r="D16" s="707">
        <f>D17+D23+D21+D19</f>
        <v>10468471</v>
      </c>
      <c r="E16" s="708">
        <f t="shared" si="0"/>
        <v>51.911489636021024</v>
      </c>
      <c r="F16" s="707">
        <f>F17+F23+F21+F19</f>
        <v>20166000</v>
      </c>
      <c r="G16" s="707">
        <f>G17+G23+G21+G19</f>
        <v>9861274</v>
      </c>
      <c r="H16" s="708">
        <f t="shared" si="1"/>
        <v>48.90049588416146</v>
      </c>
    </row>
    <row r="17" spans="1:8" s="725" customFormat="1" ht="20.25" customHeight="1" thickTop="1">
      <c r="A17" s="710" t="s">
        <v>746</v>
      </c>
      <c r="B17" s="711" t="s">
        <v>747</v>
      </c>
      <c r="C17" s="712">
        <f>C18</f>
        <v>450000</v>
      </c>
      <c r="D17" s="712">
        <f>SUM(D18:D18)</f>
        <v>225000</v>
      </c>
      <c r="E17" s="713">
        <f t="shared" si="0"/>
        <v>50</v>
      </c>
      <c r="F17" s="712">
        <f>F18</f>
        <v>450000</v>
      </c>
      <c r="G17" s="712">
        <f>G18</f>
        <v>209390</v>
      </c>
      <c r="H17" s="713">
        <f t="shared" si="1"/>
        <v>46.53111111111111</v>
      </c>
    </row>
    <row r="18" spans="1:8" s="719" customFormat="1" ht="51">
      <c r="A18" s="715"/>
      <c r="B18" s="716" t="s">
        <v>748</v>
      </c>
      <c r="C18" s="717">
        <v>450000</v>
      </c>
      <c r="D18" s="717">
        <v>225000</v>
      </c>
      <c r="E18" s="718">
        <f t="shared" si="0"/>
        <v>50</v>
      </c>
      <c r="F18" s="717">
        <v>450000</v>
      </c>
      <c r="G18" s="717">
        <v>209390</v>
      </c>
      <c r="H18" s="718">
        <f t="shared" si="1"/>
        <v>46.53111111111111</v>
      </c>
    </row>
    <row r="19" spans="1:8" s="730" customFormat="1" ht="44.25" customHeight="1">
      <c r="A19" s="726" t="s">
        <v>749</v>
      </c>
      <c r="B19" s="727" t="s">
        <v>750</v>
      </c>
      <c r="C19" s="728">
        <f>C20</f>
        <v>18427000</v>
      </c>
      <c r="D19" s="728">
        <f>D20</f>
        <v>9492898</v>
      </c>
      <c r="E19" s="729">
        <f t="shared" si="0"/>
        <v>51.51624247028816</v>
      </c>
      <c r="F19" s="728">
        <f>F20</f>
        <v>18427000</v>
      </c>
      <c r="G19" s="728">
        <f>G20</f>
        <v>8916552</v>
      </c>
      <c r="H19" s="729">
        <f t="shared" si="1"/>
        <v>48.38851685027406</v>
      </c>
    </row>
    <row r="20" spans="1:8" s="719" customFormat="1" ht="48" customHeight="1">
      <c r="A20" s="731"/>
      <c r="B20" s="732" t="s">
        <v>751</v>
      </c>
      <c r="C20" s="733">
        <v>18427000</v>
      </c>
      <c r="D20" s="733">
        <v>9492898</v>
      </c>
      <c r="E20" s="734">
        <f t="shared" si="0"/>
        <v>51.51624247028816</v>
      </c>
      <c r="F20" s="733">
        <v>18427000</v>
      </c>
      <c r="G20" s="733">
        <v>8916552</v>
      </c>
      <c r="H20" s="734">
        <f t="shared" si="1"/>
        <v>48.38851685027406</v>
      </c>
    </row>
    <row r="21" spans="1:8" s="725" customFormat="1" ht="60" customHeight="1">
      <c r="A21" s="735">
        <v>85213</v>
      </c>
      <c r="B21" s="736" t="s">
        <v>752</v>
      </c>
      <c r="C21" s="728">
        <f>C22</f>
        <v>197000</v>
      </c>
      <c r="D21" s="728">
        <f>SUM(D22)</f>
        <v>98500</v>
      </c>
      <c r="E21" s="729">
        <f>D21/C21*100</f>
        <v>50</v>
      </c>
      <c r="F21" s="728">
        <f>F22</f>
        <v>197000</v>
      </c>
      <c r="G21" s="728">
        <f>G22</f>
        <v>85617</v>
      </c>
      <c r="H21" s="729">
        <f>G21/F21*100</f>
        <v>43.46040609137056</v>
      </c>
    </row>
    <row r="22" spans="1:8" s="719" customFormat="1" ht="76.5">
      <c r="A22" s="735"/>
      <c r="B22" s="737" t="s">
        <v>753</v>
      </c>
      <c r="C22" s="717">
        <v>197000</v>
      </c>
      <c r="D22" s="717">
        <v>98500</v>
      </c>
      <c r="E22" s="718">
        <f t="shared" si="0"/>
        <v>50</v>
      </c>
      <c r="F22" s="717">
        <v>197000</v>
      </c>
      <c r="G22" s="717">
        <v>85617</v>
      </c>
      <c r="H22" s="718">
        <f t="shared" si="1"/>
        <v>43.46040609137056</v>
      </c>
    </row>
    <row r="23" spans="1:8" s="725" customFormat="1" ht="40.5" customHeight="1">
      <c r="A23" s="726" t="s">
        <v>754</v>
      </c>
      <c r="B23" s="727" t="s">
        <v>755</v>
      </c>
      <c r="C23" s="728">
        <f>SUM(C24:C24)</f>
        <v>1092000</v>
      </c>
      <c r="D23" s="728">
        <f>SUM(D24:D24)</f>
        <v>652073</v>
      </c>
      <c r="E23" s="729">
        <f t="shared" si="0"/>
        <v>59.713644688644685</v>
      </c>
      <c r="F23" s="728">
        <f>SUM(F24:F24)</f>
        <v>1092000</v>
      </c>
      <c r="G23" s="728">
        <f>SUM(G24:G24)</f>
        <v>649715</v>
      </c>
      <c r="H23" s="729">
        <f t="shared" si="1"/>
        <v>59.49771062271062</v>
      </c>
    </row>
    <row r="24" spans="1:8" s="719" customFormat="1" ht="42" customHeight="1" thickBot="1">
      <c r="A24" s="731"/>
      <c r="B24" s="732" t="s">
        <v>756</v>
      </c>
      <c r="C24" s="733">
        <v>1092000</v>
      </c>
      <c r="D24" s="733">
        <v>652073</v>
      </c>
      <c r="E24" s="734">
        <f t="shared" si="0"/>
        <v>59.713644688644685</v>
      </c>
      <c r="F24" s="733">
        <v>1092000</v>
      </c>
      <c r="G24" s="733">
        <v>649715</v>
      </c>
      <c r="H24" s="734">
        <f t="shared" si="1"/>
        <v>59.49771062271062</v>
      </c>
    </row>
    <row r="25" spans="1:8" s="709" customFormat="1" ht="32.25" customHeight="1" thickBot="1" thickTop="1">
      <c r="A25" s="705" t="s">
        <v>640</v>
      </c>
      <c r="B25" s="706" t="s">
        <v>641</v>
      </c>
      <c r="C25" s="707">
        <f>C26</f>
        <v>3000</v>
      </c>
      <c r="D25" s="707">
        <f>D26</f>
        <v>3000</v>
      </c>
      <c r="E25" s="708"/>
      <c r="F25" s="707">
        <f>F26</f>
        <v>3000</v>
      </c>
      <c r="G25" s="707">
        <f>G26</f>
        <v>0</v>
      </c>
      <c r="H25" s="708"/>
    </row>
    <row r="26" spans="1:8" s="725" customFormat="1" ht="26.25" thickTop="1">
      <c r="A26" s="710" t="s">
        <v>757</v>
      </c>
      <c r="B26" s="711" t="s">
        <v>758</v>
      </c>
      <c r="C26" s="712">
        <f>C27</f>
        <v>3000</v>
      </c>
      <c r="D26" s="712">
        <f>D27</f>
        <v>3000</v>
      </c>
      <c r="E26" s="713"/>
      <c r="F26" s="712">
        <f>F27</f>
        <v>3000</v>
      </c>
      <c r="G26" s="712">
        <f>G27</f>
        <v>0</v>
      </c>
      <c r="H26" s="713"/>
    </row>
    <row r="27" spans="1:8" s="719" customFormat="1" ht="26.25" thickBot="1">
      <c r="A27" s="715"/>
      <c r="B27" s="716" t="s">
        <v>759</v>
      </c>
      <c r="C27" s="717">
        <v>3000</v>
      </c>
      <c r="D27" s="717">
        <v>3000</v>
      </c>
      <c r="E27" s="718"/>
      <c r="F27" s="717">
        <v>3000</v>
      </c>
      <c r="G27" s="717">
        <v>0</v>
      </c>
      <c r="H27" s="718"/>
    </row>
    <row r="28" spans="1:8" s="742" customFormat="1" ht="24.75" customHeight="1" thickBot="1" thickTop="1">
      <c r="A28" s="738"/>
      <c r="B28" s="739" t="s">
        <v>582</v>
      </c>
      <c r="C28" s="740">
        <f>C7+C10+C13+C16+C25</f>
        <v>20907996</v>
      </c>
      <c r="D28" s="740">
        <f>D7+D10+D13+D16+D25</f>
        <v>10840967</v>
      </c>
      <c r="E28" s="741">
        <f t="shared" si="0"/>
        <v>51.85081822284642</v>
      </c>
      <c r="F28" s="740">
        <f>F7+F10+F13+F16+F25</f>
        <v>20907996</v>
      </c>
      <c r="G28" s="740">
        <f>G7+G10+G13+G16+G25</f>
        <v>10223182</v>
      </c>
      <c r="H28" s="741">
        <f t="shared" si="1"/>
        <v>48.896039582177075</v>
      </c>
    </row>
    <row r="29" spans="1:8" s="714" customFormat="1" ht="16.5" thickTop="1">
      <c r="A29" s="743"/>
      <c r="B29" s="744"/>
      <c r="C29" s="745"/>
      <c r="D29" s="745"/>
      <c r="E29" s="745"/>
      <c r="F29" s="745"/>
      <c r="G29" s="745"/>
      <c r="H29" s="746"/>
    </row>
    <row r="30" spans="1:8" s="714" customFormat="1" ht="15.75">
      <c r="A30" s="747"/>
      <c r="B30" s="744"/>
      <c r="C30" s="745"/>
      <c r="D30" s="745"/>
      <c r="E30" s="745"/>
      <c r="F30" s="745"/>
      <c r="G30" s="745"/>
      <c r="H30" s="746"/>
    </row>
    <row r="31" spans="1:8" s="714" customFormat="1" ht="15.75">
      <c r="A31" s="743"/>
      <c r="B31" s="744"/>
      <c r="C31" s="745"/>
      <c r="D31" s="745"/>
      <c r="E31" s="745"/>
      <c r="F31" s="745"/>
      <c r="G31" s="745"/>
      <c r="H31" s="746"/>
    </row>
    <row r="32" spans="1:8" s="714" customFormat="1" ht="15.75">
      <c r="A32" s="743"/>
      <c r="B32" s="744"/>
      <c r="C32" s="745"/>
      <c r="D32" s="745"/>
      <c r="E32" s="745"/>
      <c r="F32" s="745"/>
      <c r="G32" s="745"/>
      <c r="H32" s="746"/>
    </row>
    <row r="33" spans="1:8" s="714" customFormat="1" ht="15.75">
      <c r="A33" s="743"/>
      <c r="B33" s="744"/>
      <c r="C33" s="745"/>
      <c r="D33" s="745"/>
      <c r="E33" s="745"/>
      <c r="F33" s="745"/>
      <c r="G33" s="745"/>
      <c r="H33" s="746"/>
    </row>
    <row r="34" spans="1:8" s="714" customFormat="1" ht="15.75">
      <c r="A34" s="743"/>
      <c r="B34" s="744"/>
      <c r="C34" s="745"/>
      <c r="D34" s="745"/>
      <c r="E34" s="745"/>
      <c r="F34" s="745"/>
      <c r="G34" s="745"/>
      <c r="H34" s="746"/>
    </row>
    <row r="35" spans="1:8" s="714" customFormat="1" ht="15.75">
      <c r="A35" s="743"/>
      <c r="B35" s="744"/>
      <c r="H35" s="748"/>
    </row>
    <row r="36" spans="1:8" s="714" customFormat="1" ht="15.75">
      <c r="A36" s="743"/>
      <c r="B36" s="744"/>
      <c r="H36" s="748"/>
    </row>
    <row r="37" spans="1:8" s="714" customFormat="1" ht="15.75">
      <c r="A37" s="743"/>
      <c r="B37" s="744"/>
      <c r="H37" s="748"/>
    </row>
    <row r="38" spans="1:8" s="714" customFormat="1" ht="15.75">
      <c r="A38" s="743"/>
      <c r="B38" s="744"/>
      <c r="H38" s="748"/>
    </row>
    <row r="39" spans="1:8" s="714" customFormat="1" ht="15.75">
      <c r="A39" s="743"/>
      <c r="B39" s="744"/>
      <c r="H39" s="748"/>
    </row>
    <row r="40" spans="1:8" s="714" customFormat="1" ht="15.75">
      <c r="A40" s="743"/>
      <c r="B40" s="744"/>
      <c r="H40" s="748"/>
    </row>
    <row r="41" spans="1:8" s="714" customFormat="1" ht="15.75">
      <c r="A41" s="743"/>
      <c r="B41" s="744"/>
      <c r="H41" s="748"/>
    </row>
  </sheetData>
  <printOptions horizontalCentered="1"/>
  <pageMargins left="0" right="0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C9" sqref="C9"/>
    </sheetView>
  </sheetViews>
  <sheetFormatPr defaultColWidth="9.00390625" defaultRowHeight="12.75"/>
  <cols>
    <col min="1" max="1" width="6.125" style="681" customWidth="1"/>
    <col min="2" max="2" width="30.25390625" style="682" customWidth="1"/>
    <col min="3" max="3" width="10.75390625" style="683" customWidth="1"/>
    <col min="4" max="4" width="11.25390625" style="683" customWidth="1"/>
    <col min="5" max="5" width="9.625" style="683" customWidth="1"/>
    <col min="6" max="6" width="10.00390625" style="683" customWidth="1"/>
    <col min="7" max="7" width="11.25390625" style="683" customWidth="1"/>
    <col min="8" max="8" width="7.25390625" style="683" customWidth="1"/>
    <col min="9" max="16384" width="9.125" style="683" customWidth="1"/>
  </cols>
  <sheetData>
    <row r="1" spans="7:8" ht="15.75" customHeight="1">
      <c r="G1" s="684" t="s">
        <v>760</v>
      </c>
      <c r="H1" s="750"/>
    </row>
    <row r="2" spans="1:8" s="751" customFormat="1" ht="53.25" customHeight="1">
      <c r="A2" s="685" t="s">
        <v>761</v>
      </c>
      <c r="B2" s="685"/>
      <c r="C2" s="685"/>
      <c r="D2" s="685"/>
      <c r="E2" s="685"/>
      <c r="F2" s="685"/>
      <c r="G2" s="685"/>
      <c r="H2" s="685"/>
    </row>
    <row r="3" spans="1:8" s="754" customFormat="1" ht="16.5" customHeight="1" thickBot="1">
      <c r="A3" s="752"/>
      <c r="B3" s="753"/>
      <c r="G3" s="743" t="s">
        <v>541</v>
      </c>
      <c r="H3" s="755"/>
    </row>
    <row r="4" spans="1:8" ht="21.75" customHeight="1" thickTop="1">
      <c r="A4" s="688"/>
      <c r="B4" s="689"/>
      <c r="C4" s="690" t="s">
        <v>731</v>
      </c>
      <c r="D4" s="690"/>
      <c r="E4" s="691"/>
      <c r="F4" s="692" t="s">
        <v>732</v>
      </c>
      <c r="G4" s="693"/>
      <c r="H4" s="694"/>
    </row>
    <row r="5" spans="1:8" ht="46.5" customHeight="1">
      <c r="A5" s="695" t="s">
        <v>733</v>
      </c>
      <c r="B5" s="696" t="s">
        <v>586</v>
      </c>
      <c r="C5" s="697" t="s">
        <v>655</v>
      </c>
      <c r="D5" s="697" t="s">
        <v>734</v>
      </c>
      <c r="E5" s="698" t="s">
        <v>762</v>
      </c>
      <c r="F5" s="697" t="s">
        <v>655</v>
      </c>
      <c r="G5" s="697" t="s">
        <v>734</v>
      </c>
      <c r="H5" s="698" t="s">
        <v>763</v>
      </c>
    </row>
    <row r="6" spans="1:8" s="704" customFormat="1" ht="11.25" customHeight="1" thickBot="1">
      <c r="A6" s="756">
        <v>1</v>
      </c>
      <c r="B6" s="757">
        <v>2</v>
      </c>
      <c r="C6" s="758">
        <v>3</v>
      </c>
      <c r="D6" s="758">
        <v>4</v>
      </c>
      <c r="E6" s="759">
        <v>5</v>
      </c>
      <c r="F6" s="760">
        <v>6</v>
      </c>
      <c r="G6" s="758">
        <v>7</v>
      </c>
      <c r="H6" s="759">
        <v>8</v>
      </c>
    </row>
    <row r="7" spans="1:8" s="709" customFormat="1" ht="18" customHeight="1" thickBot="1" thickTop="1">
      <c r="A7" s="705" t="s">
        <v>607</v>
      </c>
      <c r="B7" s="706" t="s">
        <v>608</v>
      </c>
      <c r="C7" s="707">
        <f>SUM(C8)</f>
        <v>45000</v>
      </c>
      <c r="D7" s="707">
        <f>SUM(D8)</f>
        <v>22500</v>
      </c>
      <c r="E7" s="708">
        <f aca="true" t="shared" si="0" ref="E7:E37">D7/C7*100</f>
        <v>50</v>
      </c>
      <c r="F7" s="761">
        <f>SUM(F8)</f>
        <v>45000</v>
      </c>
      <c r="G7" s="707">
        <f>SUM(G8)</f>
        <v>6235</v>
      </c>
      <c r="H7" s="708">
        <f aca="true" t="shared" si="1" ref="H7:H37">G7/F7*100</f>
        <v>13.855555555555554</v>
      </c>
    </row>
    <row r="8" spans="1:8" s="730" customFormat="1" ht="26.25" thickTop="1">
      <c r="A8" s="710" t="s">
        <v>764</v>
      </c>
      <c r="B8" s="711" t="s">
        <v>765</v>
      </c>
      <c r="C8" s="712">
        <f>SUM(C9:C9)</f>
        <v>45000</v>
      </c>
      <c r="D8" s="712">
        <f>SUM(D9:D9)</f>
        <v>22500</v>
      </c>
      <c r="E8" s="713">
        <f t="shared" si="0"/>
        <v>50</v>
      </c>
      <c r="F8" s="762">
        <f>SUM(F9:F9)</f>
        <v>45000</v>
      </c>
      <c r="G8" s="712">
        <f>SUM(G9:G9)</f>
        <v>6235</v>
      </c>
      <c r="H8" s="713">
        <f t="shared" si="1"/>
        <v>13.855555555555554</v>
      </c>
    </row>
    <row r="9" spans="1:8" s="719" customFormat="1" ht="26.25" thickBot="1">
      <c r="A9" s="715"/>
      <c r="B9" s="716" t="s">
        <v>766</v>
      </c>
      <c r="C9" s="717">
        <v>45000</v>
      </c>
      <c r="D9" s="717">
        <v>22500</v>
      </c>
      <c r="E9" s="724"/>
      <c r="F9" s="763">
        <v>45000</v>
      </c>
      <c r="G9" s="717">
        <v>6235</v>
      </c>
      <c r="H9" s="724">
        <f t="shared" si="1"/>
        <v>13.855555555555554</v>
      </c>
    </row>
    <row r="10" spans="1:8" s="709" customFormat="1" ht="19.5" customHeight="1" thickBot="1" thickTop="1">
      <c r="A10" s="705" t="s">
        <v>609</v>
      </c>
      <c r="B10" s="706" t="s">
        <v>610</v>
      </c>
      <c r="C10" s="707">
        <f>C11+C13+C15</f>
        <v>253700</v>
      </c>
      <c r="D10" s="707">
        <f>D11+D13+D15</f>
        <v>133867</v>
      </c>
      <c r="E10" s="708">
        <f t="shared" si="0"/>
        <v>52.76586519511234</v>
      </c>
      <c r="F10" s="761">
        <f>F11+F13+F15</f>
        <v>253700</v>
      </c>
      <c r="G10" s="707">
        <f>G11+G13+G15</f>
        <v>92653</v>
      </c>
      <c r="H10" s="708">
        <f t="shared" si="1"/>
        <v>36.52069373275522</v>
      </c>
    </row>
    <row r="11" spans="1:8" s="730" customFormat="1" ht="26.25" thickTop="1">
      <c r="A11" s="710" t="s">
        <v>767</v>
      </c>
      <c r="B11" s="711" t="s">
        <v>768</v>
      </c>
      <c r="C11" s="712">
        <f>SUM(C12:C12)</f>
        <v>51000</v>
      </c>
      <c r="D11" s="712">
        <f>SUM(D12:D12)</f>
        <v>25500</v>
      </c>
      <c r="E11" s="713">
        <f t="shared" si="0"/>
        <v>50</v>
      </c>
      <c r="F11" s="762">
        <f>SUM(F12:F12)</f>
        <v>51000</v>
      </c>
      <c r="G11" s="712">
        <f>SUM(G12:G12)</f>
        <v>0</v>
      </c>
      <c r="H11" s="713">
        <f t="shared" si="1"/>
        <v>0</v>
      </c>
    </row>
    <row r="12" spans="1:8" s="719" customFormat="1" ht="25.5">
      <c r="A12" s="715"/>
      <c r="B12" s="716" t="s">
        <v>769</v>
      </c>
      <c r="C12" s="717">
        <v>51000</v>
      </c>
      <c r="D12" s="717">
        <v>25500</v>
      </c>
      <c r="E12" s="718">
        <f t="shared" si="0"/>
        <v>50</v>
      </c>
      <c r="F12" s="763">
        <v>51000</v>
      </c>
      <c r="G12" s="717">
        <v>0</v>
      </c>
      <c r="H12" s="718">
        <f t="shared" si="1"/>
        <v>0</v>
      </c>
    </row>
    <row r="13" spans="1:8" s="730" customFormat="1" ht="25.5">
      <c r="A13" s="726" t="s">
        <v>770</v>
      </c>
      <c r="B13" s="727" t="s">
        <v>771</v>
      </c>
      <c r="C13" s="728">
        <f>SUM(C14:C14)</f>
        <v>20000</v>
      </c>
      <c r="D13" s="728">
        <f>SUM(D14:D14)</f>
        <v>9996</v>
      </c>
      <c r="E13" s="729">
        <f t="shared" si="0"/>
        <v>49.980000000000004</v>
      </c>
      <c r="F13" s="764">
        <f>SUM(F14:F14)</f>
        <v>20000</v>
      </c>
      <c r="G13" s="728">
        <f>SUM(G14:G14)</f>
        <v>0</v>
      </c>
      <c r="H13" s="729">
        <f t="shared" si="1"/>
        <v>0</v>
      </c>
    </row>
    <row r="14" spans="1:8" s="719" customFormat="1" ht="12.75">
      <c r="A14" s="715"/>
      <c r="B14" s="716" t="s">
        <v>772</v>
      </c>
      <c r="C14" s="717">
        <v>20000</v>
      </c>
      <c r="D14" s="717">
        <v>9996</v>
      </c>
      <c r="E14" s="718">
        <f t="shared" si="0"/>
        <v>49.980000000000004</v>
      </c>
      <c r="F14" s="763">
        <v>20000</v>
      </c>
      <c r="G14" s="717">
        <v>0</v>
      </c>
      <c r="H14" s="718">
        <f t="shared" si="1"/>
        <v>0</v>
      </c>
    </row>
    <row r="15" spans="1:8" s="730" customFormat="1" ht="12.75">
      <c r="A15" s="726" t="s">
        <v>773</v>
      </c>
      <c r="B15" s="727" t="s">
        <v>774</v>
      </c>
      <c r="C15" s="728">
        <f>SUM(C16:C16)</f>
        <v>182700</v>
      </c>
      <c r="D15" s="728">
        <f>SUM(D16:D16)</f>
        <v>98371</v>
      </c>
      <c r="E15" s="729">
        <f t="shared" si="0"/>
        <v>53.84291187739464</v>
      </c>
      <c r="F15" s="764">
        <f>SUM(F16:F16)</f>
        <v>182700</v>
      </c>
      <c r="G15" s="728">
        <f>SUM(G16:G16)</f>
        <v>92653</v>
      </c>
      <c r="H15" s="729">
        <f t="shared" si="1"/>
        <v>50.713191023535856</v>
      </c>
    </row>
    <row r="16" spans="1:8" s="719" customFormat="1" ht="26.25" thickBot="1">
      <c r="A16" s="715"/>
      <c r="B16" s="716" t="s">
        <v>775</v>
      </c>
      <c r="C16" s="717">
        <v>182700</v>
      </c>
      <c r="D16" s="717">
        <v>98371</v>
      </c>
      <c r="E16" s="718">
        <f t="shared" si="0"/>
        <v>53.84291187739464</v>
      </c>
      <c r="F16" s="763">
        <v>182700</v>
      </c>
      <c r="G16" s="717">
        <v>92653</v>
      </c>
      <c r="H16" s="718">
        <f t="shared" si="1"/>
        <v>50.713191023535856</v>
      </c>
    </row>
    <row r="17" spans="1:8" s="709" customFormat="1" ht="18" customHeight="1" thickBot="1" thickTop="1">
      <c r="A17" s="705" t="s">
        <v>612</v>
      </c>
      <c r="B17" s="706" t="s">
        <v>613</v>
      </c>
      <c r="C17" s="707">
        <f>C18+C20</f>
        <v>265000</v>
      </c>
      <c r="D17" s="707">
        <f>D18+D20</f>
        <v>150498</v>
      </c>
      <c r="E17" s="708">
        <f t="shared" si="0"/>
        <v>56.791698113207545</v>
      </c>
      <c r="F17" s="761">
        <f>F18+F20</f>
        <v>265000</v>
      </c>
      <c r="G17" s="707">
        <f>G18+G20</f>
        <v>146064</v>
      </c>
      <c r="H17" s="708">
        <f t="shared" si="1"/>
        <v>55.118490566037735</v>
      </c>
    </row>
    <row r="18" spans="1:8" s="730" customFormat="1" ht="13.5" thickTop="1">
      <c r="A18" s="726" t="s">
        <v>737</v>
      </c>
      <c r="B18" s="727" t="s">
        <v>738</v>
      </c>
      <c r="C18" s="728">
        <f>SUM(C19:C19)</f>
        <v>229000</v>
      </c>
      <c r="D18" s="728">
        <f>SUM(D19:D19)</f>
        <v>114498</v>
      </c>
      <c r="E18" s="713">
        <f t="shared" si="0"/>
        <v>49.99912663755459</v>
      </c>
      <c r="F18" s="764">
        <f>SUM(F19:F19)</f>
        <v>229000</v>
      </c>
      <c r="G18" s="728">
        <f>SUM(G19:G19)</f>
        <v>114498</v>
      </c>
      <c r="H18" s="713">
        <f t="shared" si="1"/>
        <v>49.99912663755459</v>
      </c>
    </row>
    <row r="19" spans="1:8" s="719" customFormat="1" ht="38.25">
      <c r="A19" s="715"/>
      <c r="B19" s="716" t="s">
        <v>776</v>
      </c>
      <c r="C19" s="717">
        <v>229000</v>
      </c>
      <c r="D19" s="717">
        <v>114498</v>
      </c>
      <c r="E19" s="718">
        <f t="shared" si="0"/>
        <v>49.99912663755459</v>
      </c>
      <c r="F19" s="763">
        <v>229000</v>
      </c>
      <c r="G19" s="717">
        <v>114498</v>
      </c>
      <c r="H19" s="718">
        <f t="shared" si="1"/>
        <v>49.99912663755459</v>
      </c>
    </row>
    <row r="20" spans="1:8" s="730" customFormat="1" ht="12.75">
      <c r="A20" s="726" t="s">
        <v>777</v>
      </c>
      <c r="B20" s="727" t="s">
        <v>778</v>
      </c>
      <c r="C20" s="728">
        <f>SUM(C21:C21)</f>
        <v>36000</v>
      </c>
      <c r="D20" s="728">
        <f>SUM(D21:D21)</f>
        <v>36000</v>
      </c>
      <c r="E20" s="729">
        <f t="shared" si="0"/>
        <v>100</v>
      </c>
      <c r="F20" s="764">
        <f>SUM(F21:F21)</f>
        <v>36000</v>
      </c>
      <c r="G20" s="728">
        <f>SUM(G21:G21)</f>
        <v>31566</v>
      </c>
      <c r="H20" s="729">
        <f t="shared" si="1"/>
        <v>87.68333333333334</v>
      </c>
    </row>
    <row r="21" spans="1:8" s="719" customFormat="1" ht="26.25" thickBot="1">
      <c r="A21" s="715"/>
      <c r="B21" s="716" t="s">
        <v>779</v>
      </c>
      <c r="C21" s="717">
        <v>36000</v>
      </c>
      <c r="D21" s="717">
        <v>36000</v>
      </c>
      <c r="E21" s="724">
        <f t="shared" si="0"/>
        <v>100</v>
      </c>
      <c r="F21" s="763">
        <v>36000</v>
      </c>
      <c r="G21" s="717">
        <v>31566</v>
      </c>
      <c r="H21" s="724">
        <f t="shared" si="1"/>
        <v>87.68333333333334</v>
      </c>
    </row>
    <row r="22" spans="1:8" s="719" customFormat="1" ht="18" customHeight="1" thickBot="1" thickTop="1">
      <c r="A22" s="705" t="s">
        <v>616</v>
      </c>
      <c r="B22" s="706" t="s">
        <v>617</v>
      </c>
      <c r="C22" s="707">
        <f>C23</f>
        <v>1000</v>
      </c>
      <c r="D22" s="707">
        <f>D23</f>
        <v>1000</v>
      </c>
      <c r="E22" s="708">
        <f>D22/C22*100</f>
        <v>100</v>
      </c>
      <c r="F22" s="761">
        <f>F23</f>
        <v>1000</v>
      </c>
      <c r="G22" s="707">
        <f>G23</f>
        <v>0</v>
      </c>
      <c r="H22" s="708">
        <f>G22/F22*100</f>
        <v>0</v>
      </c>
    </row>
    <row r="23" spans="1:8" s="719" customFormat="1" ht="13.5" thickTop="1">
      <c r="A23" s="726" t="s">
        <v>780</v>
      </c>
      <c r="B23" s="727" t="s">
        <v>781</v>
      </c>
      <c r="C23" s="728">
        <f>SUM(C24:C24)</f>
        <v>1000</v>
      </c>
      <c r="D23" s="728">
        <f>SUM(D24:D24)</f>
        <v>1000</v>
      </c>
      <c r="E23" s="713">
        <f>D23/C23*100</f>
        <v>100</v>
      </c>
      <c r="F23" s="764">
        <f>SUM(F24:F24)</f>
        <v>1000</v>
      </c>
      <c r="G23" s="728">
        <f>SUM(G24:G24)</f>
        <v>0</v>
      </c>
      <c r="H23" s="713">
        <f>G23/F23*100</f>
        <v>0</v>
      </c>
    </row>
    <row r="24" spans="1:8" s="719" customFormat="1" ht="13.5" thickBot="1">
      <c r="A24" s="715"/>
      <c r="B24" s="716" t="s">
        <v>782</v>
      </c>
      <c r="C24" s="717">
        <v>1000</v>
      </c>
      <c r="D24" s="717">
        <v>1000</v>
      </c>
      <c r="E24" s="718">
        <f>D24/C24*100</f>
        <v>100</v>
      </c>
      <c r="F24" s="763">
        <v>1000</v>
      </c>
      <c r="G24" s="717">
        <v>0</v>
      </c>
      <c r="H24" s="718">
        <f>G24/F24*100</f>
        <v>0</v>
      </c>
    </row>
    <row r="25" spans="1:8" s="709" customFormat="1" ht="33" customHeight="1" thickBot="1" thickTop="1">
      <c r="A25" s="705" t="s">
        <v>618</v>
      </c>
      <c r="B25" s="706" t="s">
        <v>619</v>
      </c>
      <c r="C25" s="707">
        <f>C26</f>
        <v>5006000</v>
      </c>
      <c r="D25" s="707">
        <f>D26</f>
        <v>3004326</v>
      </c>
      <c r="E25" s="708">
        <f t="shared" si="0"/>
        <v>60.01450259688374</v>
      </c>
      <c r="F25" s="761">
        <f>F26</f>
        <v>5006000</v>
      </c>
      <c r="G25" s="707">
        <f>G26</f>
        <v>2507334</v>
      </c>
      <c r="H25" s="708">
        <f t="shared" si="1"/>
        <v>50.086576108669604</v>
      </c>
    </row>
    <row r="26" spans="1:8" s="730" customFormat="1" ht="26.25" thickTop="1">
      <c r="A26" s="726" t="s">
        <v>783</v>
      </c>
      <c r="B26" s="727" t="s">
        <v>784</v>
      </c>
      <c r="C26" s="728">
        <f>C27</f>
        <v>5006000</v>
      </c>
      <c r="D26" s="728">
        <f>SUM(D27:D27)</f>
        <v>3004326</v>
      </c>
      <c r="E26" s="729">
        <f t="shared" si="0"/>
        <v>60.01450259688374</v>
      </c>
      <c r="F26" s="764">
        <f>SUM(F27:F27)</f>
        <v>5006000</v>
      </c>
      <c r="G26" s="728">
        <f>SUM(G27:G27)</f>
        <v>2507334</v>
      </c>
      <c r="H26" s="729">
        <f t="shared" si="1"/>
        <v>50.086576108669604</v>
      </c>
    </row>
    <row r="27" spans="1:8" s="719" customFormat="1" ht="27" customHeight="1" thickBot="1">
      <c r="A27" s="715"/>
      <c r="B27" s="716" t="s">
        <v>785</v>
      </c>
      <c r="C27" s="717">
        <v>5006000</v>
      </c>
      <c r="D27" s="717">
        <v>3004326</v>
      </c>
      <c r="E27" s="718">
        <f t="shared" si="0"/>
        <v>60.01450259688374</v>
      </c>
      <c r="F27" s="763">
        <v>5006000</v>
      </c>
      <c r="G27" s="717">
        <v>2507334</v>
      </c>
      <c r="H27" s="718">
        <f t="shared" si="1"/>
        <v>50.086576108669604</v>
      </c>
    </row>
    <row r="28" spans="1:8" s="709" customFormat="1" ht="18" customHeight="1" thickBot="1" thickTop="1">
      <c r="A28" s="705" t="s">
        <v>630</v>
      </c>
      <c r="B28" s="706" t="s">
        <v>631</v>
      </c>
      <c r="C28" s="707">
        <f>C29</f>
        <v>9000</v>
      </c>
      <c r="D28" s="707">
        <f>D29</f>
        <v>4500</v>
      </c>
      <c r="E28" s="708">
        <f t="shared" si="0"/>
        <v>50</v>
      </c>
      <c r="F28" s="707">
        <f>F29</f>
        <v>9000</v>
      </c>
      <c r="G28" s="707">
        <f>G29</f>
        <v>3411</v>
      </c>
      <c r="H28" s="708">
        <f t="shared" si="1"/>
        <v>37.9</v>
      </c>
    </row>
    <row r="29" spans="1:8" s="725" customFormat="1" ht="51" customHeight="1" thickTop="1">
      <c r="A29" s="726" t="s">
        <v>786</v>
      </c>
      <c r="B29" s="727" t="s">
        <v>787</v>
      </c>
      <c r="C29" s="728">
        <f>SUM(C30:C30)</f>
        <v>9000</v>
      </c>
      <c r="D29" s="728">
        <f>SUM(D30:D30)</f>
        <v>4500</v>
      </c>
      <c r="E29" s="729">
        <f t="shared" si="0"/>
        <v>50</v>
      </c>
      <c r="F29" s="764">
        <f>F30</f>
        <v>9000</v>
      </c>
      <c r="G29" s="728">
        <f>SUM(G30:G30)</f>
        <v>3411</v>
      </c>
      <c r="H29" s="729">
        <f t="shared" si="1"/>
        <v>37.9</v>
      </c>
    </row>
    <row r="30" spans="1:8" s="719" customFormat="1" ht="25.5" customHeight="1">
      <c r="A30" s="731"/>
      <c r="B30" s="732" t="s">
        <v>788</v>
      </c>
      <c r="C30" s="733">
        <v>9000</v>
      </c>
      <c r="D30" s="733">
        <v>4500</v>
      </c>
      <c r="E30" s="734">
        <f t="shared" si="0"/>
        <v>50</v>
      </c>
      <c r="F30" s="765">
        <v>9000</v>
      </c>
      <c r="G30" s="733">
        <v>3411</v>
      </c>
      <c r="H30" s="766">
        <f t="shared" si="1"/>
        <v>37.9</v>
      </c>
    </row>
    <row r="31" spans="1:8" s="709" customFormat="1" ht="16.5" customHeight="1" thickBot="1">
      <c r="A31" s="767" t="s">
        <v>632</v>
      </c>
      <c r="B31" s="768" t="s">
        <v>633</v>
      </c>
      <c r="C31" s="769">
        <f>C32</f>
        <v>14000</v>
      </c>
      <c r="D31" s="769">
        <f>D32</f>
        <v>20661</v>
      </c>
      <c r="E31" s="770">
        <f t="shared" si="0"/>
        <v>147.57857142857142</v>
      </c>
      <c r="F31" s="769">
        <f>F32</f>
        <v>14000</v>
      </c>
      <c r="G31" s="769">
        <f>G32</f>
        <v>14000</v>
      </c>
      <c r="H31" s="770">
        <f t="shared" si="1"/>
        <v>100</v>
      </c>
    </row>
    <row r="32" spans="1:8" s="709" customFormat="1" ht="39" thickTop="1">
      <c r="A32" s="710" t="s">
        <v>749</v>
      </c>
      <c r="B32" s="711" t="s">
        <v>750</v>
      </c>
      <c r="C32" s="712">
        <f>C33</f>
        <v>14000</v>
      </c>
      <c r="D32" s="712">
        <f>D33</f>
        <v>20661</v>
      </c>
      <c r="E32" s="713">
        <f>D32/C32*100</f>
        <v>147.57857142857142</v>
      </c>
      <c r="F32" s="762">
        <f>F33</f>
        <v>14000</v>
      </c>
      <c r="G32" s="712">
        <f>G33</f>
        <v>14000</v>
      </c>
      <c r="H32" s="713">
        <f>G32/F32*100</f>
        <v>100</v>
      </c>
    </row>
    <row r="33" spans="1:8" s="720" customFormat="1" ht="16.5" customHeight="1" thickBot="1">
      <c r="A33" s="731"/>
      <c r="B33" s="732" t="s">
        <v>789</v>
      </c>
      <c r="C33" s="733">
        <v>14000</v>
      </c>
      <c r="D33" s="733">
        <v>20661</v>
      </c>
      <c r="E33" s="734">
        <f>D33/C33*100</f>
        <v>147.57857142857142</v>
      </c>
      <c r="F33" s="765">
        <v>14000</v>
      </c>
      <c r="G33" s="733">
        <v>14000</v>
      </c>
      <c r="H33" s="734">
        <f>G33/F33*100</f>
        <v>100</v>
      </c>
    </row>
    <row r="34" spans="1:8" s="730" customFormat="1" ht="42.75" customHeight="1" thickBot="1" thickTop="1">
      <c r="A34" s="705" t="s">
        <v>634</v>
      </c>
      <c r="B34" s="706" t="s">
        <v>635</v>
      </c>
      <c r="C34" s="707">
        <f>C35</f>
        <v>106000</v>
      </c>
      <c r="D34" s="707">
        <f>D35</f>
        <v>57071</v>
      </c>
      <c r="E34" s="708">
        <f>D34/C34*100</f>
        <v>53.84056603773585</v>
      </c>
      <c r="F34" s="761">
        <f>F35</f>
        <v>106000</v>
      </c>
      <c r="G34" s="707">
        <f>G35</f>
        <v>57071</v>
      </c>
      <c r="H34" s="708">
        <f>G34/F34*100</f>
        <v>53.84056603773585</v>
      </c>
    </row>
    <row r="35" spans="1:8" s="730" customFormat="1" ht="26.25" thickTop="1">
      <c r="A35" s="726" t="s">
        <v>790</v>
      </c>
      <c r="B35" s="727" t="s">
        <v>791</v>
      </c>
      <c r="C35" s="728">
        <f>C36</f>
        <v>106000</v>
      </c>
      <c r="D35" s="728">
        <f>D36</f>
        <v>57071</v>
      </c>
      <c r="E35" s="729">
        <f t="shared" si="0"/>
        <v>53.84056603773585</v>
      </c>
      <c r="F35" s="764">
        <f>F36</f>
        <v>106000</v>
      </c>
      <c r="G35" s="728">
        <f>G36</f>
        <v>57071</v>
      </c>
      <c r="H35" s="729">
        <f t="shared" si="1"/>
        <v>53.84056603773585</v>
      </c>
    </row>
    <row r="36" spans="1:8" s="719" customFormat="1" ht="51.75" thickBot="1">
      <c r="A36" s="715"/>
      <c r="B36" s="716" t="s">
        <v>792</v>
      </c>
      <c r="C36" s="717">
        <v>106000</v>
      </c>
      <c r="D36" s="717">
        <v>57071</v>
      </c>
      <c r="E36" s="718">
        <f>D36/C36*100</f>
        <v>53.84056603773585</v>
      </c>
      <c r="F36" s="763">
        <v>106000</v>
      </c>
      <c r="G36" s="717">
        <v>57071</v>
      </c>
      <c r="H36" s="718">
        <f>G36/F36*100</f>
        <v>53.84056603773585</v>
      </c>
    </row>
    <row r="37" spans="1:8" s="742" customFormat="1" ht="21" customHeight="1" thickBot="1" thickTop="1">
      <c r="A37" s="738"/>
      <c r="B37" s="739" t="s">
        <v>582</v>
      </c>
      <c r="C37" s="740">
        <f>C7+C10+C17+C22+C25+C28+C31+C34</f>
        <v>5699700</v>
      </c>
      <c r="D37" s="740">
        <f>D7+D10+D17+D22+D25+D28+D31+D34</f>
        <v>3394423</v>
      </c>
      <c r="E37" s="741">
        <f t="shared" si="0"/>
        <v>59.55441514465674</v>
      </c>
      <c r="F37" s="740">
        <f>F7+F10+F17+F22+F25+F28+F31+F34</f>
        <v>5699700</v>
      </c>
      <c r="G37" s="740">
        <f>G7+G10+G17+G22+G25+G28+G31+G34</f>
        <v>2826768</v>
      </c>
      <c r="H37" s="741">
        <f t="shared" si="1"/>
        <v>49.59503131743776</v>
      </c>
    </row>
    <row r="38" spans="1:8" s="775" customFormat="1" ht="20.25" customHeight="1" thickTop="1">
      <c r="A38" s="771"/>
      <c r="B38" s="772"/>
      <c r="C38" s="773"/>
      <c r="D38" s="773"/>
      <c r="E38" s="773"/>
      <c r="F38" s="773"/>
      <c r="G38" s="773"/>
      <c r="H38" s="774"/>
    </row>
    <row r="39" spans="1:8" s="775" customFormat="1" ht="20.25" customHeight="1">
      <c r="A39" s="771"/>
      <c r="B39" s="772"/>
      <c r="C39" s="773"/>
      <c r="D39" s="773"/>
      <c r="E39" s="773"/>
      <c r="F39" s="773"/>
      <c r="G39" s="773"/>
      <c r="H39" s="774"/>
    </row>
    <row r="40" spans="1:8" s="775" customFormat="1" ht="20.25" customHeight="1">
      <c r="A40" s="771"/>
      <c r="B40" s="772"/>
      <c r="C40" s="773"/>
      <c r="D40" s="773"/>
      <c r="E40" s="773"/>
      <c r="F40" s="773"/>
      <c r="G40" s="773"/>
      <c r="H40" s="774"/>
    </row>
    <row r="41" spans="1:8" s="775" customFormat="1" ht="20.25" customHeight="1">
      <c r="A41" s="771"/>
      <c r="B41" s="772"/>
      <c r="C41" s="773"/>
      <c r="D41" s="773"/>
      <c r="E41" s="773"/>
      <c r="F41" s="773"/>
      <c r="G41" s="773"/>
      <c r="H41" s="774"/>
    </row>
  </sheetData>
  <printOptions horizontalCentered="1"/>
  <pageMargins left="0" right="0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8" sqref="B8"/>
    </sheetView>
  </sheetViews>
  <sheetFormatPr defaultColWidth="9.00390625" defaultRowHeight="12.75"/>
  <cols>
    <col min="1" max="1" width="48.75390625" style="776" customWidth="1"/>
    <col min="2" max="2" width="17.75390625" style="776" customWidth="1"/>
    <col min="3" max="3" width="16.125" style="776" customWidth="1"/>
    <col min="4" max="16384" width="10.00390625" style="776" customWidth="1"/>
  </cols>
  <sheetData>
    <row r="1" spans="2:3" ht="32.25" customHeight="1">
      <c r="B1" s="777"/>
      <c r="C1" s="778" t="s">
        <v>793</v>
      </c>
    </row>
    <row r="2" spans="2:3" ht="32.25" customHeight="1">
      <c r="B2" s="777"/>
      <c r="C2" s="778"/>
    </row>
    <row r="3" spans="1:3" s="780" customFormat="1" ht="24.75" customHeight="1">
      <c r="A3" s="779" t="s">
        <v>794</v>
      </c>
      <c r="B3" s="779"/>
      <c r="C3" s="779"/>
    </row>
    <row r="4" spans="1:3" s="780" customFormat="1" ht="24.75" customHeight="1">
      <c r="A4" s="779" t="s">
        <v>795</v>
      </c>
      <c r="B4" s="779"/>
      <c r="C4" s="779"/>
    </row>
    <row r="5" spans="1:3" s="780" customFormat="1" ht="23.25" customHeight="1">
      <c r="A5" s="779" t="s">
        <v>796</v>
      </c>
      <c r="B5" s="779"/>
      <c r="C5" s="779"/>
    </row>
    <row r="6" s="781" customFormat="1" ht="38.25" customHeight="1" thickBot="1">
      <c r="C6" s="782" t="s">
        <v>797</v>
      </c>
    </row>
    <row r="7" spans="1:3" s="786" customFormat="1" ht="44.25" customHeight="1" thickBot="1" thickTop="1">
      <c r="A7" s="783" t="s">
        <v>586</v>
      </c>
      <c r="B7" s="784" t="s">
        <v>798</v>
      </c>
      <c r="C7" s="785" t="s">
        <v>799</v>
      </c>
    </row>
    <row r="8" spans="1:3" s="790" customFormat="1" ht="12.75" customHeight="1" thickBot="1" thickTop="1">
      <c r="A8" s="787">
        <v>1</v>
      </c>
      <c r="B8" s="788">
        <v>2</v>
      </c>
      <c r="C8" s="789">
        <v>3</v>
      </c>
    </row>
    <row r="9" spans="1:3" s="794" customFormat="1" ht="13.5" customHeight="1" thickTop="1">
      <c r="A9" s="791"/>
      <c r="B9" s="792"/>
      <c r="C9" s="793"/>
    </row>
    <row r="10" spans="1:3" s="798" customFormat="1" ht="27" customHeight="1">
      <c r="A10" s="795" t="s">
        <v>800</v>
      </c>
      <c r="B10" s="796">
        <v>262928840</v>
      </c>
      <c r="C10" s="797">
        <v>123626943</v>
      </c>
    </row>
    <row r="11" spans="1:3" s="798" customFormat="1" ht="27" customHeight="1">
      <c r="A11" s="795" t="s">
        <v>801</v>
      </c>
      <c r="B11" s="796">
        <v>292002592</v>
      </c>
      <c r="C11" s="797">
        <f>SUM(C13:C14)</f>
        <v>116354632</v>
      </c>
    </row>
    <row r="12" spans="1:3" s="798" customFormat="1" ht="16.5" customHeight="1">
      <c r="A12" s="799" t="s">
        <v>802</v>
      </c>
      <c r="B12" s="796"/>
      <c r="C12" s="797"/>
    </row>
    <row r="13" spans="1:3" s="803" customFormat="1" ht="19.5" customHeight="1">
      <c r="A13" s="800" t="s">
        <v>803</v>
      </c>
      <c r="B13" s="801">
        <v>229452567</v>
      </c>
      <c r="C13" s="802">
        <v>110748880</v>
      </c>
    </row>
    <row r="14" spans="1:3" s="803" customFormat="1" ht="19.5" customHeight="1">
      <c r="A14" s="800" t="s">
        <v>804</v>
      </c>
      <c r="B14" s="801">
        <v>62550025</v>
      </c>
      <c r="C14" s="802">
        <v>5605752</v>
      </c>
    </row>
    <row r="15" spans="1:3" s="807" customFormat="1" ht="28.5" customHeight="1">
      <c r="A15" s="804" t="s">
        <v>805</v>
      </c>
      <c r="B15" s="805">
        <f>B10-B11</f>
        <v>-29073752</v>
      </c>
      <c r="C15" s="806">
        <f>C10-C11</f>
        <v>7272311</v>
      </c>
    </row>
    <row r="16" spans="1:3" s="798" customFormat="1" ht="44.25" customHeight="1">
      <c r="A16" s="795" t="s">
        <v>806</v>
      </c>
      <c r="B16" s="796">
        <f>B17-B21</f>
        <v>29073752</v>
      </c>
      <c r="C16" s="808">
        <f>C17-C21</f>
        <v>-5518345</v>
      </c>
    </row>
    <row r="17" spans="1:3" s="811" customFormat="1" ht="22.5" customHeight="1">
      <c r="A17" s="799" t="s">
        <v>807</v>
      </c>
      <c r="B17" s="809">
        <f>SUM(B19:B20)</f>
        <v>40432352</v>
      </c>
      <c r="C17" s="810">
        <f>SUM(C19:C20)</f>
        <v>0</v>
      </c>
    </row>
    <row r="18" spans="1:3" s="811" customFormat="1" ht="22.5" customHeight="1">
      <c r="A18" s="799" t="s">
        <v>802</v>
      </c>
      <c r="B18" s="809"/>
      <c r="C18" s="812"/>
    </row>
    <row r="19" spans="1:3" s="803" customFormat="1" ht="18.75" customHeight="1">
      <c r="A19" s="800" t="s">
        <v>808</v>
      </c>
      <c r="B19" s="801">
        <v>22047500</v>
      </c>
      <c r="C19" s="802"/>
    </row>
    <row r="20" spans="1:6" s="803" customFormat="1" ht="18.75" customHeight="1">
      <c r="A20" s="800" t="s">
        <v>809</v>
      </c>
      <c r="B20" s="801">
        <v>18384852</v>
      </c>
      <c r="C20" s="802">
        <v>0</v>
      </c>
      <c r="D20" s="813"/>
      <c r="E20" s="813"/>
      <c r="F20" s="813"/>
    </row>
    <row r="21" spans="1:4" s="803" customFormat="1" ht="21" customHeight="1">
      <c r="A21" s="799" t="s">
        <v>810</v>
      </c>
      <c r="B21" s="801">
        <f>SUM(B23:B24)</f>
        <v>11358600</v>
      </c>
      <c r="C21" s="814">
        <f>SUM(C23:C24)</f>
        <v>5518345</v>
      </c>
      <c r="D21" s="813"/>
    </row>
    <row r="22" spans="1:3" s="811" customFormat="1" ht="22.5" customHeight="1">
      <c r="A22" s="799" t="s">
        <v>802</v>
      </c>
      <c r="B22" s="809"/>
      <c r="C22" s="812"/>
    </row>
    <row r="23" spans="1:3" s="803" customFormat="1" ht="26.25" customHeight="1">
      <c r="A23" s="800" t="s">
        <v>811</v>
      </c>
      <c r="B23" s="801">
        <v>11358600</v>
      </c>
      <c r="C23" s="802">
        <v>5518345</v>
      </c>
    </row>
    <row r="24" spans="1:4" s="803" customFormat="1" ht="26.25" customHeight="1" thickBot="1">
      <c r="A24" s="815" t="s">
        <v>812</v>
      </c>
      <c r="B24" s="816">
        <v>0</v>
      </c>
      <c r="C24" s="817">
        <v>0</v>
      </c>
      <c r="D24" s="813"/>
    </row>
    <row r="25" spans="1:3" ht="18" thickTop="1">
      <c r="A25" s="818"/>
      <c r="B25" s="819"/>
      <c r="C25" s="820"/>
    </row>
    <row r="26" spans="1:3" ht="12.75">
      <c r="A26" s="821"/>
      <c r="C26" s="822"/>
    </row>
    <row r="27" spans="1:3" ht="12.75">
      <c r="A27" s="821"/>
      <c r="C27" s="822"/>
    </row>
    <row r="28" ht="12.75">
      <c r="A28" s="821"/>
    </row>
    <row r="29" ht="12.75">
      <c r="A29" s="821"/>
    </row>
    <row r="30" ht="12.75">
      <c r="A30" s="821"/>
    </row>
    <row r="31" ht="12.75">
      <c r="A31" s="821"/>
    </row>
    <row r="32" ht="12.75">
      <c r="A32" s="821"/>
    </row>
    <row r="33" ht="12.75">
      <c r="A33" s="821"/>
    </row>
    <row r="34" ht="12.75">
      <c r="A34" s="821"/>
    </row>
  </sheetData>
  <printOptions horizontalCentered="1"/>
  <pageMargins left="0" right="0" top="0.984251968503937" bottom="0.984251968503937" header="0.5118110236220472" footer="0.5118110236220472"/>
  <pageSetup firstPageNumber="56" useFirstPageNumber="1" horizontalDpi="600" verticalDpi="600" orientation="portrait" paperSize="9" r:id="rId1"/>
  <headerFooter alignWithMargins="0">
    <oddHeader>&amp;C &amp;"Times New Roman,Normalny"&amp;P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E9" sqref="E9"/>
    </sheetView>
  </sheetViews>
  <sheetFormatPr defaultColWidth="9.00390625" defaultRowHeight="12.75"/>
  <cols>
    <col min="1" max="1" width="5.875" style="824" customWidth="1"/>
    <col min="2" max="2" width="26.125" style="961" customWidth="1"/>
    <col min="3" max="3" width="9.875" style="825" customWidth="1"/>
    <col min="4" max="4" width="10.75390625" style="826" customWidth="1"/>
    <col min="5" max="5" width="6.875" style="827" customWidth="1"/>
    <col min="6" max="6" width="9.75390625" style="826" customWidth="1"/>
    <col min="7" max="7" width="9.875" style="826" bestFit="1" customWidth="1"/>
    <col min="8" max="8" width="0.12890625" style="828" hidden="1" customWidth="1"/>
    <col min="9" max="9" width="9.75390625" style="826" customWidth="1"/>
    <col min="10" max="10" width="10.125" style="826" customWidth="1"/>
    <col min="11" max="11" width="0.12890625" style="828" hidden="1" customWidth="1"/>
    <col min="12" max="12" width="11.25390625" style="830" bestFit="1" customWidth="1"/>
    <col min="13" max="16384" width="9.125" style="830" customWidth="1"/>
  </cols>
  <sheetData>
    <row r="1" spans="1:10" ht="15.75">
      <c r="A1" s="823"/>
      <c r="B1" s="824"/>
      <c r="I1" s="684" t="s">
        <v>813</v>
      </c>
      <c r="J1" s="829"/>
    </row>
    <row r="2" spans="1:11" s="836" customFormat="1" ht="44.25" customHeight="1">
      <c r="A2" s="831" t="s">
        <v>814</v>
      </c>
      <c r="B2" s="832"/>
      <c r="C2" s="833"/>
      <c r="D2" s="833"/>
      <c r="E2" s="834"/>
      <c r="F2" s="833"/>
      <c r="G2" s="833"/>
      <c r="H2" s="835"/>
      <c r="I2" s="833"/>
      <c r="J2" s="833"/>
      <c r="K2" s="835"/>
    </row>
    <row r="3" spans="1:11" ht="12" customHeight="1" thickBot="1">
      <c r="A3" s="837"/>
      <c r="B3" s="838"/>
      <c r="C3" s="839"/>
      <c r="D3" s="840"/>
      <c r="E3" s="841"/>
      <c r="F3" s="840"/>
      <c r="G3" s="840"/>
      <c r="H3" s="842"/>
      <c r="I3" s="843"/>
      <c r="J3" s="844" t="s">
        <v>541</v>
      </c>
      <c r="K3" s="845"/>
    </row>
    <row r="4" spans="1:11" s="857" customFormat="1" ht="23.25" customHeight="1" thickTop="1">
      <c r="A4" s="846" t="s">
        <v>815</v>
      </c>
      <c r="B4" s="847"/>
      <c r="C4" s="848" t="s">
        <v>582</v>
      </c>
      <c r="D4" s="849"/>
      <c r="E4" s="850"/>
      <c r="F4" s="851" t="s">
        <v>583</v>
      </c>
      <c r="G4" s="852"/>
      <c r="H4" s="853"/>
      <c r="I4" s="854" t="s">
        <v>816</v>
      </c>
      <c r="J4" s="855"/>
      <c r="K4" s="856"/>
    </row>
    <row r="5" spans="1:11" s="865" customFormat="1" ht="27" customHeight="1" thickBot="1">
      <c r="A5" s="858" t="s">
        <v>817</v>
      </c>
      <c r="B5" s="859" t="s">
        <v>818</v>
      </c>
      <c r="C5" s="860" t="s">
        <v>819</v>
      </c>
      <c r="D5" s="861" t="s">
        <v>734</v>
      </c>
      <c r="E5" s="862" t="s">
        <v>820</v>
      </c>
      <c r="F5" s="860" t="s">
        <v>819</v>
      </c>
      <c r="G5" s="863" t="s">
        <v>734</v>
      </c>
      <c r="H5" s="862" t="s">
        <v>821</v>
      </c>
      <c r="I5" s="860" t="s">
        <v>819</v>
      </c>
      <c r="J5" s="863" t="s">
        <v>734</v>
      </c>
      <c r="K5" s="864" t="s">
        <v>822</v>
      </c>
    </row>
    <row r="6" spans="1:11" s="872" customFormat="1" ht="13.5" thickBot="1" thickTop="1">
      <c r="A6" s="866">
        <v>1</v>
      </c>
      <c r="B6" s="867">
        <v>2</v>
      </c>
      <c r="C6" s="868">
        <v>4</v>
      </c>
      <c r="D6" s="869">
        <v>5</v>
      </c>
      <c r="E6" s="870">
        <v>6</v>
      </c>
      <c r="F6" s="871">
        <v>7</v>
      </c>
      <c r="G6" s="870">
        <v>8</v>
      </c>
      <c r="H6" s="870">
        <v>9</v>
      </c>
      <c r="I6" s="871">
        <v>9</v>
      </c>
      <c r="J6" s="870">
        <v>10</v>
      </c>
      <c r="K6" s="870">
        <v>15</v>
      </c>
    </row>
    <row r="7" spans="1:11" s="880" customFormat="1" ht="16.5" customHeight="1" thickBot="1" thickTop="1">
      <c r="A7" s="873">
        <v>630</v>
      </c>
      <c r="B7" s="874" t="s">
        <v>606</v>
      </c>
      <c r="C7" s="875">
        <f aca="true" t="shared" si="0" ref="C7:D22">F7+I7</f>
        <v>14000</v>
      </c>
      <c r="D7" s="876">
        <f t="shared" si="0"/>
        <v>2500</v>
      </c>
      <c r="E7" s="877">
        <f aca="true" t="shared" si="1" ref="E7:E39">D7/C7*100</f>
        <v>17.857142857142858</v>
      </c>
      <c r="F7" s="875">
        <f>F8</f>
        <v>14000</v>
      </c>
      <c r="G7" s="878">
        <f>G8</f>
        <v>2500</v>
      </c>
      <c r="H7" s="877">
        <f aca="true" t="shared" si="2" ref="H7:H29">G7/F7*100</f>
        <v>17.857142857142858</v>
      </c>
      <c r="I7" s="875"/>
      <c r="J7" s="878"/>
      <c r="K7" s="879"/>
    </row>
    <row r="8" spans="1:11" s="880" customFormat="1" ht="27" customHeight="1" thickTop="1">
      <c r="A8" s="881">
        <v>63003</v>
      </c>
      <c r="B8" s="882" t="s">
        <v>823</v>
      </c>
      <c r="C8" s="883">
        <f t="shared" si="0"/>
        <v>14000</v>
      </c>
      <c r="D8" s="884">
        <f t="shared" si="0"/>
        <v>2500</v>
      </c>
      <c r="E8" s="885">
        <f t="shared" si="1"/>
        <v>17.857142857142858</v>
      </c>
      <c r="F8" s="886">
        <f>SUM(F9:F9)</f>
        <v>14000</v>
      </c>
      <c r="G8" s="887">
        <f>SUM(G9:G9)</f>
        <v>2500</v>
      </c>
      <c r="H8" s="888">
        <f t="shared" si="2"/>
        <v>17.857142857142858</v>
      </c>
      <c r="I8" s="886"/>
      <c r="J8" s="887"/>
      <c r="K8" s="889"/>
    </row>
    <row r="9" spans="1:11" s="898" customFormat="1" ht="65.25" customHeight="1" thickBot="1">
      <c r="A9" s="890">
        <v>2820</v>
      </c>
      <c r="B9" s="891" t="s">
        <v>824</v>
      </c>
      <c r="C9" s="892">
        <f t="shared" si="0"/>
        <v>14000</v>
      </c>
      <c r="D9" s="893">
        <f t="shared" si="0"/>
        <v>2500</v>
      </c>
      <c r="E9" s="894">
        <f t="shared" si="1"/>
        <v>17.857142857142858</v>
      </c>
      <c r="F9" s="895">
        <v>14000</v>
      </c>
      <c r="G9" s="896">
        <v>2500</v>
      </c>
      <c r="H9" s="894">
        <f t="shared" si="2"/>
        <v>17.857142857142858</v>
      </c>
      <c r="I9" s="895"/>
      <c r="J9" s="896"/>
      <c r="K9" s="897"/>
    </row>
    <row r="10" spans="1:11" s="880" customFormat="1" ht="28.5" customHeight="1" thickBot="1" thickTop="1">
      <c r="A10" s="873">
        <v>700</v>
      </c>
      <c r="B10" s="899" t="s">
        <v>608</v>
      </c>
      <c r="C10" s="875">
        <f>F10+I10</f>
        <v>2100000</v>
      </c>
      <c r="D10" s="876">
        <f t="shared" si="0"/>
        <v>301294</v>
      </c>
      <c r="E10" s="877">
        <f t="shared" si="1"/>
        <v>14.347333333333335</v>
      </c>
      <c r="F10" s="875">
        <f>F11</f>
        <v>2100000</v>
      </c>
      <c r="G10" s="878">
        <f>G11</f>
        <v>301294</v>
      </c>
      <c r="H10" s="877">
        <f t="shared" si="2"/>
        <v>14.347333333333335</v>
      </c>
      <c r="I10" s="875"/>
      <c r="J10" s="878"/>
      <c r="K10" s="879"/>
    </row>
    <row r="11" spans="1:11" s="880" customFormat="1" ht="26.25" thickTop="1">
      <c r="A11" s="881">
        <v>70001</v>
      </c>
      <c r="B11" s="900" t="s">
        <v>825</v>
      </c>
      <c r="C11" s="883">
        <f t="shared" si="0"/>
        <v>2100000</v>
      </c>
      <c r="D11" s="884">
        <f t="shared" si="0"/>
        <v>301294</v>
      </c>
      <c r="E11" s="885">
        <f t="shared" si="1"/>
        <v>14.347333333333335</v>
      </c>
      <c r="F11" s="901">
        <f>SUM(F12:F12)</f>
        <v>2100000</v>
      </c>
      <c r="G11" s="902">
        <f>SUM(G12:G12)</f>
        <v>301294</v>
      </c>
      <c r="H11" s="888">
        <f t="shared" si="2"/>
        <v>14.347333333333335</v>
      </c>
      <c r="I11" s="886"/>
      <c r="J11" s="887"/>
      <c r="K11" s="889"/>
    </row>
    <row r="12" spans="1:11" s="898" customFormat="1" ht="31.5" customHeight="1" thickBot="1">
      <c r="A12" s="890">
        <v>2510</v>
      </c>
      <c r="B12" s="903" t="s">
        <v>826</v>
      </c>
      <c r="C12" s="895">
        <f t="shared" si="0"/>
        <v>2100000</v>
      </c>
      <c r="D12" s="893">
        <f t="shared" si="0"/>
        <v>301294</v>
      </c>
      <c r="E12" s="894">
        <f t="shared" si="1"/>
        <v>14.347333333333335</v>
      </c>
      <c r="F12" s="895">
        <v>2100000</v>
      </c>
      <c r="G12" s="896">
        <v>301294</v>
      </c>
      <c r="H12" s="894">
        <f t="shared" si="2"/>
        <v>14.347333333333335</v>
      </c>
      <c r="I12" s="895"/>
      <c r="J12" s="896"/>
      <c r="K12" s="897"/>
    </row>
    <row r="13" spans="1:11" s="880" customFormat="1" ht="27" customHeight="1" thickBot="1" thickTop="1">
      <c r="A13" s="873">
        <v>750</v>
      </c>
      <c r="B13" s="899" t="s">
        <v>613</v>
      </c>
      <c r="C13" s="875">
        <f t="shared" si="0"/>
        <v>469900</v>
      </c>
      <c r="D13" s="876">
        <f t="shared" si="0"/>
        <v>247500</v>
      </c>
      <c r="E13" s="877">
        <f t="shared" si="1"/>
        <v>52.67078101723771</v>
      </c>
      <c r="F13" s="875">
        <f>F16+F14</f>
        <v>454900</v>
      </c>
      <c r="G13" s="878">
        <f>G16+G14</f>
        <v>240000</v>
      </c>
      <c r="H13" s="877">
        <f t="shared" si="2"/>
        <v>52.75884809848318</v>
      </c>
      <c r="I13" s="875">
        <f>I14+I16</f>
        <v>15000</v>
      </c>
      <c r="J13" s="878">
        <f>J14+J16</f>
        <v>7500</v>
      </c>
      <c r="K13" s="877"/>
    </row>
    <row r="14" spans="1:11" s="880" customFormat="1" ht="15.75" customHeight="1" thickTop="1">
      <c r="A14" s="904">
        <v>75020</v>
      </c>
      <c r="B14" s="905" t="s">
        <v>827</v>
      </c>
      <c r="C14" s="901">
        <f>F14+I14</f>
        <v>15000</v>
      </c>
      <c r="D14" s="906">
        <f>G14+J14</f>
        <v>7500</v>
      </c>
      <c r="E14" s="888">
        <f>D14/C14*100</f>
        <v>50</v>
      </c>
      <c r="F14" s="901"/>
      <c r="G14" s="902"/>
      <c r="H14" s="888"/>
      <c r="I14" s="901">
        <f>I15</f>
        <v>15000</v>
      </c>
      <c r="J14" s="902">
        <f>J15</f>
        <v>7500</v>
      </c>
      <c r="K14" s="907"/>
    </row>
    <row r="15" spans="1:11" s="898" customFormat="1" ht="76.5">
      <c r="A15" s="890">
        <v>2320</v>
      </c>
      <c r="B15" s="903" t="s">
        <v>828</v>
      </c>
      <c r="C15" s="895">
        <f>F15+I15</f>
        <v>15000</v>
      </c>
      <c r="D15" s="893">
        <f>G15+J15</f>
        <v>7500</v>
      </c>
      <c r="E15" s="894">
        <f>D15/C15*100</f>
        <v>50</v>
      </c>
      <c r="F15" s="895"/>
      <c r="G15" s="896"/>
      <c r="H15" s="894"/>
      <c r="I15" s="895">
        <v>15000</v>
      </c>
      <c r="J15" s="896">
        <v>7500</v>
      </c>
      <c r="K15" s="894"/>
    </row>
    <row r="16" spans="1:11" s="880" customFormat="1" ht="16.5" customHeight="1">
      <c r="A16" s="881">
        <v>75095</v>
      </c>
      <c r="B16" s="900" t="s">
        <v>829</v>
      </c>
      <c r="C16" s="886">
        <f t="shared" si="0"/>
        <v>454900</v>
      </c>
      <c r="D16" s="908">
        <f t="shared" si="0"/>
        <v>240000</v>
      </c>
      <c r="E16" s="909">
        <f t="shared" si="1"/>
        <v>52.75884809848318</v>
      </c>
      <c r="F16" s="886">
        <f>SUM(F17:F17)</f>
        <v>454900</v>
      </c>
      <c r="G16" s="887">
        <f>SUM(G17:G17)</f>
        <v>240000</v>
      </c>
      <c r="H16" s="909">
        <f t="shared" si="2"/>
        <v>52.75884809848318</v>
      </c>
      <c r="I16" s="886"/>
      <c r="J16" s="887"/>
      <c r="K16" s="889"/>
    </row>
    <row r="17" spans="1:11" s="898" customFormat="1" ht="64.5" thickBot="1">
      <c r="A17" s="890">
        <v>2810</v>
      </c>
      <c r="B17" s="903" t="s">
        <v>830</v>
      </c>
      <c r="C17" s="895">
        <f t="shared" si="0"/>
        <v>454900</v>
      </c>
      <c r="D17" s="893">
        <f t="shared" si="0"/>
        <v>240000</v>
      </c>
      <c r="E17" s="894">
        <f t="shared" si="1"/>
        <v>52.75884809848318</v>
      </c>
      <c r="F17" s="895">
        <v>454900</v>
      </c>
      <c r="G17" s="896">
        <v>240000</v>
      </c>
      <c r="H17" s="894">
        <f t="shared" si="2"/>
        <v>52.75884809848318</v>
      </c>
      <c r="I17" s="895"/>
      <c r="J17" s="896"/>
      <c r="K17" s="897"/>
    </row>
    <row r="18" spans="1:11" s="880" customFormat="1" ht="39" customHeight="1" thickBot="1" thickTop="1">
      <c r="A18" s="873">
        <v>754</v>
      </c>
      <c r="B18" s="899" t="s">
        <v>619</v>
      </c>
      <c r="C18" s="875">
        <f t="shared" si="0"/>
        <v>30000</v>
      </c>
      <c r="D18" s="876">
        <f t="shared" si="0"/>
        <v>5000</v>
      </c>
      <c r="E18" s="877">
        <f t="shared" si="1"/>
        <v>16.666666666666664</v>
      </c>
      <c r="F18" s="875">
        <f>SUM(F19)</f>
        <v>30000</v>
      </c>
      <c r="G18" s="878">
        <f>SUM(G19)</f>
        <v>5000</v>
      </c>
      <c r="H18" s="877">
        <f t="shared" si="2"/>
        <v>16.666666666666664</v>
      </c>
      <c r="I18" s="875"/>
      <c r="J18" s="878"/>
      <c r="K18" s="877"/>
    </row>
    <row r="19" spans="1:11" s="880" customFormat="1" ht="12.75" customHeight="1" thickTop="1">
      <c r="A19" s="881">
        <v>75412</v>
      </c>
      <c r="B19" s="900" t="s">
        <v>831</v>
      </c>
      <c r="C19" s="886">
        <f t="shared" si="0"/>
        <v>30000</v>
      </c>
      <c r="D19" s="908">
        <f t="shared" si="0"/>
        <v>5000</v>
      </c>
      <c r="E19" s="909">
        <f t="shared" si="1"/>
        <v>16.666666666666664</v>
      </c>
      <c r="F19" s="886">
        <f>SUM(F20)</f>
        <v>30000</v>
      </c>
      <c r="G19" s="887">
        <f>SUM(G20)</f>
        <v>5000</v>
      </c>
      <c r="H19" s="909">
        <f t="shared" si="2"/>
        <v>16.666666666666664</v>
      </c>
      <c r="I19" s="886"/>
      <c r="J19" s="887"/>
      <c r="K19" s="889"/>
    </row>
    <row r="20" spans="1:11" s="898" customFormat="1" ht="67.5" customHeight="1" thickBot="1">
      <c r="A20" s="910">
        <v>2820</v>
      </c>
      <c r="B20" s="911" t="s">
        <v>832</v>
      </c>
      <c r="C20" s="895">
        <f t="shared" si="0"/>
        <v>30000</v>
      </c>
      <c r="D20" s="893">
        <f t="shared" si="0"/>
        <v>5000</v>
      </c>
      <c r="E20" s="894">
        <f t="shared" si="1"/>
        <v>16.666666666666664</v>
      </c>
      <c r="F20" s="912">
        <v>30000</v>
      </c>
      <c r="G20" s="913">
        <v>5000</v>
      </c>
      <c r="H20" s="894">
        <f t="shared" si="2"/>
        <v>16.666666666666664</v>
      </c>
      <c r="I20" s="912"/>
      <c r="J20" s="913"/>
      <c r="K20" s="914"/>
    </row>
    <row r="21" spans="1:11" s="880" customFormat="1" ht="16.5" customHeight="1" thickBot="1" thickTop="1">
      <c r="A21" s="873">
        <v>801</v>
      </c>
      <c r="B21" s="899" t="s">
        <v>627</v>
      </c>
      <c r="C21" s="875">
        <f t="shared" si="0"/>
        <v>12937000</v>
      </c>
      <c r="D21" s="876">
        <f t="shared" si="0"/>
        <v>7024785</v>
      </c>
      <c r="E21" s="877">
        <f t="shared" si="1"/>
        <v>54.29995362139599</v>
      </c>
      <c r="F21" s="875">
        <f>F22+F24+F26+F28+F30+F32+F34+F36</f>
        <v>10605000</v>
      </c>
      <c r="G21" s="878">
        <f>G22+G24+G26+G28+G30+G32+G34+G36</f>
        <v>5775428</v>
      </c>
      <c r="H21" s="877">
        <f t="shared" si="2"/>
        <v>54.45948137670909</v>
      </c>
      <c r="I21" s="875">
        <f>I22+I24+I26+I28+I30+I32+I34+I36</f>
        <v>2332000</v>
      </c>
      <c r="J21" s="878">
        <f>J22+J24+J26+J28+J30+J32+J34+J36</f>
        <v>1249357</v>
      </c>
      <c r="K21" s="915">
        <f>J21/I21*100</f>
        <v>53.57448542024014</v>
      </c>
    </row>
    <row r="22" spans="1:11" s="880" customFormat="1" ht="17.25" customHeight="1" thickTop="1">
      <c r="A22" s="881">
        <v>80101</v>
      </c>
      <c r="B22" s="900" t="s">
        <v>833</v>
      </c>
      <c r="C22" s="883">
        <f t="shared" si="0"/>
        <v>623250</v>
      </c>
      <c r="D22" s="884">
        <f t="shared" si="0"/>
        <v>314309</v>
      </c>
      <c r="E22" s="885">
        <f t="shared" si="1"/>
        <v>50.430645808263144</v>
      </c>
      <c r="F22" s="886">
        <f>SUM(F23:F23)</f>
        <v>623250</v>
      </c>
      <c r="G22" s="887">
        <f>SUM(G23:G23)</f>
        <v>314309</v>
      </c>
      <c r="H22" s="885">
        <f t="shared" si="2"/>
        <v>50.430645808263144</v>
      </c>
      <c r="I22" s="886"/>
      <c r="J22" s="887"/>
      <c r="K22" s="889"/>
    </row>
    <row r="23" spans="1:11" s="898" customFormat="1" ht="54" customHeight="1">
      <c r="A23" s="916">
        <v>2540</v>
      </c>
      <c r="B23" s="917" t="s">
        <v>834</v>
      </c>
      <c r="C23" s="918">
        <f aca="true" t="shared" si="3" ref="C23:D58">F23+I23</f>
        <v>623250</v>
      </c>
      <c r="D23" s="919">
        <f t="shared" si="3"/>
        <v>314309</v>
      </c>
      <c r="E23" s="920">
        <f t="shared" si="1"/>
        <v>50.430645808263144</v>
      </c>
      <c r="F23" s="918">
        <v>623250</v>
      </c>
      <c r="G23" s="921">
        <v>314309</v>
      </c>
      <c r="H23" s="920">
        <f t="shared" si="2"/>
        <v>50.430645808263144</v>
      </c>
      <c r="I23" s="918"/>
      <c r="J23" s="921"/>
      <c r="K23" s="897"/>
    </row>
    <row r="24" spans="1:11" s="880" customFormat="1" ht="27" customHeight="1">
      <c r="A24" s="922">
        <v>80103</v>
      </c>
      <c r="B24" s="900" t="s">
        <v>835</v>
      </c>
      <c r="C24" s="886">
        <f t="shared" si="3"/>
        <v>66480</v>
      </c>
      <c r="D24" s="908">
        <f t="shared" si="3"/>
        <v>33420</v>
      </c>
      <c r="E24" s="909">
        <f t="shared" si="1"/>
        <v>50.270758122743686</v>
      </c>
      <c r="F24" s="886">
        <f>SUM(F25:F25)</f>
        <v>66480</v>
      </c>
      <c r="G24" s="887">
        <f>SUM(G25:G25)</f>
        <v>33420</v>
      </c>
      <c r="H24" s="909">
        <f t="shared" si="2"/>
        <v>50.270758122743686</v>
      </c>
      <c r="I24" s="886"/>
      <c r="J24" s="887"/>
      <c r="K24" s="889"/>
    </row>
    <row r="25" spans="1:11" s="898" customFormat="1" ht="30" customHeight="1">
      <c r="A25" s="923">
        <v>2540</v>
      </c>
      <c r="B25" s="911" t="s">
        <v>836</v>
      </c>
      <c r="C25" s="924">
        <f t="shared" si="3"/>
        <v>66480</v>
      </c>
      <c r="D25" s="925">
        <f t="shared" si="3"/>
        <v>33420</v>
      </c>
      <c r="E25" s="926">
        <f t="shared" si="1"/>
        <v>50.270758122743686</v>
      </c>
      <c r="F25" s="927">
        <v>66480</v>
      </c>
      <c r="G25" s="928">
        <v>33420</v>
      </c>
      <c r="H25" s="926">
        <f t="shared" si="2"/>
        <v>50.270758122743686</v>
      </c>
      <c r="I25" s="924"/>
      <c r="J25" s="929"/>
      <c r="K25" s="897"/>
    </row>
    <row r="26" spans="1:11" s="880" customFormat="1" ht="16.5" customHeight="1">
      <c r="A26" s="922">
        <v>80104</v>
      </c>
      <c r="B26" s="900" t="s">
        <v>837</v>
      </c>
      <c r="C26" s="886">
        <f>F26+I26</f>
        <v>9533500</v>
      </c>
      <c r="D26" s="908">
        <f>G26+J26</f>
        <v>5265700</v>
      </c>
      <c r="E26" s="909">
        <f>D26/C26*100</f>
        <v>55.23364976136781</v>
      </c>
      <c r="F26" s="886">
        <f>F27</f>
        <v>9533500</v>
      </c>
      <c r="G26" s="887">
        <f>G27</f>
        <v>5265700</v>
      </c>
      <c r="H26" s="909">
        <f>G26/F26*100</f>
        <v>55.23364976136781</v>
      </c>
      <c r="I26" s="886"/>
      <c r="J26" s="887"/>
      <c r="K26" s="889"/>
    </row>
    <row r="27" spans="1:11" s="880" customFormat="1" ht="27" customHeight="1">
      <c r="A27" s="930">
        <v>2510</v>
      </c>
      <c r="B27" s="931" t="s">
        <v>826</v>
      </c>
      <c r="C27" s="927">
        <f>F27+I27</f>
        <v>9533500</v>
      </c>
      <c r="D27" s="932">
        <f>G27+J27</f>
        <v>5265700</v>
      </c>
      <c r="E27" s="933">
        <f>D27/C27*100</f>
        <v>55.23364976136781</v>
      </c>
      <c r="F27" s="927">
        <v>9533500</v>
      </c>
      <c r="G27" s="928">
        <v>5265700</v>
      </c>
      <c r="H27" s="933">
        <f>G27/F27*100</f>
        <v>55.23364976136781</v>
      </c>
      <c r="I27" s="927"/>
      <c r="J27" s="928"/>
      <c r="K27" s="897"/>
    </row>
    <row r="28" spans="1:11" s="880" customFormat="1" ht="15" customHeight="1">
      <c r="A28" s="881">
        <v>80110</v>
      </c>
      <c r="B28" s="900" t="s">
        <v>838</v>
      </c>
      <c r="C28" s="886">
        <f t="shared" si="3"/>
        <v>279770</v>
      </c>
      <c r="D28" s="908">
        <f t="shared" si="3"/>
        <v>136993</v>
      </c>
      <c r="E28" s="909">
        <f t="shared" si="1"/>
        <v>48.96629374128749</v>
      </c>
      <c r="F28" s="886">
        <f>SUM(F29:F29)</f>
        <v>279770</v>
      </c>
      <c r="G28" s="887">
        <f>SUM(G29:G29)</f>
        <v>136993</v>
      </c>
      <c r="H28" s="909">
        <f t="shared" si="2"/>
        <v>48.96629374128749</v>
      </c>
      <c r="I28" s="886"/>
      <c r="J28" s="887"/>
      <c r="K28" s="889"/>
    </row>
    <row r="29" spans="1:11" s="880" customFormat="1" ht="55.5" customHeight="1">
      <c r="A29" s="890">
        <v>2540</v>
      </c>
      <c r="B29" s="903" t="s">
        <v>834</v>
      </c>
      <c r="C29" s="895">
        <f t="shared" si="3"/>
        <v>279770</v>
      </c>
      <c r="D29" s="893">
        <f t="shared" si="3"/>
        <v>136993</v>
      </c>
      <c r="E29" s="894">
        <f t="shared" si="1"/>
        <v>48.96629374128749</v>
      </c>
      <c r="F29" s="895">
        <v>279770</v>
      </c>
      <c r="G29" s="896">
        <v>136993</v>
      </c>
      <c r="H29" s="894">
        <f t="shared" si="2"/>
        <v>48.96629374128749</v>
      </c>
      <c r="I29" s="895"/>
      <c r="J29" s="896"/>
      <c r="K29" s="897"/>
    </row>
    <row r="30" spans="1:11" s="934" customFormat="1" ht="15" customHeight="1">
      <c r="A30" s="881">
        <v>80120</v>
      </c>
      <c r="B30" s="900" t="s">
        <v>839</v>
      </c>
      <c r="C30" s="886">
        <f t="shared" si="3"/>
        <v>1264389</v>
      </c>
      <c r="D30" s="908">
        <f t="shared" si="3"/>
        <v>660672</v>
      </c>
      <c r="E30" s="909">
        <f t="shared" si="1"/>
        <v>52.25227362781549</v>
      </c>
      <c r="F30" s="886"/>
      <c r="G30" s="887"/>
      <c r="H30" s="889"/>
      <c r="I30" s="886">
        <f>SUM(I31:I31)</f>
        <v>1264389</v>
      </c>
      <c r="J30" s="887">
        <f>SUM(J31:J31)</f>
        <v>660672</v>
      </c>
      <c r="K30" s="909">
        <f>J30/I30*100</f>
        <v>52.25227362781549</v>
      </c>
    </row>
    <row r="31" spans="1:11" s="935" customFormat="1" ht="54.75" customHeight="1">
      <c r="A31" s="890">
        <v>2540</v>
      </c>
      <c r="B31" s="903" t="s">
        <v>840</v>
      </c>
      <c r="C31" s="895">
        <f t="shared" si="3"/>
        <v>1264389</v>
      </c>
      <c r="D31" s="893">
        <f t="shared" si="3"/>
        <v>660672</v>
      </c>
      <c r="E31" s="894">
        <f t="shared" si="1"/>
        <v>52.25227362781549</v>
      </c>
      <c r="F31" s="895"/>
      <c r="G31" s="896"/>
      <c r="H31" s="897"/>
      <c r="I31" s="895">
        <v>1264389</v>
      </c>
      <c r="J31" s="896">
        <v>660672</v>
      </c>
      <c r="K31" s="894">
        <f>J31/I31*100</f>
        <v>52.25227362781549</v>
      </c>
    </row>
    <row r="32" spans="1:11" s="936" customFormat="1" ht="14.25" customHeight="1">
      <c r="A32" s="881">
        <v>80130</v>
      </c>
      <c r="B32" s="900" t="s">
        <v>841</v>
      </c>
      <c r="C32" s="886">
        <f t="shared" si="3"/>
        <v>1067611</v>
      </c>
      <c r="D32" s="908">
        <f t="shared" si="3"/>
        <v>588685</v>
      </c>
      <c r="E32" s="909">
        <f t="shared" si="1"/>
        <v>55.14040226262187</v>
      </c>
      <c r="F32" s="886"/>
      <c r="G32" s="887"/>
      <c r="H32" s="889"/>
      <c r="I32" s="886">
        <f>SUM(I33:I33)</f>
        <v>1067611</v>
      </c>
      <c r="J32" s="887">
        <f>SUM(J33:J33)</f>
        <v>588685</v>
      </c>
      <c r="K32" s="909">
        <f>J32/I32*100</f>
        <v>55.14040226262187</v>
      </c>
    </row>
    <row r="33" spans="1:11" s="935" customFormat="1" ht="55.5" customHeight="1">
      <c r="A33" s="890">
        <v>2540</v>
      </c>
      <c r="B33" s="903" t="s">
        <v>840</v>
      </c>
      <c r="C33" s="895">
        <f t="shared" si="3"/>
        <v>1067611</v>
      </c>
      <c r="D33" s="893">
        <f t="shared" si="3"/>
        <v>588685</v>
      </c>
      <c r="E33" s="894">
        <f t="shared" si="1"/>
        <v>55.14040226262187</v>
      </c>
      <c r="F33" s="895"/>
      <c r="G33" s="896"/>
      <c r="H33" s="897"/>
      <c r="I33" s="895">
        <v>1067611</v>
      </c>
      <c r="J33" s="896">
        <v>588685</v>
      </c>
      <c r="K33" s="894">
        <f>J33/I33*100</f>
        <v>55.14040226262187</v>
      </c>
    </row>
    <row r="34" spans="1:11" s="936" customFormat="1" ht="25.5">
      <c r="A34" s="881">
        <v>80146</v>
      </c>
      <c r="B34" s="900" t="s">
        <v>842</v>
      </c>
      <c r="C34" s="886">
        <f>F34+I34</f>
        <v>44000</v>
      </c>
      <c r="D34" s="908">
        <f>G34+J34</f>
        <v>0</v>
      </c>
      <c r="E34" s="909">
        <f>D34/C34*100</f>
        <v>0</v>
      </c>
      <c r="F34" s="886">
        <f>F35</f>
        <v>44000</v>
      </c>
      <c r="G34" s="887">
        <f>G35</f>
        <v>0</v>
      </c>
      <c r="H34" s="889"/>
      <c r="I34" s="886"/>
      <c r="J34" s="887"/>
      <c r="K34" s="907"/>
    </row>
    <row r="35" spans="1:11" s="935" customFormat="1" ht="30" customHeight="1">
      <c r="A35" s="890">
        <v>2510</v>
      </c>
      <c r="B35" s="903" t="s">
        <v>826</v>
      </c>
      <c r="C35" s="895">
        <f>F35+I35</f>
        <v>44000</v>
      </c>
      <c r="D35" s="893">
        <f>G35+J35</f>
        <v>0</v>
      </c>
      <c r="E35" s="894">
        <f>D35/C35*100</f>
        <v>0</v>
      </c>
      <c r="F35" s="895">
        <v>44000</v>
      </c>
      <c r="G35" s="896">
        <v>0</v>
      </c>
      <c r="H35" s="897"/>
      <c r="I35" s="895"/>
      <c r="J35" s="896"/>
      <c r="K35" s="894"/>
    </row>
    <row r="36" spans="1:11" s="880" customFormat="1" ht="15.75" customHeight="1">
      <c r="A36" s="881">
        <v>80195</v>
      </c>
      <c r="B36" s="900" t="s">
        <v>829</v>
      </c>
      <c r="C36" s="886">
        <f t="shared" si="3"/>
        <v>58000</v>
      </c>
      <c r="D36" s="908">
        <f t="shared" si="3"/>
        <v>25006</v>
      </c>
      <c r="E36" s="909">
        <f t="shared" si="1"/>
        <v>43.11379310344828</v>
      </c>
      <c r="F36" s="886">
        <f>SUM(F37:F38)</f>
        <v>58000</v>
      </c>
      <c r="G36" s="887">
        <f>SUM(G37:G38)</f>
        <v>25006</v>
      </c>
      <c r="H36" s="909">
        <f aca="true" t="shared" si="4" ref="H36:H46">G36/F36*100</f>
        <v>43.11379310344828</v>
      </c>
      <c r="I36" s="886"/>
      <c r="J36" s="887"/>
      <c r="K36" s="909"/>
    </row>
    <row r="37" spans="1:11" s="898" customFormat="1" ht="51.75" customHeight="1">
      <c r="A37" s="890">
        <v>2540</v>
      </c>
      <c r="B37" s="903" t="s">
        <v>843</v>
      </c>
      <c r="C37" s="895">
        <f t="shared" si="3"/>
        <v>30000</v>
      </c>
      <c r="D37" s="893">
        <f t="shared" si="3"/>
        <v>15006</v>
      </c>
      <c r="E37" s="894">
        <f t="shared" si="1"/>
        <v>50.019999999999996</v>
      </c>
      <c r="F37" s="895">
        <v>30000</v>
      </c>
      <c r="G37" s="896">
        <v>15006</v>
      </c>
      <c r="H37" s="894">
        <f t="shared" si="4"/>
        <v>50.019999999999996</v>
      </c>
      <c r="I37" s="895"/>
      <c r="J37" s="896"/>
      <c r="K37" s="894"/>
    </row>
    <row r="38" spans="1:11" s="898" customFormat="1" ht="51" customHeight="1" thickBot="1">
      <c r="A38" s="890">
        <v>2820</v>
      </c>
      <c r="B38" s="903" t="s">
        <v>844</v>
      </c>
      <c r="C38" s="895">
        <f t="shared" si="3"/>
        <v>28000</v>
      </c>
      <c r="D38" s="893">
        <f t="shared" si="3"/>
        <v>10000</v>
      </c>
      <c r="E38" s="894">
        <f t="shared" si="1"/>
        <v>35.714285714285715</v>
      </c>
      <c r="F38" s="895">
        <v>28000</v>
      </c>
      <c r="G38" s="896">
        <v>10000</v>
      </c>
      <c r="H38" s="894">
        <f t="shared" si="4"/>
        <v>35.714285714285715</v>
      </c>
      <c r="I38" s="895"/>
      <c r="J38" s="896"/>
      <c r="K38" s="894"/>
    </row>
    <row r="39" spans="1:11" s="880" customFormat="1" ht="16.5" customHeight="1" thickBot="1" thickTop="1">
      <c r="A39" s="873">
        <v>803</v>
      </c>
      <c r="B39" s="899" t="s">
        <v>629</v>
      </c>
      <c r="C39" s="937">
        <f t="shared" si="3"/>
        <v>6000</v>
      </c>
      <c r="D39" s="876">
        <f t="shared" si="3"/>
        <v>0</v>
      </c>
      <c r="E39" s="877">
        <f t="shared" si="1"/>
        <v>0</v>
      </c>
      <c r="F39" s="937">
        <f>SUM(F40)</f>
        <v>6000</v>
      </c>
      <c r="G39" s="876">
        <f>SUM(G40)</f>
        <v>0</v>
      </c>
      <c r="H39" s="877">
        <f>G39/F39*100</f>
        <v>0</v>
      </c>
      <c r="I39" s="875"/>
      <c r="J39" s="878"/>
      <c r="K39" s="938"/>
    </row>
    <row r="40" spans="1:11" s="880" customFormat="1" ht="13.5" customHeight="1" thickTop="1">
      <c r="A40" s="881">
        <v>80395</v>
      </c>
      <c r="B40" s="900" t="s">
        <v>829</v>
      </c>
      <c r="C40" s="886">
        <f t="shared" si="3"/>
        <v>6000</v>
      </c>
      <c r="D40" s="908">
        <f t="shared" si="3"/>
        <v>0</v>
      </c>
      <c r="E40" s="909">
        <f>D40/C40*100</f>
        <v>0</v>
      </c>
      <c r="F40" s="939">
        <f>SUM(F41:F41)</f>
        <v>6000</v>
      </c>
      <c r="G40" s="940">
        <f>SUM(G41:G41)</f>
        <v>0</v>
      </c>
      <c r="H40" s="909">
        <f>G40/F40*100</f>
        <v>0</v>
      </c>
      <c r="I40" s="939"/>
      <c r="J40" s="940"/>
      <c r="K40" s="941"/>
    </row>
    <row r="41" spans="1:11" s="898" customFormat="1" ht="76.5" customHeight="1" thickBot="1">
      <c r="A41" s="890">
        <v>2820</v>
      </c>
      <c r="B41" s="903" t="s">
        <v>845</v>
      </c>
      <c r="C41" s="895">
        <f t="shared" si="3"/>
        <v>6000</v>
      </c>
      <c r="D41" s="893">
        <f t="shared" si="3"/>
        <v>0</v>
      </c>
      <c r="E41" s="894">
        <f>D41/C41*100</f>
        <v>0</v>
      </c>
      <c r="F41" s="895">
        <v>6000</v>
      </c>
      <c r="G41" s="896">
        <v>0</v>
      </c>
      <c r="H41" s="894">
        <f>G41/F41*100</f>
        <v>0</v>
      </c>
      <c r="I41" s="895"/>
      <c r="J41" s="896"/>
      <c r="K41" s="897"/>
    </row>
    <row r="42" spans="1:11" s="880" customFormat="1" ht="15" customHeight="1" thickBot="1" thickTop="1">
      <c r="A42" s="873">
        <v>851</v>
      </c>
      <c r="B42" s="899" t="s">
        <v>631</v>
      </c>
      <c r="C42" s="937">
        <f t="shared" si="3"/>
        <v>2402000</v>
      </c>
      <c r="D42" s="876">
        <f t="shared" si="3"/>
        <v>360457</v>
      </c>
      <c r="E42" s="877">
        <f aca="true" t="shared" si="5" ref="E42:E84">D42/C42*100</f>
        <v>15.006536219816818</v>
      </c>
      <c r="F42" s="937">
        <f>SUM(F43+F48+F51+F54+F45)</f>
        <v>2402000</v>
      </c>
      <c r="G42" s="876">
        <f>SUM(G43+G48+G51+G54+G45)</f>
        <v>360457</v>
      </c>
      <c r="H42" s="877">
        <f t="shared" si="4"/>
        <v>15.006536219816818</v>
      </c>
      <c r="I42" s="875"/>
      <c r="J42" s="878"/>
      <c r="K42" s="938"/>
    </row>
    <row r="43" spans="1:11" s="880" customFormat="1" ht="14.25" customHeight="1" thickTop="1">
      <c r="A43" s="904">
        <v>85111</v>
      </c>
      <c r="B43" s="905" t="s">
        <v>846</v>
      </c>
      <c r="C43" s="942"/>
      <c r="D43" s="906"/>
      <c r="E43" s="888"/>
      <c r="F43" s="901">
        <f>F44</f>
        <v>1500000</v>
      </c>
      <c r="G43" s="943">
        <f>G44</f>
        <v>0</v>
      </c>
      <c r="H43" s="888"/>
      <c r="I43" s="901"/>
      <c r="J43" s="902"/>
      <c r="K43" s="944"/>
    </row>
    <row r="44" spans="1:11" s="898" customFormat="1" ht="55.5" customHeight="1">
      <c r="A44" s="916">
        <v>2330</v>
      </c>
      <c r="B44" s="917" t="s">
        <v>847</v>
      </c>
      <c r="C44" s="945"/>
      <c r="D44" s="919"/>
      <c r="E44" s="920"/>
      <c r="F44" s="918">
        <v>1500000</v>
      </c>
      <c r="G44" s="946">
        <v>0</v>
      </c>
      <c r="H44" s="920"/>
      <c r="I44" s="918"/>
      <c r="J44" s="921"/>
      <c r="K44" s="897"/>
    </row>
    <row r="45" spans="1:11" s="880" customFormat="1" ht="17.25" customHeight="1">
      <c r="A45" s="881">
        <v>85149</v>
      </c>
      <c r="B45" s="900" t="s">
        <v>848</v>
      </c>
      <c r="C45" s="886">
        <f t="shared" si="3"/>
        <v>167000</v>
      </c>
      <c r="D45" s="908">
        <f t="shared" si="3"/>
        <v>0</v>
      </c>
      <c r="E45" s="909">
        <f>D45/C45*100</f>
        <v>0</v>
      </c>
      <c r="F45" s="939">
        <f>SUM(F46:F47)</f>
        <v>167000</v>
      </c>
      <c r="G45" s="940">
        <f>SUM(G46:G47)</f>
        <v>0</v>
      </c>
      <c r="H45" s="909">
        <f t="shared" si="4"/>
        <v>0</v>
      </c>
      <c r="I45" s="939"/>
      <c r="J45" s="940"/>
      <c r="K45" s="941"/>
    </row>
    <row r="46" spans="1:11" s="898" customFormat="1" ht="41.25" customHeight="1">
      <c r="A46" s="947">
        <v>2570</v>
      </c>
      <c r="B46" s="931" t="s">
        <v>849</v>
      </c>
      <c r="C46" s="927">
        <f t="shared" si="3"/>
        <v>163000</v>
      </c>
      <c r="D46" s="932">
        <f t="shared" si="3"/>
        <v>0</v>
      </c>
      <c r="E46" s="933">
        <f>D46/C46*100</f>
        <v>0</v>
      </c>
      <c r="F46" s="927">
        <v>163000</v>
      </c>
      <c r="G46" s="928">
        <v>0</v>
      </c>
      <c r="H46" s="933">
        <f t="shared" si="4"/>
        <v>0</v>
      </c>
      <c r="I46" s="927"/>
      <c r="J46" s="928"/>
      <c r="K46" s="897"/>
    </row>
    <row r="47" spans="1:11" s="898" customFormat="1" ht="76.5" customHeight="1">
      <c r="A47" s="923">
        <v>2830</v>
      </c>
      <c r="B47" s="911" t="s">
        <v>850</v>
      </c>
      <c r="C47" s="924"/>
      <c r="D47" s="925"/>
      <c r="E47" s="926"/>
      <c r="F47" s="924">
        <v>4000</v>
      </c>
      <c r="G47" s="929">
        <v>0</v>
      </c>
      <c r="H47" s="926"/>
      <c r="I47" s="924"/>
      <c r="J47" s="929"/>
      <c r="K47" s="897"/>
    </row>
    <row r="48" spans="1:11" s="880" customFormat="1" ht="14.25" customHeight="1">
      <c r="A48" s="881">
        <v>85153</v>
      </c>
      <c r="B48" s="900" t="s">
        <v>851</v>
      </c>
      <c r="C48" s="886">
        <f t="shared" si="3"/>
        <v>45000</v>
      </c>
      <c r="D48" s="908">
        <f t="shared" si="3"/>
        <v>14743</v>
      </c>
      <c r="E48" s="909">
        <f t="shared" si="5"/>
        <v>32.76222222222222</v>
      </c>
      <c r="F48" s="886">
        <f>SUM(F49:F50)</f>
        <v>45000</v>
      </c>
      <c r="G48" s="887">
        <f>SUM(G49:G50)</f>
        <v>14743</v>
      </c>
      <c r="H48" s="909">
        <f aca="true" t="shared" si="6" ref="H48:H55">G48/F48*100</f>
        <v>32.76222222222222</v>
      </c>
      <c r="I48" s="886"/>
      <c r="J48" s="887"/>
      <c r="K48" s="889"/>
    </row>
    <row r="49" spans="1:11" s="898" customFormat="1" ht="50.25" customHeight="1">
      <c r="A49" s="948">
        <v>2620</v>
      </c>
      <c r="B49" s="903" t="s">
        <v>852</v>
      </c>
      <c r="C49" s="895">
        <f t="shared" si="3"/>
        <v>0</v>
      </c>
      <c r="D49" s="893">
        <f t="shared" si="3"/>
        <v>0</v>
      </c>
      <c r="E49" s="894"/>
      <c r="F49" s="895"/>
      <c r="G49" s="896"/>
      <c r="H49" s="894" t="e">
        <f t="shared" si="6"/>
        <v>#DIV/0!</v>
      </c>
      <c r="I49" s="895"/>
      <c r="J49" s="896"/>
      <c r="K49" s="897"/>
    </row>
    <row r="50" spans="1:11" s="898" customFormat="1" ht="54" customHeight="1">
      <c r="A50" s="923">
        <v>2820</v>
      </c>
      <c r="B50" s="911" t="s">
        <v>853</v>
      </c>
      <c r="C50" s="924">
        <f t="shared" si="3"/>
        <v>45000</v>
      </c>
      <c r="D50" s="925">
        <f t="shared" si="3"/>
        <v>14743</v>
      </c>
      <c r="E50" s="926">
        <f t="shared" si="5"/>
        <v>32.76222222222222</v>
      </c>
      <c r="F50" s="924">
        <v>45000</v>
      </c>
      <c r="G50" s="929">
        <v>14743</v>
      </c>
      <c r="H50" s="926">
        <f t="shared" si="6"/>
        <v>32.76222222222222</v>
      </c>
      <c r="I50" s="924"/>
      <c r="J50" s="929"/>
      <c r="K50" s="897"/>
    </row>
    <row r="51" spans="1:11" s="880" customFormat="1" ht="16.5" customHeight="1">
      <c r="A51" s="881">
        <v>85154</v>
      </c>
      <c r="B51" s="900" t="s">
        <v>854</v>
      </c>
      <c r="C51" s="886">
        <f t="shared" si="3"/>
        <v>620000</v>
      </c>
      <c r="D51" s="908">
        <f t="shared" si="3"/>
        <v>303114</v>
      </c>
      <c r="E51" s="909">
        <f t="shared" si="5"/>
        <v>48.88935483870968</v>
      </c>
      <c r="F51" s="886">
        <f>SUM(F52:F53)</f>
        <v>620000</v>
      </c>
      <c r="G51" s="887">
        <f>SUM(G52:G53)</f>
        <v>303114</v>
      </c>
      <c r="H51" s="909">
        <f t="shared" si="6"/>
        <v>48.88935483870968</v>
      </c>
      <c r="I51" s="886"/>
      <c r="J51" s="887"/>
      <c r="K51" s="889"/>
    </row>
    <row r="52" spans="1:11" s="898" customFormat="1" ht="36.75" customHeight="1">
      <c r="A52" s="947">
        <v>2480</v>
      </c>
      <c r="B52" s="931" t="s">
        <v>855</v>
      </c>
      <c r="C52" s="895">
        <f>F52+I52</f>
        <v>120000</v>
      </c>
      <c r="D52" s="893">
        <f>G52+J52</f>
        <v>64000</v>
      </c>
      <c r="E52" s="894">
        <f>D52/C52*100</f>
        <v>53.333333333333336</v>
      </c>
      <c r="F52" s="895">
        <v>120000</v>
      </c>
      <c r="G52" s="896">
        <v>64000</v>
      </c>
      <c r="H52" s="933">
        <f>G52/F52*100</f>
        <v>53.333333333333336</v>
      </c>
      <c r="I52" s="895"/>
      <c r="J52" s="896"/>
      <c r="K52" s="897"/>
    </row>
    <row r="53" spans="1:11" s="898" customFormat="1" ht="50.25" customHeight="1">
      <c r="A53" s="910">
        <v>2820</v>
      </c>
      <c r="B53" s="911" t="s">
        <v>856</v>
      </c>
      <c r="C53" s="924">
        <f t="shared" si="3"/>
        <v>500000</v>
      </c>
      <c r="D53" s="925">
        <f t="shared" si="3"/>
        <v>239114</v>
      </c>
      <c r="E53" s="926">
        <f t="shared" si="5"/>
        <v>47.8228</v>
      </c>
      <c r="F53" s="924">
        <v>500000</v>
      </c>
      <c r="G53" s="929">
        <v>239114</v>
      </c>
      <c r="H53" s="926">
        <f t="shared" si="6"/>
        <v>47.8228</v>
      </c>
      <c r="I53" s="924"/>
      <c r="J53" s="929"/>
      <c r="K53" s="897"/>
    </row>
    <row r="54" spans="1:11" s="936" customFormat="1" ht="14.25" customHeight="1">
      <c r="A54" s="881">
        <v>85195</v>
      </c>
      <c r="B54" s="900" t="s">
        <v>829</v>
      </c>
      <c r="C54" s="886">
        <f t="shared" si="3"/>
        <v>70000</v>
      </c>
      <c r="D54" s="908">
        <f t="shared" si="3"/>
        <v>42600</v>
      </c>
      <c r="E54" s="909">
        <f t="shared" si="5"/>
        <v>60.857142857142854</v>
      </c>
      <c r="F54" s="886">
        <f>SUM(F55:F55)</f>
        <v>70000</v>
      </c>
      <c r="G54" s="887">
        <f>SUM(G55:G55)</f>
        <v>42600</v>
      </c>
      <c r="H54" s="909">
        <f t="shared" si="6"/>
        <v>60.857142857142854</v>
      </c>
      <c r="I54" s="886"/>
      <c r="J54" s="887"/>
      <c r="K54" s="889"/>
    </row>
    <row r="55" spans="1:11" s="935" customFormat="1" ht="54.75" customHeight="1" thickBot="1">
      <c r="A55" s="890">
        <v>2820</v>
      </c>
      <c r="B55" s="903" t="s">
        <v>853</v>
      </c>
      <c r="C55" s="895">
        <f t="shared" si="3"/>
        <v>70000</v>
      </c>
      <c r="D55" s="893">
        <f t="shared" si="3"/>
        <v>42600</v>
      </c>
      <c r="E55" s="894">
        <f t="shared" si="5"/>
        <v>60.857142857142854</v>
      </c>
      <c r="F55" s="895">
        <v>70000</v>
      </c>
      <c r="G55" s="896">
        <v>42600</v>
      </c>
      <c r="H55" s="894">
        <f t="shared" si="6"/>
        <v>60.857142857142854</v>
      </c>
      <c r="I55" s="895"/>
      <c r="J55" s="896"/>
      <c r="K55" s="897"/>
    </row>
    <row r="56" spans="1:11" s="880" customFormat="1" ht="16.5" customHeight="1" thickBot="1" thickTop="1">
      <c r="A56" s="873">
        <v>852</v>
      </c>
      <c r="B56" s="899" t="s">
        <v>633</v>
      </c>
      <c r="C56" s="875">
        <f t="shared" si="3"/>
        <v>246000</v>
      </c>
      <c r="D56" s="876">
        <f t="shared" si="3"/>
        <v>119500</v>
      </c>
      <c r="E56" s="877">
        <f t="shared" si="5"/>
        <v>48.577235772357724</v>
      </c>
      <c r="F56" s="875">
        <f>F57+F59</f>
        <v>174000</v>
      </c>
      <c r="G56" s="878">
        <f>G57+G59</f>
        <v>92000</v>
      </c>
      <c r="H56" s="877">
        <f>G56/F56*100</f>
        <v>52.87356321839081</v>
      </c>
      <c r="I56" s="875">
        <f>I57+I59</f>
        <v>72000</v>
      </c>
      <c r="J56" s="878">
        <f>J57+J59</f>
        <v>27500</v>
      </c>
      <c r="K56" s="877">
        <f>J56/I56*100</f>
        <v>38.19444444444444</v>
      </c>
    </row>
    <row r="57" spans="1:11" s="880" customFormat="1" ht="37.5" customHeight="1" thickTop="1">
      <c r="A57" s="881">
        <v>85201</v>
      </c>
      <c r="B57" s="900" t="s">
        <v>857</v>
      </c>
      <c r="C57" s="886">
        <f t="shared" si="3"/>
        <v>72000</v>
      </c>
      <c r="D57" s="908">
        <f t="shared" si="3"/>
        <v>27500</v>
      </c>
      <c r="E57" s="909">
        <f>D57/C57*100</f>
        <v>38.19444444444444</v>
      </c>
      <c r="F57" s="886"/>
      <c r="G57" s="887"/>
      <c r="H57" s="920"/>
      <c r="I57" s="886">
        <f>I58</f>
        <v>72000</v>
      </c>
      <c r="J57" s="887">
        <f>J58</f>
        <v>27500</v>
      </c>
      <c r="K57" s="949"/>
    </row>
    <row r="58" spans="1:11" s="880" customFormat="1" ht="49.5" customHeight="1">
      <c r="A58" s="910">
        <v>2820</v>
      </c>
      <c r="B58" s="911" t="s">
        <v>856</v>
      </c>
      <c r="C58" s="924">
        <f t="shared" si="3"/>
        <v>72000</v>
      </c>
      <c r="D58" s="925">
        <f t="shared" si="3"/>
        <v>27500</v>
      </c>
      <c r="E58" s="926">
        <f>D58/C58*100</f>
        <v>38.19444444444444</v>
      </c>
      <c r="F58" s="924"/>
      <c r="G58" s="929"/>
      <c r="H58" s="920"/>
      <c r="I58" s="918">
        <v>72000</v>
      </c>
      <c r="J58" s="921">
        <v>27500</v>
      </c>
      <c r="K58" s="949"/>
    </row>
    <row r="59" spans="1:11" s="880" customFormat="1" ht="12.75" customHeight="1">
      <c r="A59" s="881">
        <v>85295</v>
      </c>
      <c r="B59" s="900" t="s">
        <v>829</v>
      </c>
      <c r="C59" s="886">
        <f aca="true" t="shared" si="7" ref="C59:D87">F59+I59</f>
        <v>174000</v>
      </c>
      <c r="D59" s="908">
        <f t="shared" si="7"/>
        <v>92000</v>
      </c>
      <c r="E59" s="909">
        <f t="shared" si="5"/>
        <v>52.87356321839081</v>
      </c>
      <c r="F59" s="939">
        <f>SUM(F60:F60)</f>
        <v>174000</v>
      </c>
      <c r="G59" s="940">
        <f>SUM(G60:G60)</f>
        <v>92000</v>
      </c>
      <c r="H59" s="909">
        <f aca="true" t="shared" si="8" ref="H59:H69">G59/F59*100</f>
        <v>52.87356321839081</v>
      </c>
      <c r="I59" s="939"/>
      <c r="J59" s="940"/>
      <c r="K59" s="909"/>
    </row>
    <row r="60" spans="1:11" s="880" customFormat="1" ht="54.75" customHeight="1" thickBot="1">
      <c r="A60" s="947">
        <v>2820</v>
      </c>
      <c r="B60" s="931" t="s">
        <v>853</v>
      </c>
      <c r="C60" s="927">
        <f t="shared" si="7"/>
        <v>174000</v>
      </c>
      <c r="D60" s="932">
        <f t="shared" si="7"/>
        <v>92000</v>
      </c>
      <c r="E60" s="933">
        <f t="shared" si="5"/>
        <v>52.87356321839081</v>
      </c>
      <c r="F60" s="927">
        <v>174000</v>
      </c>
      <c r="G60" s="928">
        <v>92000</v>
      </c>
      <c r="H60" s="933">
        <f t="shared" si="8"/>
        <v>52.87356321839081</v>
      </c>
      <c r="I60" s="927"/>
      <c r="J60" s="928"/>
      <c r="K60" s="950"/>
    </row>
    <row r="61" spans="1:11" s="880" customFormat="1" ht="39.75" thickBot="1" thickTop="1">
      <c r="A61" s="873">
        <v>853</v>
      </c>
      <c r="B61" s="899" t="s">
        <v>635</v>
      </c>
      <c r="C61" s="875">
        <f t="shared" si="7"/>
        <v>1836000</v>
      </c>
      <c r="D61" s="876">
        <f t="shared" si="7"/>
        <v>944998</v>
      </c>
      <c r="E61" s="877">
        <f>D61/C61*100</f>
        <v>51.47047930283224</v>
      </c>
      <c r="F61" s="875">
        <f>F62</f>
        <v>1836000</v>
      </c>
      <c r="G61" s="878">
        <f>G62</f>
        <v>944998</v>
      </c>
      <c r="H61" s="877"/>
      <c r="I61" s="875"/>
      <c r="J61" s="878"/>
      <c r="K61" s="944"/>
    </row>
    <row r="62" spans="1:11" s="880" customFormat="1" ht="16.5" customHeight="1" thickTop="1">
      <c r="A62" s="881">
        <v>85305</v>
      </c>
      <c r="B62" s="900" t="s">
        <v>858</v>
      </c>
      <c r="C62" s="901">
        <f t="shared" si="7"/>
        <v>1836000</v>
      </c>
      <c r="D62" s="906">
        <f t="shared" si="7"/>
        <v>944998</v>
      </c>
      <c r="E62" s="888">
        <f>D62/C62*100</f>
        <v>51.47047930283224</v>
      </c>
      <c r="F62" s="901">
        <f>F63</f>
        <v>1836000</v>
      </c>
      <c r="G62" s="902">
        <f>G63</f>
        <v>944998</v>
      </c>
      <c r="H62" s="888"/>
      <c r="I62" s="901"/>
      <c r="J62" s="902"/>
      <c r="K62" s="944"/>
    </row>
    <row r="63" spans="1:11" s="880" customFormat="1" ht="25.5" customHeight="1" thickBot="1">
      <c r="A63" s="916">
        <v>2510</v>
      </c>
      <c r="B63" s="917" t="s">
        <v>826</v>
      </c>
      <c r="C63" s="918">
        <f t="shared" si="7"/>
        <v>1836000</v>
      </c>
      <c r="D63" s="919">
        <f t="shared" si="7"/>
        <v>944998</v>
      </c>
      <c r="E63" s="920">
        <f>D63/C63*100</f>
        <v>51.47047930283224</v>
      </c>
      <c r="F63" s="918">
        <v>1836000</v>
      </c>
      <c r="G63" s="921">
        <v>944998</v>
      </c>
      <c r="H63" s="920"/>
      <c r="I63" s="918"/>
      <c r="J63" s="921"/>
      <c r="K63" s="897"/>
    </row>
    <row r="64" spans="1:11" s="936" customFormat="1" ht="29.25" customHeight="1" thickBot="1" thickTop="1">
      <c r="A64" s="951">
        <v>854</v>
      </c>
      <c r="B64" s="952" t="s">
        <v>637</v>
      </c>
      <c r="C64" s="953">
        <f t="shared" si="7"/>
        <v>29000</v>
      </c>
      <c r="D64" s="954">
        <f t="shared" si="7"/>
        <v>14600</v>
      </c>
      <c r="E64" s="915">
        <f t="shared" si="5"/>
        <v>50.3448275862069</v>
      </c>
      <c r="F64" s="953">
        <f>F65</f>
        <v>29000</v>
      </c>
      <c r="G64" s="955">
        <f>G65</f>
        <v>14600</v>
      </c>
      <c r="H64" s="915">
        <f t="shared" si="8"/>
        <v>50.3448275862069</v>
      </c>
      <c r="I64" s="953"/>
      <c r="J64" s="955"/>
      <c r="K64" s="877"/>
    </row>
    <row r="65" spans="1:11" s="880" customFormat="1" ht="14.25" thickTop="1">
      <c r="A65" s="881">
        <v>85495</v>
      </c>
      <c r="B65" s="900" t="s">
        <v>829</v>
      </c>
      <c r="C65" s="886">
        <f t="shared" si="7"/>
        <v>29000</v>
      </c>
      <c r="D65" s="908">
        <f t="shared" si="7"/>
        <v>14600</v>
      </c>
      <c r="E65" s="909">
        <f t="shared" si="5"/>
        <v>50.3448275862069</v>
      </c>
      <c r="F65" s="886">
        <f>F66</f>
        <v>29000</v>
      </c>
      <c r="G65" s="887">
        <f>G66</f>
        <v>14600</v>
      </c>
      <c r="H65" s="909">
        <f t="shared" si="8"/>
        <v>50.3448275862069</v>
      </c>
      <c r="I65" s="886"/>
      <c r="J65" s="887"/>
      <c r="K65" s="889"/>
    </row>
    <row r="66" spans="1:11" s="880" customFormat="1" ht="63" customHeight="1" thickBot="1">
      <c r="A66" s="890">
        <v>2820</v>
      </c>
      <c r="B66" s="903" t="s">
        <v>859</v>
      </c>
      <c r="C66" s="895">
        <f t="shared" si="7"/>
        <v>29000</v>
      </c>
      <c r="D66" s="893">
        <f t="shared" si="7"/>
        <v>14600</v>
      </c>
      <c r="E66" s="894">
        <f t="shared" si="5"/>
        <v>50.3448275862069</v>
      </c>
      <c r="F66" s="895">
        <v>29000</v>
      </c>
      <c r="G66" s="896">
        <v>14600</v>
      </c>
      <c r="H66" s="894">
        <f t="shared" si="8"/>
        <v>50.3448275862069</v>
      </c>
      <c r="I66" s="895"/>
      <c r="J66" s="896"/>
      <c r="K66" s="897"/>
    </row>
    <row r="67" spans="1:11" s="880" customFormat="1" ht="45" customHeight="1" thickBot="1" thickTop="1">
      <c r="A67" s="873">
        <v>921</v>
      </c>
      <c r="B67" s="899" t="s">
        <v>641</v>
      </c>
      <c r="C67" s="875">
        <f t="shared" si="7"/>
        <v>11933440</v>
      </c>
      <c r="D67" s="876">
        <f t="shared" si="7"/>
        <v>6501327</v>
      </c>
      <c r="E67" s="877">
        <f t="shared" si="5"/>
        <v>54.4799068835139</v>
      </c>
      <c r="F67" s="875">
        <f>F68+F70+F72+F76+F78+F74+F80</f>
        <v>3254300</v>
      </c>
      <c r="G67" s="956">
        <f>G68+G70+G72+G76+G78+G74+G80</f>
        <v>1960998</v>
      </c>
      <c r="H67" s="937">
        <f>H68+H70+H72+H76+H78+H74+H80</f>
        <v>161.5932507082097</v>
      </c>
      <c r="I67" s="875">
        <f>I68+I70+I72+I76+I78+I74+I80</f>
        <v>8679140</v>
      </c>
      <c r="J67" s="956">
        <f>J68+J70+J72+J76+J78+J74+J80</f>
        <v>4540329</v>
      </c>
      <c r="K67" s="877">
        <f>J67/I67*100</f>
        <v>52.313120885249</v>
      </c>
    </row>
    <row r="68" spans="1:11" s="880" customFormat="1" ht="27" customHeight="1" thickTop="1">
      <c r="A68" s="881">
        <v>92105</v>
      </c>
      <c r="B68" s="900" t="s">
        <v>860</v>
      </c>
      <c r="C68" s="886">
        <f t="shared" si="7"/>
        <v>120000</v>
      </c>
      <c r="D68" s="908">
        <f t="shared" si="7"/>
        <v>54000</v>
      </c>
      <c r="E68" s="909">
        <f t="shared" si="5"/>
        <v>45</v>
      </c>
      <c r="F68" s="886">
        <f>SUM(F69:F69)</f>
        <v>120000</v>
      </c>
      <c r="G68" s="887">
        <f>SUM(G69:G69)</f>
        <v>54000</v>
      </c>
      <c r="H68" s="909">
        <f t="shared" si="8"/>
        <v>45</v>
      </c>
      <c r="I68" s="886"/>
      <c r="J68" s="887"/>
      <c r="K68" s="889"/>
    </row>
    <row r="69" spans="1:11" s="898" customFormat="1" ht="53.25" customHeight="1">
      <c r="A69" s="916">
        <v>2820</v>
      </c>
      <c r="B69" s="917" t="s">
        <v>853</v>
      </c>
      <c r="C69" s="918">
        <f t="shared" si="7"/>
        <v>120000</v>
      </c>
      <c r="D69" s="919">
        <f t="shared" si="7"/>
        <v>54000</v>
      </c>
      <c r="E69" s="920">
        <f t="shared" si="5"/>
        <v>45</v>
      </c>
      <c r="F69" s="918">
        <v>120000</v>
      </c>
      <c r="G69" s="921">
        <v>54000</v>
      </c>
      <c r="H69" s="920">
        <f t="shared" si="8"/>
        <v>45</v>
      </c>
      <c r="I69" s="918"/>
      <c r="J69" s="921"/>
      <c r="K69" s="897"/>
    </row>
    <row r="70" spans="1:11" s="880" customFormat="1" ht="14.25" customHeight="1">
      <c r="A70" s="881">
        <v>92106</v>
      </c>
      <c r="B70" s="900" t="s">
        <v>861</v>
      </c>
      <c r="C70" s="886">
        <f t="shared" si="7"/>
        <v>2338250</v>
      </c>
      <c r="D70" s="908">
        <f t="shared" si="7"/>
        <v>1429913</v>
      </c>
      <c r="E70" s="909">
        <f t="shared" si="5"/>
        <v>61.15312733882177</v>
      </c>
      <c r="F70" s="886"/>
      <c r="G70" s="887"/>
      <c r="H70" s="909"/>
      <c r="I70" s="886">
        <f>SUM(I71:I71)</f>
        <v>2338250</v>
      </c>
      <c r="J70" s="887">
        <f>SUM(J71:J71)</f>
        <v>1429913</v>
      </c>
      <c r="K70" s="909">
        <f aca="true" t="shared" si="9" ref="K70:K78">J70/I70*100</f>
        <v>61.15312733882177</v>
      </c>
    </row>
    <row r="71" spans="1:11" s="898" customFormat="1" ht="36.75" customHeight="1">
      <c r="A71" s="916">
        <v>2480</v>
      </c>
      <c r="B71" s="917" t="s">
        <v>855</v>
      </c>
      <c r="C71" s="918">
        <f t="shared" si="7"/>
        <v>2338250</v>
      </c>
      <c r="D71" s="919">
        <f t="shared" si="7"/>
        <v>1429913</v>
      </c>
      <c r="E71" s="920">
        <f t="shared" si="5"/>
        <v>61.15312733882177</v>
      </c>
      <c r="F71" s="918"/>
      <c r="G71" s="921"/>
      <c r="H71" s="920"/>
      <c r="I71" s="918">
        <v>2338250</v>
      </c>
      <c r="J71" s="921">
        <v>1429913</v>
      </c>
      <c r="K71" s="894">
        <f t="shared" si="9"/>
        <v>61.15312733882177</v>
      </c>
    </row>
    <row r="72" spans="1:11" s="880" customFormat="1" ht="26.25" customHeight="1">
      <c r="A72" s="881">
        <v>92108</v>
      </c>
      <c r="B72" s="900" t="s">
        <v>758</v>
      </c>
      <c r="C72" s="886">
        <f t="shared" si="7"/>
        <v>2388000</v>
      </c>
      <c r="D72" s="908">
        <f t="shared" si="7"/>
        <v>1149930</v>
      </c>
      <c r="E72" s="909">
        <f t="shared" si="5"/>
        <v>48.154522613065325</v>
      </c>
      <c r="F72" s="886"/>
      <c r="G72" s="887"/>
      <c r="H72" s="909"/>
      <c r="I72" s="886">
        <f>SUM(I73)</f>
        <v>2388000</v>
      </c>
      <c r="J72" s="887">
        <f>SUM(J73)</f>
        <v>1149930</v>
      </c>
      <c r="K72" s="909">
        <f t="shared" si="9"/>
        <v>48.154522613065325</v>
      </c>
    </row>
    <row r="73" spans="1:11" s="898" customFormat="1" ht="37.5" customHeight="1">
      <c r="A73" s="916">
        <v>2480</v>
      </c>
      <c r="B73" s="903" t="s">
        <v>862</v>
      </c>
      <c r="C73" s="918">
        <f t="shared" si="7"/>
        <v>2388000</v>
      </c>
      <c r="D73" s="919">
        <f t="shared" si="7"/>
        <v>1149930</v>
      </c>
      <c r="E73" s="920">
        <f t="shared" si="5"/>
        <v>48.154522613065325</v>
      </c>
      <c r="F73" s="918"/>
      <c r="G73" s="921"/>
      <c r="H73" s="920"/>
      <c r="I73" s="918">
        <v>2388000</v>
      </c>
      <c r="J73" s="921">
        <v>1149930</v>
      </c>
      <c r="K73" s="894">
        <f t="shared" si="9"/>
        <v>48.154522613065325</v>
      </c>
    </row>
    <row r="74" spans="1:11" s="880" customFormat="1" ht="25.5">
      <c r="A74" s="881">
        <v>92109</v>
      </c>
      <c r="B74" s="900" t="s">
        <v>863</v>
      </c>
      <c r="C74" s="886">
        <f t="shared" si="7"/>
        <v>2072300</v>
      </c>
      <c r="D74" s="908">
        <f t="shared" si="7"/>
        <v>1396998</v>
      </c>
      <c r="E74" s="909">
        <f>D74/C74*100</f>
        <v>67.41292283935724</v>
      </c>
      <c r="F74" s="886">
        <f>SUM(F75)</f>
        <v>2072300</v>
      </c>
      <c r="G74" s="887">
        <f>SUM(G75)</f>
        <v>1396998</v>
      </c>
      <c r="H74" s="909">
        <f>G74/F74*100</f>
        <v>67.41292283935724</v>
      </c>
      <c r="I74" s="886"/>
      <c r="J74" s="887"/>
      <c r="K74" s="885"/>
    </row>
    <row r="75" spans="1:11" s="935" customFormat="1" ht="35.25" customHeight="1">
      <c r="A75" s="916">
        <v>2480</v>
      </c>
      <c r="B75" s="917" t="s">
        <v>864</v>
      </c>
      <c r="C75" s="918">
        <f t="shared" si="7"/>
        <v>2072300</v>
      </c>
      <c r="D75" s="919">
        <f t="shared" si="7"/>
        <v>1396998</v>
      </c>
      <c r="E75" s="920">
        <f>D75/C75*100</f>
        <v>67.41292283935724</v>
      </c>
      <c r="F75" s="918">
        <v>2072300</v>
      </c>
      <c r="G75" s="921">
        <v>1396998</v>
      </c>
      <c r="H75" s="920">
        <f>G75/F75*100</f>
        <v>67.41292283935724</v>
      </c>
      <c r="I75" s="918"/>
      <c r="J75" s="921"/>
      <c r="K75" s="897"/>
    </row>
    <row r="76" spans="1:11" s="880" customFormat="1" ht="17.25" customHeight="1">
      <c r="A76" s="881">
        <v>92116</v>
      </c>
      <c r="B76" s="957" t="s">
        <v>865</v>
      </c>
      <c r="C76" s="886">
        <f t="shared" si="7"/>
        <v>3238890</v>
      </c>
      <c r="D76" s="908">
        <f t="shared" si="7"/>
        <v>1613690</v>
      </c>
      <c r="E76" s="909">
        <f t="shared" si="5"/>
        <v>49.822315669874556</v>
      </c>
      <c r="F76" s="886">
        <f>F77</f>
        <v>1037000</v>
      </c>
      <c r="G76" s="887">
        <f>G77</f>
        <v>510000</v>
      </c>
      <c r="H76" s="909">
        <f>G76/F76*100</f>
        <v>49.18032786885246</v>
      </c>
      <c r="I76" s="886">
        <f>SUM(I77)</f>
        <v>2201890</v>
      </c>
      <c r="J76" s="887">
        <f>SUM(J77)</f>
        <v>1103690</v>
      </c>
      <c r="K76" s="909">
        <f t="shared" si="9"/>
        <v>50.1246656281649</v>
      </c>
    </row>
    <row r="77" spans="1:11" s="880" customFormat="1" ht="44.25" customHeight="1">
      <c r="A77" s="890">
        <v>2480</v>
      </c>
      <c r="B77" s="903" t="s">
        <v>864</v>
      </c>
      <c r="C77" s="918">
        <f t="shared" si="7"/>
        <v>3238890</v>
      </c>
      <c r="D77" s="919">
        <f t="shared" si="7"/>
        <v>1613690</v>
      </c>
      <c r="E77" s="920">
        <f t="shared" si="5"/>
        <v>49.822315669874556</v>
      </c>
      <c r="F77" s="918">
        <v>1037000</v>
      </c>
      <c r="G77" s="921">
        <v>510000</v>
      </c>
      <c r="H77" s="920">
        <f>G77/F77*100</f>
        <v>49.18032786885246</v>
      </c>
      <c r="I77" s="918">
        <v>2201890</v>
      </c>
      <c r="J77" s="921">
        <v>1103690</v>
      </c>
      <c r="K77" s="894">
        <f t="shared" si="9"/>
        <v>50.1246656281649</v>
      </c>
    </row>
    <row r="78" spans="1:11" s="880" customFormat="1" ht="14.25" customHeight="1">
      <c r="A78" s="881">
        <v>92118</v>
      </c>
      <c r="B78" s="900" t="s">
        <v>866</v>
      </c>
      <c r="C78" s="886">
        <f t="shared" si="7"/>
        <v>1751000</v>
      </c>
      <c r="D78" s="908">
        <f t="shared" si="7"/>
        <v>856796</v>
      </c>
      <c r="E78" s="909">
        <f t="shared" si="5"/>
        <v>48.931810394060534</v>
      </c>
      <c r="F78" s="886"/>
      <c r="G78" s="887"/>
      <c r="H78" s="909"/>
      <c r="I78" s="886">
        <f>SUM(I79)</f>
        <v>1751000</v>
      </c>
      <c r="J78" s="887">
        <f>SUM(J79)</f>
        <v>856796</v>
      </c>
      <c r="K78" s="909">
        <f t="shared" si="9"/>
        <v>48.931810394060534</v>
      </c>
    </row>
    <row r="79" spans="1:11" s="880" customFormat="1" ht="41.25" customHeight="1">
      <c r="A79" s="890">
        <v>2480</v>
      </c>
      <c r="B79" s="903" t="s">
        <v>864</v>
      </c>
      <c r="C79" s="895">
        <f t="shared" si="7"/>
        <v>1751000</v>
      </c>
      <c r="D79" s="893">
        <f t="shared" si="7"/>
        <v>856796</v>
      </c>
      <c r="E79" s="894">
        <f t="shared" si="5"/>
        <v>48.931810394060534</v>
      </c>
      <c r="F79" s="895"/>
      <c r="G79" s="896"/>
      <c r="H79" s="894"/>
      <c r="I79" s="895">
        <v>1751000</v>
      </c>
      <c r="J79" s="896">
        <v>856796</v>
      </c>
      <c r="K79" s="894">
        <f>J79/I79*100</f>
        <v>48.931810394060534</v>
      </c>
    </row>
    <row r="80" spans="1:11" s="898" customFormat="1" ht="26.25" customHeight="1">
      <c r="A80" s="881">
        <v>92120</v>
      </c>
      <c r="B80" s="900" t="s">
        <v>867</v>
      </c>
      <c r="C80" s="886">
        <f>F80+I80</f>
        <v>25000</v>
      </c>
      <c r="D80" s="908">
        <f>G80+J80</f>
        <v>0</v>
      </c>
      <c r="E80" s="909">
        <f>D80/C80*100</f>
        <v>0</v>
      </c>
      <c r="F80" s="886">
        <f>F81</f>
        <v>25000</v>
      </c>
      <c r="G80" s="887">
        <f>G81</f>
        <v>0</v>
      </c>
      <c r="H80" s="909"/>
      <c r="I80" s="886"/>
      <c r="J80" s="887"/>
      <c r="K80" s="897"/>
    </row>
    <row r="81" spans="1:11" s="898" customFormat="1" ht="54" customHeight="1" thickBot="1">
      <c r="A81" s="916">
        <v>2820</v>
      </c>
      <c r="B81" s="917" t="s">
        <v>853</v>
      </c>
      <c r="C81" s="918">
        <f>F81+I81</f>
        <v>25000</v>
      </c>
      <c r="D81" s="919">
        <f>G81+J81</f>
        <v>0</v>
      </c>
      <c r="E81" s="920">
        <f>D81/C81*100</f>
        <v>0</v>
      </c>
      <c r="F81" s="918">
        <v>25000</v>
      </c>
      <c r="G81" s="921">
        <v>0</v>
      </c>
      <c r="H81" s="920"/>
      <c r="I81" s="918"/>
      <c r="J81" s="921"/>
      <c r="K81" s="897"/>
    </row>
    <row r="82" spans="1:11" s="880" customFormat="1" ht="28.5" customHeight="1" thickBot="1" thickTop="1">
      <c r="A82" s="958">
        <v>926</v>
      </c>
      <c r="B82" s="952" t="s">
        <v>645</v>
      </c>
      <c r="C82" s="953">
        <f t="shared" si="7"/>
        <v>3484000</v>
      </c>
      <c r="D82" s="954">
        <f t="shared" si="7"/>
        <v>2033709</v>
      </c>
      <c r="E82" s="915">
        <f t="shared" si="5"/>
        <v>58.37281859931114</v>
      </c>
      <c r="F82" s="953">
        <f>F83</f>
        <v>3484000</v>
      </c>
      <c r="G82" s="955">
        <f>G83</f>
        <v>2033709</v>
      </c>
      <c r="H82" s="915">
        <f>G82/F82*100</f>
        <v>58.37281859931114</v>
      </c>
      <c r="I82" s="953"/>
      <c r="J82" s="955"/>
      <c r="K82" s="879"/>
    </row>
    <row r="83" spans="1:11" s="880" customFormat="1" ht="29.25" customHeight="1" thickTop="1">
      <c r="A83" s="881">
        <v>92605</v>
      </c>
      <c r="B83" s="900" t="s">
        <v>868</v>
      </c>
      <c r="C83" s="886">
        <f t="shared" si="7"/>
        <v>3484000</v>
      </c>
      <c r="D83" s="908">
        <f t="shared" si="7"/>
        <v>2033709</v>
      </c>
      <c r="E83" s="909">
        <f t="shared" si="5"/>
        <v>58.37281859931114</v>
      </c>
      <c r="F83" s="886">
        <f>SUM(F84:F84)</f>
        <v>3484000</v>
      </c>
      <c r="G83" s="887">
        <f>SUM(G84:G84)</f>
        <v>2033709</v>
      </c>
      <c r="H83" s="909">
        <f>G83/F83*100</f>
        <v>58.37281859931114</v>
      </c>
      <c r="I83" s="886"/>
      <c r="J83" s="887"/>
      <c r="K83" s="889"/>
    </row>
    <row r="84" spans="1:11" s="898" customFormat="1" ht="57.75" customHeight="1" thickBot="1">
      <c r="A84" s="890">
        <v>2820</v>
      </c>
      <c r="B84" s="903" t="s">
        <v>853</v>
      </c>
      <c r="C84" s="927">
        <f t="shared" si="7"/>
        <v>3484000</v>
      </c>
      <c r="D84" s="932">
        <f t="shared" si="7"/>
        <v>2033709</v>
      </c>
      <c r="E84" s="894">
        <f t="shared" si="5"/>
        <v>58.37281859931114</v>
      </c>
      <c r="F84" s="895">
        <v>3484000</v>
      </c>
      <c r="G84" s="896">
        <v>2033709</v>
      </c>
      <c r="H84" s="933">
        <f>G84/F84*100</f>
        <v>58.37281859931114</v>
      </c>
      <c r="I84" s="895"/>
      <c r="J84" s="896"/>
      <c r="K84" s="897"/>
    </row>
    <row r="85" spans="1:11" s="880" customFormat="1" ht="21" customHeight="1" thickBot="1" thickTop="1">
      <c r="A85" s="959"/>
      <c r="B85" s="960" t="s">
        <v>582</v>
      </c>
      <c r="C85" s="875">
        <f t="shared" si="7"/>
        <v>35487340</v>
      </c>
      <c r="D85" s="876">
        <f t="shared" si="7"/>
        <v>17555670</v>
      </c>
      <c r="E85" s="877">
        <f>D85/C85*100</f>
        <v>49.470233610070515</v>
      </c>
      <c r="F85" s="875">
        <f>F7+F10+F13+F18+F21+F42+F56+F61+F64+F67+F82+F39</f>
        <v>24389200</v>
      </c>
      <c r="G85" s="878">
        <f>G7+G10+G13+G18+G21+G42+G56+G61+G64+G67+G82+G39</f>
        <v>11730984</v>
      </c>
      <c r="H85" s="877">
        <f>G85/F85*100</f>
        <v>48.09909304118216</v>
      </c>
      <c r="I85" s="875">
        <f>I7+I10+I13+I18+I21+I42+I56+I61+I64+I67+I82+I39</f>
        <v>11098140</v>
      </c>
      <c r="J85" s="878">
        <f>J7+J10+J13+J18+J21+J42+J56+J61+J64+J67+J82+J39</f>
        <v>5824686</v>
      </c>
      <c r="K85" s="877">
        <f>J85/I85*100</f>
        <v>52.48344317155848</v>
      </c>
    </row>
    <row r="86" spans="7:8" ht="12.75" thickTop="1">
      <c r="G86" s="962"/>
      <c r="H86" s="963"/>
    </row>
    <row r="87" spans="7:8" ht="12">
      <c r="G87" s="962"/>
      <c r="H87" s="963"/>
    </row>
    <row r="88" spans="7:8" ht="12">
      <c r="G88" s="962"/>
      <c r="H88" s="963"/>
    </row>
    <row r="89" spans="7:8" ht="12">
      <c r="G89" s="962"/>
      <c r="H89" s="963"/>
    </row>
    <row r="90" spans="7:8" ht="12">
      <c r="G90" s="962"/>
      <c r="H90" s="963"/>
    </row>
    <row r="91" spans="7:8" ht="12">
      <c r="G91" s="962"/>
      <c r="H91" s="963"/>
    </row>
    <row r="92" spans="7:8" ht="12">
      <c r="G92" s="962"/>
      <c r="H92" s="963"/>
    </row>
  </sheetData>
  <printOptions horizontalCentered="1"/>
  <pageMargins left="0" right="0" top="0.984251968503937" bottom="0.5905511811023623" header="0.5118110236220472" footer="0.5118110236220472"/>
  <pageSetup firstPageNumber="57" useFirstPageNumber="1" horizontalDpi="600" verticalDpi="6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Barbara Malinowska</cp:lastModifiedBy>
  <cp:lastPrinted>2005-10-19T08:43:13Z</cp:lastPrinted>
  <dcterms:created xsi:type="dcterms:W3CDTF">2005-10-19T07:01:41Z</dcterms:created>
  <dcterms:modified xsi:type="dcterms:W3CDTF">2005-10-19T08:45:47Z</dcterms:modified>
  <cp:category/>
  <cp:version/>
  <cp:contentType/>
  <cp:contentStatus/>
</cp:coreProperties>
</file>